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DF6CD06C-87F5-41A8-9C27-4300272FF4D1}" xr6:coauthVersionLast="47" xr6:coauthVersionMax="47" xr10:uidLastSave="{00000000-0000-0000-0000-000000000000}"/>
  <bookViews>
    <workbookView xWindow="28680" yWindow="-120" windowWidth="29040" windowHeight="15840" tabRatio="599" activeTab="4" xr2:uid="{00000000-000D-0000-FFFF-FFFF00000000}"/>
  </bookViews>
  <sheets>
    <sheet name="NOMINA FIJOS " sheetId="4" r:id="rId1"/>
    <sheet name="SUPLENCIA FIJOS" sheetId="16" r:id="rId2"/>
    <sheet name="PERSONAL TEMPORAL" sheetId="13" r:id="rId3"/>
    <sheet name="Hoja1" sheetId="17" r:id="rId4"/>
    <sheet name="TRAMITE PENSION " sheetId="14" r:id="rId5"/>
  </sheets>
  <definedNames>
    <definedName name="_xlnm.Print_Area" localSheetId="0">'NOMINA FIJOS '!$A$1:$L$410</definedName>
    <definedName name="_xlnm.Print_Area" localSheetId="2">'PERSONAL TEMPORAL'!$A$1:$N$243</definedName>
    <definedName name="_xlnm.Print_Area" localSheetId="1">'SUPLENCIA FIJOS'!$B$1:$L$140</definedName>
    <definedName name="_xlnm.Print_Area" localSheetId="4">'TRAMITE PENSION '!$A$1:$L$24</definedName>
    <definedName name="_xlnm.Print_Titles" localSheetId="0">'NOMINA FIJOS '!$1:$6</definedName>
    <definedName name="_xlnm.Print_Titles" localSheetId="2">'PERSONAL TEMPORAL'!$1:$7</definedName>
    <definedName name="_xlnm.Print_Titles" localSheetId="1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87" i="13" l="1"/>
  <c r="L187" i="13"/>
  <c r="G128" i="16"/>
  <c r="G119" i="16"/>
  <c r="G86" i="16"/>
  <c r="G81" i="16"/>
  <c r="G76" i="16"/>
  <c r="I180" i="4"/>
  <c r="J180" i="4"/>
  <c r="F180" i="4"/>
  <c r="F16" i="4"/>
  <c r="F24" i="4"/>
  <c r="F30" i="4"/>
  <c r="F37" i="4"/>
  <c r="F94" i="4"/>
  <c r="F277" i="4"/>
  <c r="F369" i="4"/>
  <c r="F379" i="4"/>
  <c r="F403" i="4"/>
  <c r="G130" i="16"/>
  <c r="H130" i="16"/>
  <c r="I130" i="16"/>
  <c r="J130" i="16"/>
  <c r="K130" i="16"/>
  <c r="L130" i="16"/>
  <c r="B127" i="16"/>
  <c r="B126" i="16"/>
  <c r="B122" i="16"/>
  <c r="B89" i="16"/>
  <c r="B85" i="16"/>
  <c r="B84" i="16"/>
  <c r="B80" i="16"/>
  <c r="B10" i="16"/>
  <c r="H86" i="16"/>
  <c r="I86" i="16"/>
  <c r="J86" i="16"/>
  <c r="K85" i="16"/>
  <c r="L85" i="16" s="1"/>
  <c r="H81" i="16"/>
  <c r="I81" i="16"/>
  <c r="J81" i="16"/>
  <c r="K80" i="16"/>
  <c r="L80" i="16" s="1"/>
  <c r="J123" i="16"/>
  <c r="I123" i="16"/>
  <c r="H123" i="16"/>
  <c r="G123" i="16"/>
  <c r="K122" i="16"/>
  <c r="L122" i="16" s="1"/>
  <c r="L123" i="16" s="1"/>
  <c r="H128" i="16"/>
  <c r="I128" i="16"/>
  <c r="J128" i="16"/>
  <c r="K127" i="16"/>
  <c r="L127" i="16" s="1"/>
  <c r="K126" i="16"/>
  <c r="K128" i="16" s="1"/>
  <c r="K123" i="16" l="1"/>
  <c r="J94" i="16" l="1"/>
  <c r="I94" i="16"/>
  <c r="H94" i="16"/>
  <c r="G94" i="16"/>
  <c r="K93" i="16"/>
  <c r="K94" i="16" s="1"/>
  <c r="L224" i="13"/>
  <c r="L178" i="13"/>
  <c r="L177" i="13"/>
  <c r="L157" i="13"/>
  <c r="L146" i="13"/>
  <c r="L145" i="13"/>
  <c r="L93" i="16" l="1"/>
  <c r="L94" i="16" s="1"/>
  <c r="L80" i="13" l="1"/>
  <c r="I20" i="13"/>
  <c r="J20" i="13"/>
  <c r="H23" i="13"/>
  <c r="K23" i="13"/>
  <c r="K17" i="13"/>
  <c r="L17" i="13"/>
  <c r="H17" i="13"/>
  <c r="J16" i="13"/>
  <c r="I16" i="13"/>
  <c r="A21" i="13"/>
  <c r="J11" i="13"/>
  <c r="I11" i="13"/>
  <c r="K12" i="13"/>
  <c r="L12" i="13"/>
  <c r="H12" i="13"/>
  <c r="J395" i="4"/>
  <c r="J390" i="4"/>
  <c r="J397" i="4"/>
  <c r="J307" i="4"/>
  <c r="J305" i="4"/>
  <c r="J291" i="4"/>
  <c r="J264" i="4"/>
  <c r="J187" i="4"/>
  <c r="J188" i="4"/>
  <c r="I188" i="4"/>
  <c r="F188" i="4"/>
  <c r="M16" i="13" l="1"/>
  <c r="M11" i="13"/>
  <c r="N16" i="13" l="1"/>
  <c r="N11" i="13"/>
  <c r="J62" i="4" l="1"/>
  <c r="J41" i="4"/>
  <c r="I198" i="4"/>
  <c r="J198" i="4"/>
  <c r="F198" i="4"/>
  <c r="G197" i="4"/>
  <c r="H197" i="4"/>
  <c r="J13" i="4"/>
  <c r="K197" i="4" l="1"/>
  <c r="L197" i="4" s="1"/>
  <c r="L85" i="13" l="1"/>
  <c r="K85" i="13"/>
  <c r="H85" i="13"/>
  <c r="J84" i="13"/>
  <c r="J85" i="13" s="1"/>
  <c r="I84" i="13"/>
  <c r="L223" i="13"/>
  <c r="L197" i="13"/>
  <c r="L191" i="13"/>
  <c r="L181" i="13"/>
  <c r="K173" i="13"/>
  <c r="L173" i="13"/>
  <c r="H173" i="13"/>
  <c r="I172" i="13"/>
  <c r="J172" i="13"/>
  <c r="L159" i="13"/>
  <c r="I158" i="13"/>
  <c r="J158" i="13"/>
  <c r="K159" i="13"/>
  <c r="H159" i="13"/>
  <c r="L144" i="13"/>
  <c r="L138" i="13"/>
  <c r="L118" i="13"/>
  <c r="L117" i="13"/>
  <c r="K97" i="13"/>
  <c r="L97" i="13"/>
  <c r="H97" i="13"/>
  <c r="I96" i="13"/>
  <c r="J96" i="13"/>
  <c r="L89" i="13"/>
  <c r="L88" i="13"/>
  <c r="L67" i="13"/>
  <c r="L62" i="13"/>
  <c r="L61" i="13"/>
  <c r="L22" i="13"/>
  <c r="L23" i="13" s="1"/>
  <c r="L30" i="13"/>
  <c r="M84" i="13" l="1"/>
  <c r="M85" i="13" s="1"/>
  <c r="I85" i="13"/>
  <c r="M172" i="13"/>
  <c r="N172" i="13" s="1"/>
  <c r="M158" i="13"/>
  <c r="N158" i="13" s="1"/>
  <c r="M96" i="13"/>
  <c r="N96" i="13" s="1"/>
  <c r="N84" i="13" l="1"/>
  <c r="N85" i="13" s="1"/>
  <c r="F347" i="4" l="1"/>
  <c r="J347" i="4"/>
  <c r="G346" i="4"/>
  <c r="H346" i="4"/>
  <c r="K149" i="4"/>
  <c r="I154" i="4"/>
  <c r="K346" i="4" l="1"/>
  <c r="L346" i="4" s="1"/>
  <c r="K109" i="16"/>
  <c r="K110" i="16" s="1"/>
  <c r="L109" i="16" l="1"/>
  <c r="L110" i="16" s="1"/>
  <c r="K13" i="14"/>
  <c r="K16" i="14"/>
  <c r="K15" i="14"/>
  <c r="K14" i="14"/>
  <c r="K8" i="14"/>
  <c r="L8" i="14" s="1"/>
  <c r="K9" i="14"/>
  <c r="K10" i="14"/>
  <c r="K11" i="14"/>
  <c r="K12" i="14"/>
  <c r="L212" i="13" l="1"/>
  <c r="K212" i="13"/>
  <c r="H212" i="13"/>
  <c r="J211" i="13"/>
  <c r="I211" i="13"/>
  <c r="J22" i="13"/>
  <c r="I22" i="13"/>
  <c r="J10" i="13"/>
  <c r="I10" i="13"/>
  <c r="I9" i="13"/>
  <c r="I12" i="13" l="1"/>
  <c r="M22" i="13"/>
  <c r="M211" i="13"/>
  <c r="N211" i="13" s="1"/>
  <c r="M10" i="13"/>
  <c r="N22" i="13"/>
  <c r="N10" i="13" l="1"/>
  <c r="G345" i="4" l="1"/>
  <c r="H345" i="4"/>
  <c r="K345" i="4" l="1"/>
  <c r="L345" i="4" s="1"/>
  <c r="H183" i="4"/>
  <c r="G183" i="4"/>
  <c r="I119" i="4"/>
  <c r="J115" i="4"/>
  <c r="I115" i="4"/>
  <c r="F115" i="4"/>
  <c r="H112" i="4"/>
  <c r="G112" i="4"/>
  <c r="J81" i="4"/>
  <c r="I81" i="4"/>
  <c r="F81" i="4"/>
  <c r="H80" i="4"/>
  <c r="G80" i="4"/>
  <c r="F57" i="4"/>
  <c r="J57" i="4"/>
  <c r="I57" i="4"/>
  <c r="H56" i="4"/>
  <c r="G56" i="4"/>
  <c r="G60" i="4"/>
  <c r="H60" i="4"/>
  <c r="G61" i="4"/>
  <c r="H61" i="4"/>
  <c r="J44" i="4"/>
  <c r="I44" i="4"/>
  <c r="F44" i="4"/>
  <c r="K39" i="4"/>
  <c r="L39" i="4" s="1"/>
  <c r="K91" i="4"/>
  <c r="L91" i="4" s="1"/>
  <c r="K183" i="4" l="1"/>
  <c r="L183" i="4" s="1"/>
  <c r="K112" i="4"/>
  <c r="L112" i="4" s="1"/>
  <c r="K61" i="4"/>
  <c r="L61" i="4" s="1"/>
  <c r="K60" i="4"/>
  <c r="L60" i="4" s="1"/>
  <c r="K56" i="4"/>
  <c r="L56" i="4" s="1"/>
  <c r="K80" i="4"/>
  <c r="L80" i="4" s="1"/>
  <c r="L69" i="13" l="1"/>
  <c r="K69" i="13"/>
  <c r="H69" i="13"/>
  <c r="J66" i="13"/>
  <c r="I66" i="13"/>
  <c r="L33" i="13"/>
  <c r="K33" i="13"/>
  <c r="H33" i="13"/>
  <c r="J30" i="13"/>
  <c r="I30" i="13"/>
  <c r="J114" i="16"/>
  <c r="I114" i="16"/>
  <c r="H114" i="16"/>
  <c r="G114" i="16"/>
  <c r="K113" i="16"/>
  <c r="K114" i="16" s="1"/>
  <c r="M30" i="13" l="1"/>
  <c r="N30" i="13" s="1"/>
  <c r="M66" i="13"/>
  <c r="N66" i="13" s="1"/>
  <c r="L113" i="16"/>
  <c r="L114" i="16" s="1"/>
  <c r="K79" i="16"/>
  <c r="K81" i="16" s="1"/>
  <c r="J59" i="16"/>
  <c r="I59" i="16"/>
  <c r="H59" i="16"/>
  <c r="G59" i="16"/>
  <c r="K58" i="16"/>
  <c r="K59" i="16" s="1"/>
  <c r="K62" i="16"/>
  <c r="L62" i="16" s="1"/>
  <c r="L63" i="16" s="1"/>
  <c r="G63" i="16"/>
  <c r="H63" i="16"/>
  <c r="I63" i="16"/>
  <c r="J63" i="16"/>
  <c r="K66" i="16"/>
  <c r="K67" i="16" s="1"/>
  <c r="G67" i="16"/>
  <c r="H67" i="16"/>
  <c r="I67" i="16"/>
  <c r="J67" i="16"/>
  <c r="J87" i="4"/>
  <c r="I87" i="4"/>
  <c r="F87" i="4"/>
  <c r="H185" i="4"/>
  <c r="G185" i="4"/>
  <c r="H184" i="4"/>
  <c r="G184" i="4"/>
  <c r="J141" i="4"/>
  <c r="I141" i="4"/>
  <c r="F141" i="4"/>
  <c r="H135" i="4"/>
  <c r="G135" i="4"/>
  <c r="H86" i="4"/>
  <c r="G86" i="4"/>
  <c r="J37" i="4"/>
  <c r="I37" i="4"/>
  <c r="H36" i="4"/>
  <c r="G36" i="4"/>
  <c r="L66" i="16" l="1"/>
  <c r="L67" i="16" s="1"/>
  <c r="K185" i="4"/>
  <c r="L185" i="4" s="1"/>
  <c r="L79" i="16"/>
  <c r="L81" i="16" s="1"/>
  <c r="K63" i="16"/>
  <c r="L58" i="16"/>
  <c r="L59" i="16" s="1"/>
  <c r="K184" i="4"/>
  <c r="K135" i="4"/>
  <c r="L135" i="4" s="1"/>
  <c r="K86" i="4"/>
  <c r="L86" i="4" s="1"/>
  <c r="K36" i="4"/>
  <c r="L36" i="4" s="1"/>
  <c r="L184" i="4" l="1"/>
  <c r="K130" i="13" l="1"/>
  <c r="L130" i="13"/>
  <c r="H130" i="13"/>
  <c r="J129" i="13"/>
  <c r="J130" i="13" s="1"/>
  <c r="I129" i="13"/>
  <c r="I128" i="13"/>
  <c r="F159" i="4"/>
  <c r="K70" i="16"/>
  <c r="K71" i="16" s="1"/>
  <c r="J71" i="16"/>
  <c r="I71" i="16"/>
  <c r="H71" i="16"/>
  <c r="G71" i="16"/>
  <c r="F167" i="4"/>
  <c r="I167" i="4"/>
  <c r="J167" i="4"/>
  <c r="I130" i="13" l="1"/>
  <c r="M129" i="13"/>
  <c r="N129" i="13" s="1"/>
  <c r="L70" i="16"/>
  <c r="L71" i="16" s="1"/>
  <c r="I325" i="4" l="1"/>
  <c r="J325" i="4"/>
  <c r="F325" i="4"/>
  <c r="G324" i="4"/>
  <c r="H324" i="4"/>
  <c r="I316" i="4"/>
  <c r="J316" i="4"/>
  <c r="F316" i="4"/>
  <c r="G315" i="4"/>
  <c r="H315" i="4"/>
  <c r="F17" i="14"/>
  <c r="H10" i="14"/>
  <c r="G10" i="14"/>
  <c r="L10" i="14" l="1"/>
  <c r="K324" i="4"/>
  <c r="L324" i="4" s="1"/>
  <c r="K315" i="4"/>
  <c r="L315" i="4" s="1"/>
  <c r="K75" i="16"/>
  <c r="H237" i="13"/>
  <c r="H229" i="13"/>
  <c r="H225" i="13"/>
  <c r="H220" i="13"/>
  <c r="H216" i="13"/>
  <c r="H206" i="13"/>
  <c r="H202" i="13"/>
  <c r="H198" i="13"/>
  <c r="H193" i="13"/>
  <c r="H187" i="13"/>
  <c r="H182" i="13"/>
  <c r="H168" i="13"/>
  <c r="H164" i="13"/>
  <c r="H153" i="13"/>
  <c r="H149" i="13"/>
  <c r="H139" i="13"/>
  <c r="K135" i="13"/>
  <c r="L135" i="13"/>
  <c r="H135" i="13"/>
  <c r="K125" i="13"/>
  <c r="L125" i="13"/>
  <c r="H125" i="13"/>
  <c r="H119" i="13"/>
  <c r="H109" i="13"/>
  <c r="H105" i="13"/>
  <c r="H101" i="13"/>
  <c r="H90" i="13"/>
  <c r="H82" i="13"/>
  <c r="H77" i="13"/>
  <c r="H73" i="13"/>
  <c r="H63" i="13"/>
  <c r="H57" i="13"/>
  <c r="H53" i="13"/>
  <c r="H48" i="13"/>
  <c r="H42" i="13"/>
  <c r="H38" i="13"/>
  <c r="H27" i="13"/>
  <c r="J19" i="16" l="1"/>
  <c r="G19" i="16"/>
  <c r="I18" i="16"/>
  <c r="I19" i="16" s="1"/>
  <c r="H18" i="16"/>
  <c r="H19" i="16" s="1"/>
  <c r="K18" i="16" l="1"/>
  <c r="K19" i="16" s="1"/>
  <c r="L18" i="16" l="1"/>
  <c r="L19" i="16" s="1"/>
  <c r="I132" i="4"/>
  <c r="I24" i="4" l="1"/>
  <c r="J20" i="4" l="1"/>
  <c r="I20" i="4"/>
  <c r="F20" i="4"/>
  <c r="J124" i="13" l="1"/>
  <c r="I124" i="13"/>
  <c r="M124" i="13" l="1"/>
  <c r="N124" i="13" s="1"/>
  <c r="J134" i="13"/>
  <c r="I134" i="13"/>
  <c r="J186" i="13"/>
  <c r="I186" i="13"/>
  <c r="M134" i="13" l="1"/>
  <c r="N134" i="13" s="1"/>
  <c r="M186" i="13"/>
  <c r="N186" i="13" s="1"/>
  <c r="H233" i="13"/>
  <c r="H240" i="13" s="1"/>
  <c r="K114" i="13"/>
  <c r="L114" i="13"/>
  <c r="H114" i="13"/>
  <c r="K50" i="16"/>
  <c r="H76" i="16"/>
  <c r="I76" i="16"/>
  <c r="J76" i="16"/>
  <c r="K54" i="16"/>
  <c r="L54" i="16" s="1"/>
  <c r="F265" i="4"/>
  <c r="L105" i="13" l="1"/>
  <c r="K105" i="13"/>
  <c r="J104" i="13"/>
  <c r="J105" i="13" s="1"/>
  <c r="I104" i="13"/>
  <c r="I112" i="13"/>
  <c r="J112" i="13"/>
  <c r="I178" i="13"/>
  <c r="J178" i="13"/>
  <c r="J47" i="13"/>
  <c r="I47" i="13"/>
  <c r="G247" i="4"/>
  <c r="H247" i="4"/>
  <c r="I369" i="4"/>
  <c r="J369" i="4"/>
  <c r="K247" i="4" l="1"/>
  <c r="L247" i="4" s="1"/>
  <c r="M104" i="13"/>
  <c r="M105" i="13" s="1"/>
  <c r="M47" i="13"/>
  <c r="N47" i="13" s="1"/>
  <c r="M112" i="13"/>
  <c r="N112" i="13" s="1"/>
  <c r="M178" i="13"/>
  <c r="I105" i="13"/>
  <c r="N178" i="13" l="1"/>
  <c r="N104" i="13"/>
  <c r="N105" i="13" s="1"/>
  <c r="J215" i="13"/>
  <c r="I215" i="13"/>
  <c r="J210" i="13"/>
  <c r="I210" i="13"/>
  <c r="J224" i="13"/>
  <c r="I224" i="13"/>
  <c r="J223" i="13"/>
  <c r="I223" i="13"/>
  <c r="I219" i="13"/>
  <c r="J205" i="13"/>
  <c r="I205" i="13"/>
  <c r="I201" i="13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382" i="4"/>
  <c r="G372" i="4"/>
  <c r="H372" i="4"/>
  <c r="G373" i="4"/>
  <c r="H373" i="4"/>
  <c r="I17" i="14"/>
  <c r="J17" i="14"/>
  <c r="I177" i="13"/>
  <c r="J177" i="13"/>
  <c r="M128" i="13"/>
  <c r="M130" i="13" s="1"/>
  <c r="K119" i="13"/>
  <c r="L119" i="13"/>
  <c r="I117" i="13"/>
  <c r="J117" i="13"/>
  <c r="J113" i="13"/>
  <c r="J114" i="13" s="1"/>
  <c r="I113" i="13"/>
  <c r="I68" i="13"/>
  <c r="J68" i="13"/>
  <c r="L57" i="13"/>
  <c r="K57" i="13"/>
  <c r="J56" i="13"/>
  <c r="J57" i="13" s="1"/>
  <c r="I56" i="13"/>
  <c r="I57" i="13" s="1"/>
  <c r="K38" i="13"/>
  <c r="L38" i="13"/>
  <c r="I32" i="13"/>
  <c r="J32" i="13"/>
  <c r="J26" i="13"/>
  <c r="I26" i="13"/>
  <c r="J9" i="13"/>
  <c r="J12" i="13" s="1"/>
  <c r="J90" i="16"/>
  <c r="I90" i="16"/>
  <c r="H90" i="16"/>
  <c r="G90" i="16"/>
  <c r="K89" i="16"/>
  <c r="K90" i="16" s="1"/>
  <c r="L126" i="16"/>
  <c r="L128" i="16" s="1"/>
  <c r="K97" i="16"/>
  <c r="K98" i="16" s="1"/>
  <c r="K26" i="16"/>
  <c r="K27" i="16" s="1"/>
  <c r="J27" i="16"/>
  <c r="I27" i="16"/>
  <c r="H27" i="16"/>
  <c r="G27" i="16"/>
  <c r="J15" i="16"/>
  <c r="G15" i="16"/>
  <c r="I14" i="16"/>
  <c r="I15" i="16" s="1"/>
  <c r="H14" i="16"/>
  <c r="G11" i="16"/>
  <c r="K10" i="16"/>
  <c r="K11" i="16" s="1"/>
  <c r="J11" i="16"/>
  <c r="I11" i="16"/>
  <c r="I403" i="4"/>
  <c r="J403" i="4"/>
  <c r="I379" i="4"/>
  <c r="J379" i="4"/>
  <c r="I374" i="4"/>
  <c r="J374" i="4"/>
  <c r="I364" i="4"/>
  <c r="J364" i="4"/>
  <c r="I360" i="4"/>
  <c r="J360" i="4"/>
  <c r="I356" i="4"/>
  <c r="J356" i="4"/>
  <c r="I351" i="4"/>
  <c r="J351" i="4"/>
  <c r="I347" i="4"/>
  <c r="I287" i="4"/>
  <c r="J287" i="4"/>
  <c r="I282" i="4"/>
  <c r="J282" i="4"/>
  <c r="I277" i="4"/>
  <c r="J277" i="4"/>
  <c r="I270" i="4"/>
  <c r="J270" i="4"/>
  <c r="I265" i="4"/>
  <c r="J265" i="4"/>
  <c r="I259" i="4"/>
  <c r="J259" i="4"/>
  <c r="I254" i="4"/>
  <c r="J254" i="4"/>
  <c r="I249" i="4"/>
  <c r="J249" i="4"/>
  <c r="I242" i="4"/>
  <c r="J242" i="4"/>
  <c r="I238" i="4"/>
  <c r="J238" i="4"/>
  <c r="I233" i="4"/>
  <c r="J233" i="4"/>
  <c r="I229" i="4"/>
  <c r="J229" i="4"/>
  <c r="I224" i="4"/>
  <c r="J224" i="4"/>
  <c r="G219" i="4"/>
  <c r="H219" i="4"/>
  <c r="I219" i="4"/>
  <c r="J219" i="4"/>
  <c r="I215" i="4"/>
  <c r="J215" i="4"/>
  <c r="I211" i="4"/>
  <c r="J211" i="4"/>
  <c r="I206" i="4"/>
  <c r="J206" i="4"/>
  <c r="I202" i="4"/>
  <c r="J202" i="4"/>
  <c r="I176" i="4"/>
  <c r="J176" i="4"/>
  <c r="I172" i="4"/>
  <c r="J172" i="4"/>
  <c r="I159" i="4"/>
  <c r="J159" i="4"/>
  <c r="J154" i="4"/>
  <c r="I146" i="4"/>
  <c r="J146" i="4"/>
  <c r="J132" i="4"/>
  <c r="I126" i="4"/>
  <c r="J126" i="4"/>
  <c r="J119" i="4"/>
  <c r="I106" i="4"/>
  <c r="J106" i="4"/>
  <c r="I102" i="4"/>
  <c r="J102" i="4"/>
  <c r="I98" i="4"/>
  <c r="J98" i="4"/>
  <c r="I94" i="4"/>
  <c r="J94" i="4"/>
  <c r="I76" i="4"/>
  <c r="J76" i="4"/>
  <c r="I72" i="4"/>
  <c r="J72" i="4"/>
  <c r="I63" i="4"/>
  <c r="J63" i="4"/>
  <c r="I49" i="4"/>
  <c r="J49" i="4"/>
  <c r="I30" i="4"/>
  <c r="J30" i="4"/>
  <c r="H24" i="4"/>
  <c r="J24" i="4"/>
  <c r="I16" i="4"/>
  <c r="J16" i="4"/>
  <c r="F374" i="4"/>
  <c r="F364" i="4"/>
  <c r="F360" i="4"/>
  <c r="F356" i="4"/>
  <c r="F351" i="4"/>
  <c r="F287" i="4"/>
  <c r="F282" i="4"/>
  <c r="F270" i="4"/>
  <c r="F254" i="4"/>
  <c r="F249" i="4"/>
  <c r="F242" i="4"/>
  <c r="F238" i="4"/>
  <c r="F233" i="4"/>
  <c r="F229" i="4"/>
  <c r="F224" i="4"/>
  <c r="F219" i="4"/>
  <c r="F215" i="4"/>
  <c r="F211" i="4"/>
  <c r="F206" i="4"/>
  <c r="F202" i="4"/>
  <c r="F176" i="4"/>
  <c r="F172" i="4"/>
  <c r="F154" i="4"/>
  <c r="F146" i="4"/>
  <c r="F132" i="4"/>
  <c r="F126" i="4"/>
  <c r="F119" i="4"/>
  <c r="F106" i="4"/>
  <c r="F102" i="4"/>
  <c r="F98" i="4"/>
  <c r="F76" i="4"/>
  <c r="F72" i="4"/>
  <c r="F63" i="4"/>
  <c r="F49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304" i="4"/>
  <c r="H304" i="4"/>
  <c r="G305" i="4"/>
  <c r="H305" i="4"/>
  <c r="G306" i="4"/>
  <c r="H306" i="4"/>
  <c r="G307" i="4"/>
  <c r="H307" i="4"/>
  <c r="G308" i="4"/>
  <c r="H308" i="4"/>
  <c r="G309" i="4"/>
  <c r="H309" i="4"/>
  <c r="G310" i="4"/>
  <c r="H310" i="4"/>
  <c r="G311" i="4"/>
  <c r="H311" i="4"/>
  <c r="G312" i="4"/>
  <c r="H312" i="4"/>
  <c r="G313" i="4"/>
  <c r="H313" i="4"/>
  <c r="G314" i="4"/>
  <c r="H314" i="4"/>
  <c r="G293" i="4"/>
  <c r="G291" i="4"/>
  <c r="G289" i="4"/>
  <c r="H289" i="4"/>
  <c r="G290" i="4"/>
  <c r="H290" i="4"/>
  <c r="H291" i="4"/>
  <c r="G292" i="4"/>
  <c r="H292" i="4"/>
  <c r="H293" i="4"/>
  <c r="H118" i="4"/>
  <c r="H119" i="4" s="1"/>
  <c r="H114" i="4"/>
  <c r="G111" i="4"/>
  <c r="M9" i="13" l="1"/>
  <c r="K303" i="4"/>
  <c r="I114" i="13"/>
  <c r="M113" i="13"/>
  <c r="M114" i="13" s="1"/>
  <c r="G316" i="4"/>
  <c r="H316" i="4"/>
  <c r="K314" i="4"/>
  <c r="K295" i="4"/>
  <c r="K372" i="4"/>
  <c r="L372" i="4" s="1"/>
  <c r="H403" i="4"/>
  <c r="M205" i="13"/>
  <c r="N205" i="13" s="1"/>
  <c r="N206" i="13" s="1"/>
  <c r="M32" i="13"/>
  <c r="N32" i="13" s="1"/>
  <c r="K373" i="4"/>
  <c r="L373" i="4" s="1"/>
  <c r="M177" i="13"/>
  <c r="N177" i="13" s="1"/>
  <c r="N128" i="13"/>
  <c r="N130" i="13" s="1"/>
  <c r="M117" i="13"/>
  <c r="M68" i="13"/>
  <c r="N68" i="13" s="1"/>
  <c r="M56" i="13"/>
  <c r="M57" i="13" s="1"/>
  <c r="L89" i="16"/>
  <c r="L90" i="16" s="1"/>
  <c r="K14" i="16"/>
  <c r="K15" i="16" s="1"/>
  <c r="L26" i="16"/>
  <c r="L27" i="16" s="1"/>
  <c r="H15" i="16"/>
  <c r="L10" i="16"/>
  <c r="L11" i="16" s="1"/>
  <c r="H11" i="16"/>
  <c r="H15" i="4"/>
  <c r="G8" i="4"/>
  <c r="G9" i="4"/>
  <c r="H9" i="4"/>
  <c r="H10" i="4"/>
  <c r="G10" i="4"/>
  <c r="G11" i="4"/>
  <c r="H11" i="4"/>
  <c r="H13" i="4"/>
  <c r="G13" i="4"/>
  <c r="G14" i="4"/>
  <c r="H14" i="4"/>
  <c r="G15" i="4"/>
  <c r="G12" i="4"/>
  <c r="K13" i="4" l="1"/>
  <c r="N9" i="13"/>
  <c r="N12" i="13" s="1"/>
  <c r="M12" i="13"/>
  <c r="K11" i="4"/>
  <c r="G16" i="4"/>
  <c r="N117" i="13"/>
  <c r="N113" i="13"/>
  <c r="N114" i="13" s="1"/>
  <c r="N56" i="13"/>
  <c r="N57" i="13" s="1"/>
  <c r="L14" i="16"/>
  <c r="L15" i="16" s="1"/>
  <c r="M215" i="13" l="1"/>
  <c r="N215" i="13" s="1"/>
  <c r="N216" i="13" s="1"/>
  <c r="J156" i="13"/>
  <c r="I156" i="13"/>
  <c r="I94" i="13"/>
  <c r="M156" i="13" l="1"/>
  <c r="N156" i="13" s="1"/>
  <c r="M94" i="13"/>
  <c r="H119" i="16"/>
  <c r="I119" i="16"/>
  <c r="J119" i="16"/>
  <c r="K117" i="16"/>
  <c r="L117" i="16" s="1"/>
  <c r="N94" i="13" l="1"/>
  <c r="K74" i="16"/>
  <c r="K118" i="16"/>
  <c r="K119" i="16" s="1"/>
  <c r="J209" i="13"/>
  <c r="J212" i="13" s="1"/>
  <c r="J95" i="13"/>
  <c r="J97" i="13" s="1"/>
  <c r="H205" i="4"/>
  <c r="H206" i="4" s="1"/>
  <c r="K84" i="16"/>
  <c r="K86" i="16" s="1"/>
  <c r="J106" i="16"/>
  <c r="I106" i="16"/>
  <c r="H106" i="16"/>
  <c r="G106" i="16"/>
  <c r="K105" i="16"/>
  <c r="K106" i="16" s="1"/>
  <c r="J51" i="16"/>
  <c r="I51" i="16"/>
  <c r="H51" i="16"/>
  <c r="G51" i="16"/>
  <c r="K51" i="16"/>
  <c r="L74" i="16" l="1"/>
  <c r="K76" i="16"/>
  <c r="L84" i="16"/>
  <c r="L86" i="16" s="1"/>
  <c r="L75" i="16"/>
  <c r="L105" i="16"/>
  <c r="L106" i="16" s="1"/>
  <c r="L50" i="16"/>
  <c r="L51" i="16" s="1"/>
  <c r="L76" i="16" l="1"/>
  <c r="F259" i="4"/>
  <c r="G378" i="4"/>
  <c r="H378" i="4"/>
  <c r="K291" i="4"/>
  <c r="L291" i="4" s="1"/>
  <c r="G343" i="4"/>
  <c r="H343" i="4"/>
  <c r="K149" i="13"/>
  <c r="L149" i="13"/>
  <c r="K63" i="13"/>
  <c r="L63" i="13"/>
  <c r="J118" i="13"/>
  <c r="J119" i="13" s="1"/>
  <c r="I118" i="13"/>
  <c r="I119" i="13" s="1"/>
  <c r="H350" i="4"/>
  <c r="H351" i="4" s="1"/>
  <c r="G350" i="4"/>
  <c r="G351" i="4" s="1"/>
  <c r="H195" i="4"/>
  <c r="G195" i="4"/>
  <c r="K139" i="13"/>
  <c r="L139" i="13"/>
  <c r="L153" i="13"/>
  <c r="K153" i="13"/>
  <c r="J153" i="13"/>
  <c r="I152" i="13"/>
  <c r="I153" i="13" s="1"/>
  <c r="H9" i="14"/>
  <c r="G9" i="14"/>
  <c r="K343" i="4" l="1"/>
  <c r="L343" i="4" s="1"/>
  <c r="K312" i="4"/>
  <c r="L312" i="4" s="1"/>
  <c r="K378" i="4"/>
  <c r="L378" i="4" s="1"/>
  <c r="L314" i="4"/>
  <c r="K313" i="4"/>
  <c r="L313" i="4" s="1"/>
  <c r="K350" i="4"/>
  <c r="K351" i="4" s="1"/>
  <c r="M118" i="13"/>
  <c r="M119" i="13" s="1"/>
  <c r="K195" i="4"/>
  <c r="L195" i="4" s="1"/>
  <c r="L9" i="14"/>
  <c r="M152" i="13"/>
  <c r="N152" i="13" s="1"/>
  <c r="N153" i="13" s="1"/>
  <c r="L350" i="4" l="1"/>
  <c r="L351" i="4" s="1"/>
  <c r="N118" i="13"/>
  <c r="N119" i="13" s="1"/>
  <c r="M153" i="13"/>
  <c r="J39" i="16" l="1"/>
  <c r="I39" i="16"/>
  <c r="H39" i="16"/>
  <c r="G39" i="16"/>
  <c r="K38" i="16"/>
  <c r="L38" i="16" s="1"/>
  <c r="L39" i="16" s="1"/>
  <c r="K48" i="13"/>
  <c r="L48" i="13"/>
  <c r="J52" i="13"/>
  <c r="J53" i="13" s="1"/>
  <c r="L53" i="13"/>
  <c r="K53" i="13"/>
  <c r="I52" i="13"/>
  <c r="G158" i="4"/>
  <c r="G159" i="4" s="1"/>
  <c r="H158" i="4"/>
  <c r="H159" i="4" s="1"/>
  <c r="G153" i="4"/>
  <c r="B14" i="16" l="1"/>
  <c r="K158" i="4"/>
  <c r="L158" i="4" s="1"/>
  <c r="K39" i="16"/>
  <c r="M52" i="13"/>
  <c r="N52" i="13" s="1"/>
  <c r="N53" i="13" s="1"/>
  <c r="I53" i="13"/>
  <c r="B18" i="16" l="1"/>
  <c r="B22" i="16" s="1"/>
  <c r="B26" i="16" s="1"/>
  <c r="B30" i="16" s="1"/>
  <c r="M53" i="13"/>
  <c r="I190" i="13" l="1"/>
  <c r="I176" i="13"/>
  <c r="J176" i="13"/>
  <c r="K82" i="13"/>
  <c r="L82" i="13"/>
  <c r="K77" i="13"/>
  <c r="L77" i="13"/>
  <c r="K182" i="13"/>
  <c r="L182" i="13"/>
  <c r="K193" i="13"/>
  <c r="L193" i="13"/>
  <c r="K218" i="4"/>
  <c r="K219" i="4" s="1"/>
  <c r="G69" i="4"/>
  <c r="H69" i="4"/>
  <c r="K14" i="4"/>
  <c r="A19" i="4"/>
  <c r="A23" i="4" s="1"/>
  <c r="H14" i="14"/>
  <c r="G14" i="14"/>
  <c r="H13" i="14"/>
  <c r="G13" i="14"/>
  <c r="H11" i="14"/>
  <c r="G11" i="14"/>
  <c r="J190" i="13"/>
  <c r="J76" i="13"/>
  <c r="J77" i="13" s="1"/>
  <c r="I76" i="13"/>
  <c r="I77" i="13" s="1"/>
  <c r="I81" i="13"/>
  <c r="J81" i="13"/>
  <c r="I80" i="13"/>
  <c r="I72" i="13"/>
  <c r="H281" i="4"/>
  <c r="G281" i="4"/>
  <c r="G258" i="4"/>
  <c r="G323" i="4"/>
  <c r="H323" i="4"/>
  <c r="L218" i="4" l="1"/>
  <c r="L219" i="4" s="1"/>
  <c r="M190" i="13"/>
  <c r="N190" i="13" s="1"/>
  <c r="K289" i="4"/>
  <c r="K69" i="4"/>
  <c r="K15" i="4"/>
  <c r="L15" i="4" s="1"/>
  <c r="K281" i="4"/>
  <c r="L281" i="4" s="1"/>
  <c r="I82" i="13"/>
  <c r="M176" i="13"/>
  <c r="M76" i="13"/>
  <c r="L11" i="14"/>
  <c r="L14" i="14"/>
  <c r="L13" i="14"/>
  <c r="M81" i="13"/>
  <c r="N81" i="13" s="1"/>
  <c r="K323" i="4"/>
  <c r="L323" i="4" s="1"/>
  <c r="A27" i="4" l="1"/>
  <c r="A28" i="4" s="1"/>
  <c r="A29" i="4" s="1"/>
  <c r="A33" i="4" s="1"/>
  <c r="A34" i="4" s="1"/>
  <c r="A35" i="4" s="1"/>
  <c r="L289" i="4"/>
  <c r="N176" i="13"/>
  <c r="N76" i="13"/>
  <c r="N77" i="13" s="1"/>
  <c r="M77" i="13"/>
  <c r="L11" i="4"/>
  <c r="A36" i="4" l="1"/>
  <c r="A39" i="4" s="1"/>
  <c r="A40" i="4" s="1"/>
  <c r="A41" i="4" s="1"/>
  <c r="A42" i="4" s="1"/>
  <c r="A43" i="4" s="1"/>
  <c r="M206" i="13"/>
  <c r="L206" i="13"/>
  <c r="K206" i="13"/>
  <c r="J206" i="13"/>
  <c r="I206" i="13"/>
  <c r="J192" i="13"/>
  <c r="I192" i="13"/>
  <c r="I185" i="13"/>
  <c r="I187" i="13" s="1"/>
  <c r="J185" i="13"/>
  <c r="J187" i="13" s="1"/>
  <c r="I181" i="13"/>
  <c r="I180" i="13"/>
  <c r="J180" i="13"/>
  <c r="J181" i="13"/>
  <c r="I179" i="13"/>
  <c r="J179" i="13"/>
  <c r="J171" i="13"/>
  <c r="J173" i="13" s="1"/>
  <c r="I171" i="13"/>
  <c r="I167" i="13"/>
  <c r="K164" i="13"/>
  <c r="L164" i="13"/>
  <c r="J162" i="13"/>
  <c r="I162" i="13"/>
  <c r="I46" i="13"/>
  <c r="J46" i="13"/>
  <c r="J37" i="13"/>
  <c r="I37" i="13"/>
  <c r="J27" i="13"/>
  <c r="I31" i="13"/>
  <c r="I33" i="13" s="1"/>
  <c r="J31" i="13"/>
  <c r="J33" i="13" s="1"/>
  <c r="L27" i="13"/>
  <c r="K27" i="13"/>
  <c r="H328" i="4"/>
  <c r="H329" i="4"/>
  <c r="H330" i="4"/>
  <c r="H331" i="4"/>
  <c r="H332" i="4"/>
  <c r="H333" i="4"/>
  <c r="H334" i="4"/>
  <c r="H335" i="4"/>
  <c r="H340" i="4"/>
  <c r="H336" i="4"/>
  <c r="H339" i="4"/>
  <c r="H342" i="4"/>
  <c r="H337" i="4"/>
  <c r="H338" i="4"/>
  <c r="H341" i="4"/>
  <c r="H344" i="4"/>
  <c r="G328" i="4"/>
  <c r="K328" i="4" s="1"/>
  <c r="G329" i="4"/>
  <c r="G330" i="4"/>
  <c r="K330" i="4" s="1"/>
  <c r="L330" i="4" s="1"/>
  <c r="G331" i="4"/>
  <c r="G332" i="4"/>
  <c r="G333" i="4"/>
  <c r="G334" i="4"/>
  <c r="G335" i="4"/>
  <c r="K335" i="4" s="1"/>
  <c r="L335" i="4" s="1"/>
  <c r="G340" i="4"/>
  <c r="K340" i="4" s="1"/>
  <c r="L340" i="4" s="1"/>
  <c r="G336" i="4"/>
  <c r="G339" i="4"/>
  <c r="K339" i="4" s="1"/>
  <c r="G342" i="4"/>
  <c r="G337" i="4"/>
  <c r="K337" i="4" s="1"/>
  <c r="L337" i="4" s="1"/>
  <c r="G338" i="4"/>
  <c r="K338" i="4" s="1"/>
  <c r="L338" i="4" s="1"/>
  <c r="G341" i="4"/>
  <c r="K341" i="4" s="1"/>
  <c r="L341" i="4" s="1"/>
  <c r="G344" i="4"/>
  <c r="K344" i="4" s="1"/>
  <c r="L344" i="4" s="1"/>
  <c r="G327" i="4"/>
  <c r="H327" i="4"/>
  <c r="H321" i="4"/>
  <c r="G321" i="4"/>
  <c r="G322" i="4"/>
  <c r="H322" i="4"/>
  <c r="K228" i="4"/>
  <c r="H162" i="4"/>
  <c r="G74" i="4"/>
  <c r="H74" i="4"/>
  <c r="H66" i="4"/>
  <c r="G66" i="4"/>
  <c r="K47" i="4"/>
  <c r="H20" i="4"/>
  <c r="B34" i="16"/>
  <c r="B38" i="16" s="1"/>
  <c r="B42" i="16" s="1"/>
  <c r="K999979" i="16"/>
  <c r="C16654" i="16"/>
  <c r="C16656" i="16" s="1"/>
  <c r="J110" i="16"/>
  <c r="G110" i="16"/>
  <c r="J102" i="16"/>
  <c r="G102" i="16"/>
  <c r="K101" i="16"/>
  <c r="L101" i="16" s="1"/>
  <c r="I102" i="16"/>
  <c r="J98" i="16"/>
  <c r="G98" i="16"/>
  <c r="L97" i="16"/>
  <c r="I98" i="16"/>
  <c r="J55" i="16"/>
  <c r="G55" i="16"/>
  <c r="J47" i="16"/>
  <c r="G47" i="16"/>
  <c r="I47" i="16"/>
  <c r="H47" i="16"/>
  <c r="K46" i="16"/>
  <c r="L46" i="16" s="1"/>
  <c r="J43" i="16"/>
  <c r="G43" i="16"/>
  <c r="K42" i="16"/>
  <c r="L42" i="16" s="1"/>
  <c r="J35" i="16"/>
  <c r="G35" i="16"/>
  <c r="I35" i="16"/>
  <c r="K34" i="16"/>
  <c r="J31" i="16"/>
  <c r="G31" i="16"/>
  <c r="K30" i="16"/>
  <c r="L30" i="16" s="1"/>
  <c r="J23" i="16"/>
  <c r="G23" i="16"/>
  <c r="I23" i="16"/>
  <c r="H23" i="16"/>
  <c r="K22" i="16"/>
  <c r="L22" i="16" s="1"/>
  <c r="K333" i="4" l="1"/>
  <c r="L333" i="4" s="1"/>
  <c r="K332" i="4"/>
  <c r="L332" i="4" s="1"/>
  <c r="K334" i="4"/>
  <c r="L334" i="4" s="1"/>
  <c r="H347" i="4"/>
  <c r="G347" i="4"/>
  <c r="M171" i="13"/>
  <c r="M173" i="13" s="1"/>
  <c r="I173" i="13"/>
  <c r="L339" i="4"/>
  <c r="L328" i="4"/>
  <c r="M185" i="13"/>
  <c r="M187" i="13" s="1"/>
  <c r="K329" i="4"/>
  <c r="L329" i="4" s="1"/>
  <c r="K331" i="4"/>
  <c r="L331" i="4" s="1"/>
  <c r="K342" i="4"/>
  <c r="L342" i="4" s="1"/>
  <c r="K336" i="4"/>
  <c r="L336" i="4" s="1"/>
  <c r="K327" i="4"/>
  <c r="I182" i="13"/>
  <c r="M192" i="13"/>
  <c r="N192" i="13" s="1"/>
  <c r="J182" i="13"/>
  <c r="K322" i="4"/>
  <c r="L322" i="4" s="1"/>
  <c r="K321" i="4"/>
  <c r="L321" i="4" s="1"/>
  <c r="M181" i="13"/>
  <c r="M162" i="13"/>
  <c r="N162" i="13" s="1"/>
  <c r="M46" i="13"/>
  <c r="N46" i="13" s="1"/>
  <c r="M31" i="13"/>
  <c r="M33" i="13" s="1"/>
  <c r="M37" i="13"/>
  <c r="N37" i="13" s="1"/>
  <c r="M26" i="13"/>
  <c r="N26" i="13" s="1"/>
  <c r="N27" i="13" s="1"/>
  <c r="I27" i="13"/>
  <c r="L102" i="16"/>
  <c r="I43" i="16"/>
  <c r="I110" i="16"/>
  <c r="H102" i="16"/>
  <c r="H43" i="16"/>
  <c r="I55" i="16"/>
  <c r="I31" i="16"/>
  <c r="H35" i="16"/>
  <c r="H55" i="16"/>
  <c r="H98" i="16"/>
  <c r="L34" i="16"/>
  <c r="H31" i="16"/>
  <c r="H110" i="16"/>
  <c r="L118" i="16"/>
  <c r="L119" i="16" s="1"/>
  <c r="K347" i="4" l="1"/>
  <c r="N181" i="13"/>
  <c r="N31" i="13"/>
  <c r="N33" i="13" s="1"/>
  <c r="L327" i="4"/>
  <c r="L347" i="4" s="1"/>
  <c r="M27" i="13"/>
  <c r="L35" i="16"/>
  <c r="K102" i="16"/>
  <c r="K47" i="16"/>
  <c r="K23" i="16"/>
  <c r="K35" i="16"/>
  <c r="L98" i="16"/>
  <c r="L23" i="16"/>
  <c r="K43" i="16"/>
  <c r="L43" i="16"/>
  <c r="L47" i="16"/>
  <c r="K55" i="16"/>
  <c r="L31" i="16"/>
  <c r="K31" i="16"/>
  <c r="L55" i="16"/>
  <c r="K66" i="4" l="1"/>
  <c r="G84" i="4"/>
  <c r="H84" i="4"/>
  <c r="G371" i="4"/>
  <c r="H371" i="4"/>
  <c r="H374" i="4" s="1"/>
  <c r="G257" i="4"/>
  <c r="G259" i="4" s="1"/>
  <c r="H257" i="4"/>
  <c r="K202" i="13"/>
  <c r="L202" i="13"/>
  <c r="J108" i="13"/>
  <c r="I108" i="13"/>
  <c r="K131" i="4"/>
  <c r="M108" i="13" l="1"/>
  <c r="K371" i="4"/>
  <c r="G374" i="4"/>
  <c r="K84" i="4"/>
  <c r="K257" i="4"/>
  <c r="K109" i="13"/>
  <c r="L109" i="13"/>
  <c r="J67" i="13"/>
  <c r="J69" i="13" s="1"/>
  <c r="I67" i="13"/>
  <c r="I69" i="13" s="1"/>
  <c r="J219" i="13"/>
  <c r="J220" i="13" s="1"/>
  <c r="L220" i="13"/>
  <c r="K220" i="13"/>
  <c r="L216" i="13"/>
  <c r="K216" i="13"/>
  <c r="J216" i="13"/>
  <c r="I216" i="13"/>
  <c r="I157" i="13"/>
  <c r="I159" i="13" s="1"/>
  <c r="J157" i="13"/>
  <c r="J159" i="13" s="1"/>
  <c r="H8" i="14"/>
  <c r="G8" i="14"/>
  <c r="H258" i="4"/>
  <c r="H259" i="4" s="1"/>
  <c r="H276" i="4"/>
  <c r="G276" i="4"/>
  <c r="H275" i="4"/>
  <c r="G275" i="4"/>
  <c r="H274" i="4"/>
  <c r="G274" i="4"/>
  <c r="H273" i="4"/>
  <c r="G273" i="4"/>
  <c r="G253" i="4"/>
  <c r="H253" i="4"/>
  <c r="K237" i="13"/>
  <c r="L237" i="13"/>
  <c r="K233" i="13"/>
  <c r="L233" i="13"/>
  <c r="K229" i="13"/>
  <c r="L229" i="13"/>
  <c r="I225" i="13"/>
  <c r="J225" i="13"/>
  <c r="K225" i="13"/>
  <c r="L225" i="13"/>
  <c r="K168" i="13"/>
  <c r="L168" i="13"/>
  <c r="K101" i="13"/>
  <c r="L101" i="13"/>
  <c r="K90" i="13"/>
  <c r="L90" i="13"/>
  <c r="K73" i="13"/>
  <c r="L73" i="13"/>
  <c r="K42" i="13"/>
  <c r="L42" i="13"/>
  <c r="J201" i="13"/>
  <c r="M201" i="13" s="1"/>
  <c r="J168" i="13"/>
  <c r="J146" i="13"/>
  <c r="I146" i="13"/>
  <c r="L84" i="4" l="1"/>
  <c r="G277" i="4"/>
  <c r="H277" i="4"/>
  <c r="L257" i="4"/>
  <c r="L371" i="4"/>
  <c r="M67" i="13"/>
  <c r="M219" i="13"/>
  <c r="N219" i="13" s="1"/>
  <c r="N220" i="13" s="1"/>
  <c r="I220" i="13"/>
  <c r="M157" i="13"/>
  <c r="M159" i="13" s="1"/>
  <c r="N108" i="13"/>
  <c r="K258" i="4"/>
  <c r="L258" i="4" s="1"/>
  <c r="K307" i="4"/>
  <c r="L307" i="4" s="1"/>
  <c r="K274" i="4"/>
  <c r="K276" i="4"/>
  <c r="L276" i="4" s="1"/>
  <c r="K275" i="4"/>
  <c r="L275" i="4" s="1"/>
  <c r="K273" i="4"/>
  <c r="K253" i="4"/>
  <c r="L253" i="4" s="1"/>
  <c r="M224" i="13"/>
  <c r="N224" i="13" s="1"/>
  <c r="J15" i="13"/>
  <c r="J17" i="13" s="1"/>
  <c r="I15" i="13"/>
  <c r="I17" i="13" s="1"/>
  <c r="I209" i="13"/>
  <c r="I212" i="13" s="1"/>
  <c r="J236" i="13"/>
  <c r="J237" i="13" s="1"/>
  <c r="I236" i="13"/>
  <c r="I237" i="13" s="1"/>
  <c r="M180" i="13"/>
  <c r="N180" i="13" s="1"/>
  <c r="J191" i="13"/>
  <c r="J193" i="13" s="1"/>
  <c r="I191" i="13"/>
  <c r="I193" i="13" s="1"/>
  <c r="N67" i="13" l="1"/>
  <c r="N69" i="13" s="1"/>
  <c r="M69" i="13"/>
  <c r="L259" i="4"/>
  <c r="K259" i="4"/>
  <c r="L274" i="4"/>
  <c r="K277" i="4"/>
  <c r="M210" i="13"/>
  <c r="N210" i="13" s="1"/>
  <c r="N157" i="13"/>
  <c r="N159" i="13" s="1"/>
  <c r="J202" i="13"/>
  <c r="I202" i="13"/>
  <c r="M220" i="13"/>
  <c r="M216" i="13"/>
  <c r="L273" i="4"/>
  <c r="M15" i="13"/>
  <c r="M17" i="13" s="1"/>
  <c r="M209" i="13"/>
  <c r="M236" i="13"/>
  <c r="M237" i="13" s="1"/>
  <c r="M191" i="13"/>
  <c r="M193" i="13" s="1"/>
  <c r="M212" i="13" l="1"/>
  <c r="N15" i="13"/>
  <c r="N17" i="13" s="1"/>
  <c r="L277" i="4"/>
  <c r="M202" i="13"/>
  <c r="N191" i="13"/>
  <c r="N193" i="13" s="1"/>
  <c r="N201" i="13"/>
  <c r="N202" i="13" s="1"/>
  <c r="N209" i="13"/>
  <c r="N212" i="13" s="1"/>
  <c r="N236" i="13"/>
  <c r="N237" i="13" s="1"/>
  <c r="J163" i="13" l="1"/>
  <c r="J164" i="13" s="1"/>
  <c r="I163" i="13"/>
  <c r="I164" i="13" s="1"/>
  <c r="J142" i="13"/>
  <c r="I142" i="13"/>
  <c r="J100" i="13"/>
  <c r="J101" i="13" s="1"/>
  <c r="I100" i="13"/>
  <c r="I101" i="13" s="1"/>
  <c r="I89" i="13"/>
  <c r="J89" i="13"/>
  <c r="J80" i="13"/>
  <c r="J82" i="13" s="1"/>
  <c r="J45" i="13"/>
  <c r="I45" i="13"/>
  <c r="I21" i="13"/>
  <c r="I23" i="13" s="1"/>
  <c r="J21" i="13"/>
  <c r="J23" i="13" s="1"/>
  <c r="J48" i="13" l="1"/>
  <c r="I48" i="13"/>
  <c r="M163" i="13"/>
  <c r="M164" i="13" s="1"/>
  <c r="M142" i="13"/>
  <c r="M146" i="13"/>
  <c r="M100" i="13"/>
  <c r="M89" i="13"/>
  <c r="N89" i="13" s="1"/>
  <c r="M80" i="13"/>
  <c r="M82" i="13" s="1"/>
  <c r="M45" i="13"/>
  <c r="M21" i="13"/>
  <c r="N21" i="13" l="1"/>
  <c r="M48" i="13"/>
  <c r="N163" i="13"/>
  <c r="N164" i="13" s="1"/>
  <c r="N100" i="13"/>
  <c r="N101" i="13" s="1"/>
  <c r="M101" i="13"/>
  <c r="N142" i="13"/>
  <c r="N45" i="13"/>
  <c r="N146" i="13"/>
  <c r="N80" i="13"/>
  <c r="N82" i="13" s="1"/>
  <c r="N48" i="13" l="1"/>
  <c r="H12" i="14"/>
  <c r="G399" i="4"/>
  <c r="G402" i="4"/>
  <c r="G401" i="4"/>
  <c r="G400" i="4"/>
  <c r="G395" i="4"/>
  <c r="G394" i="4"/>
  <c r="G389" i="4"/>
  <c r="G398" i="4"/>
  <c r="G393" i="4"/>
  <c r="G392" i="4"/>
  <c r="G391" i="4"/>
  <c r="G387" i="4"/>
  <c r="G397" i="4"/>
  <c r="K397" i="4" s="1"/>
  <c r="G388" i="4"/>
  <c r="G396" i="4"/>
  <c r="G390" i="4"/>
  <c r="G386" i="4"/>
  <c r="G385" i="4"/>
  <c r="G384" i="4"/>
  <c r="G210" i="4"/>
  <c r="G383" i="4"/>
  <c r="G382" i="4"/>
  <c r="G367" i="4"/>
  <c r="K290" i="4"/>
  <c r="G403" i="4" l="1"/>
  <c r="K388" i="4"/>
  <c r="L290" i="4"/>
  <c r="K309" i="4"/>
  <c r="L309" i="4" s="1"/>
  <c r="K311" i="4"/>
  <c r="L311" i="4" s="1"/>
  <c r="K306" i="4"/>
  <c r="L306" i="4" s="1"/>
  <c r="K310" i="4"/>
  <c r="L310" i="4" s="1"/>
  <c r="L388" i="4" l="1"/>
  <c r="G227" i="4"/>
  <c r="K100" i="4"/>
  <c r="L13" i="4"/>
  <c r="H377" i="4"/>
  <c r="H379" i="4" s="1"/>
  <c r="G377" i="4"/>
  <c r="G379" i="4" s="1"/>
  <c r="H363" i="4"/>
  <c r="H364" i="4" s="1"/>
  <c r="G363" i="4"/>
  <c r="G364" i="4" s="1"/>
  <c r="H359" i="4"/>
  <c r="H360" i="4" s="1"/>
  <c r="G359" i="4"/>
  <c r="G360" i="4" s="1"/>
  <c r="H320" i="4"/>
  <c r="G320" i="4"/>
  <c r="H319" i="4"/>
  <c r="G319" i="4"/>
  <c r="H236" i="4"/>
  <c r="G236" i="4"/>
  <c r="H232" i="4"/>
  <c r="H233" i="4" s="1"/>
  <c r="G232" i="4"/>
  <c r="G233" i="4" s="1"/>
  <c r="G325" i="4" l="1"/>
  <c r="H325" i="4"/>
  <c r="G229" i="4"/>
  <c r="L14" i="4"/>
  <c r="K232" i="4"/>
  <c r="K236" i="4"/>
  <c r="L228" i="4"/>
  <c r="K377" i="4"/>
  <c r="K379" i="4" s="1"/>
  <c r="K363" i="4"/>
  <c r="K364" i="4" s="1"/>
  <c r="K359" i="4"/>
  <c r="K360" i="4" s="1"/>
  <c r="K319" i="4"/>
  <c r="K320" i="4"/>
  <c r="K325" i="4" l="1"/>
  <c r="L232" i="4"/>
  <c r="L233" i="4" s="1"/>
  <c r="K233" i="4"/>
  <c r="L359" i="4"/>
  <c r="L360" i="4" s="1"/>
  <c r="L320" i="4"/>
  <c r="L363" i="4"/>
  <c r="L364" i="4" s="1"/>
  <c r="L236" i="4"/>
  <c r="L319" i="4"/>
  <c r="L325" i="4" s="1"/>
  <c r="L377" i="4"/>
  <c r="L379" i="4" s="1"/>
  <c r="H33" i="4" l="1"/>
  <c r="H101" i="4"/>
  <c r="H102" i="4" s="1"/>
  <c r="G101" i="4"/>
  <c r="G102" i="4" s="1"/>
  <c r="H137" i="4"/>
  <c r="G137" i="4"/>
  <c r="K101" i="4" l="1"/>
  <c r="K102" i="4" s="1"/>
  <c r="K137" i="4"/>
  <c r="L137" i="4" s="1"/>
  <c r="L101" i="4" l="1"/>
  <c r="K198" i="13"/>
  <c r="K240" i="13" s="1"/>
  <c r="L198" i="13"/>
  <c r="L240" i="13" s="1"/>
  <c r="J88" i="13"/>
  <c r="J90" i="13" s="1"/>
  <c r="I88" i="13"/>
  <c r="I90" i="13" s="1"/>
  <c r="I62" i="13"/>
  <c r="J62" i="13"/>
  <c r="L47" i="4"/>
  <c r="M88" i="13" l="1"/>
  <c r="M90" i="13" s="1"/>
  <c r="M62" i="13"/>
  <c r="N62" i="13" s="1"/>
  <c r="N88" i="13" l="1"/>
  <c r="N90" i="13" s="1"/>
  <c r="K399" i="4" l="1"/>
  <c r="L399" i="4" s="1"/>
  <c r="L131" i="4" l="1"/>
  <c r="G152" i="4" l="1"/>
  <c r="H152" i="4"/>
  <c r="G196" i="4"/>
  <c r="H196" i="4"/>
  <c r="G186" i="4"/>
  <c r="H186" i="4"/>
  <c r="K302" i="4" l="1"/>
  <c r="L302" i="4" s="1"/>
  <c r="K186" i="4"/>
  <c r="K196" i="4"/>
  <c r="L196" i="4" s="1"/>
  <c r="K152" i="4"/>
  <c r="L152" i="4" s="1"/>
  <c r="G125" i="4"/>
  <c r="H125" i="4"/>
  <c r="G145" i="4"/>
  <c r="H145" i="4"/>
  <c r="L186" i="4" l="1"/>
  <c r="K145" i="4"/>
  <c r="L145" i="4" s="1"/>
  <c r="K125" i="4"/>
  <c r="G130" i="4"/>
  <c r="G48" i="4"/>
  <c r="G49" i="4" s="1"/>
  <c r="L125" i="4" l="1"/>
  <c r="I168" i="13"/>
  <c r="I144" i="13"/>
  <c r="J144" i="13"/>
  <c r="M167" i="13" l="1"/>
  <c r="N167" i="13" l="1"/>
  <c r="N168" i="13" s="1"/>
  <c r="M168" i="13"/>
  <c r="H164" i="4"/>
  <c r="H165" i="4" l="1"/>
  <c r="G129" i="4" l="1"/>
  <c r="H129" i="4"/>
  <c r="G123" i="4"/>
  <c r="H123" i="4"/>
  <c r="K123" i="4" l="1"/>
  <c r="L123" i="4" s="1"/>
  <c r="K129" i="4"/>
  <c r="L129" i="4" s="1"/>
  <c r="M223" i="13" l="1"/>
  <c r="M225" i="13" s="1"/>
  <c r="I228" i="13"/>
  <c r="I229" i="13" s="1"/>
  <c r="N185" i="13"/>
  <c r="N187" i="13" s="1"/>
  <c r="J147" i="13"/>
  <c r="I147" i="13"/>
  <c r="J148" i="13"/>
  <c r="I148" i="13"/>
  <c r="J72" i="13"/>
  <c r="J73" i="13" s="1"/>
  <c r="I73" i="13"/>
  <c r="H111" i="4"/>
  <c r="G105" i="4"/>
  <c r="G106" i="4" s="1"/>
  <c r="H105" i="4"/>
  <c r="H106" i="4" s="1"/>
  <c r="H109" i="4"/>
  <c r="G109" i="4"/>
  <c r="G113" i="4"/>
  <c r="H136" i="4"/>
  <c r="G165" i="4"/>
  <c r="K165" i="4" s="1"/>
  <c r="G136" i="4"/>
  <c r="G68" i="4"/>
  <c r="H68" i="4"/>
  <c r="G166" i="4"/>
  <c r="G162" i="4"/>
  <c r="G34" i="4"/>
  <c r="H34" i="4"/>
  <c r="G33" i="4"/>
  <c r="H54" i="4"/>
  <c r="G54" i="4"/>
  <c r="G201" i="4"/>
  <c r="G202" i="4" s="1"/>
  <c r="H201" i="4"/>
  <c r="H202" i="4" s="1"/>
  <c r="H48" i="4"/>
  <c r="H49" i="4" s="1"/>
  <c r="H166" i="4"/>
  <c r="G28" i="4"/>
  <c r="H28" i="4"/>
  <c r="G40" i="4"/>
  <c r="H40" i="4"/>
  <c r="G43" i="4"/>
  <c r="H43" i="4"/>
  <c r="G93" i="4"/>
  <c r="H93" i="4"/>
  <c r="K93" i="4" l="1"/>
  <c r="K28" i="4"/>
  <c r="K40" i="4"/>
  <c r="K43" i="4"/>
  <c r="L43" i="4" s="1"/>
  <c r="K10" i="4"/>
  <c r="K9" i="4"/>
  <c r="L9" i="4" s="1"/>
  <c r="K8" i="4"/>
  <c r="N223" i="13"/>
  <c r="N225" i="13" s="1"/>
  <c r="K166" i="4"/>
  <c r="M179" i="13"/>
  <c r="M182" i="13" s="1"/>
  <c r="M148" i="13"/>
  <c r="N148" i="13" s="1"/>
  <c r="M147" i="13"/>
  <c r="N147" i="13" s="1"/>
  <c r="M72" i="13"/>
  <c r="M73" i="13" s="1"/>
  <c r="K111" i="4"/>
  <c r="L111" i="4" s="1"/>
  <c r="K109" i="4"/>
  <c r="L10" i="4" l="1"/>
  <c r="L8" i="4"/>
  <c r="N179" i="13"/>
  <c r="N182" i="13" s="1"/>
  <c r="L109" i="4"/>
  <c r="N72" i="13"/>
  <c r="N73" i="13" s="1"/>
  <c r="K201" i="4" l="1"/>
  <c r="K202" i="4" s="1"/>
  <c r="J61" i="13"/>
  <c r="I61" i="13"/>
  <c r="I63" i="13" l="1"/>
  <c r="L201" i="4"/>
  <c r="L202" i="4" s="1"/>
  <c r="K178" i="4"/>
  <c r="M61" i="13"/>
  <c r="L178" i="4" l="1"/>
  <c r="N61" i="13"/>
  <c r="N63" i="13" s="1"/>
  <c r="N171" i="13" l="1"/>
  <c r="N173" i="13" s="1"/>
  <c r="K105" i="4" l="1"/>
  <c r="K106" i="4" s="1"/>
  <c r="L105" i="4" l="1"/>
  <c r="L106" i="4" s="1"/>
  <c r="K68" i="4"/>
  <c r="L68" i="4" s="1"/>
  <c r="L69" i="4"/>
  <c r="K34" i="4"/>
  <c r="L34" i="4" s="1"/>
  <c r="K162" i="4"/>
  <c r="K33" i="4"/>
  <c r="L162" i="4" l="1"/>
  <c r="L33" i="4"/>
  <c r="A22" i="13"/>
  <c r="A26" i="13" s="1"/>
  <c r="I145" i="13"/>
  <c r="J145" i="13"/>
  <c r="I138" i="13"/>
  <c r="I139" i="13" s="1"/>
  <c r="J138" i="13"/>
  <c r="J139" i="13" s="1"/>
  <c r="M138" i="13" l="1"/>
  <c r="M139" i="13" s="1"/>
  <c r="M145" i="13"/>
  <c r="N145" i="13" s="1"/>
  <c r="N138" i="13" l="1"/>
  <c r="N139" i="13" s="1"/>
  <c r="J63" i="13"/>
  <c r="J232" i="13"/>
  <c r="J233" i="13" s="1"/>
  <c r="I232" i="13"/>
  <c r="I233" i="13" s="1"/>
  <c r="M20" i="13" l="1"/>
  <c r="M232" i="13"/>
  <c r="M233" i="13" s="1"/>
  <c r="M63" i="13"/>
  <c r="N20" i="13" l="1"/>
  <c r="N23" i="13" s="1"/>
  <c r="M23" i="13"/>
  <c r="N232" i="13"/>
  <c r="N233" i="13" s="1"/>
  <c r="H62" i="4"/>
  <c r="H192" i="4"/>
  <c r="H193" i="4"/>
  <c r="H194" i="4"/>
  <c r="H191" i="4"/>
  <c r="G191" i="4"/>
  <c r="G62" i="4"/>
  <c r="G192" i="4"/>
  <c r="G193" i="4"/>
  <c r="G194" i="4"/>
  <c r="H198" i="4" l="1"/>
  <c r="G198" i="4"/>
  <c r="K191" i="4"/>
  <c r="K62" i="4"/>
  <c r="K194" i="4"/>
  <c r="L194" i="4" s="1"/>
  <c r="K193" i="4"/>
  <c r="L193" i="4" s="1"/>
  <c r="K192" i="4"/>
  <c r="L192" i="4" s="1"/>
  <c r="H175" i="4"/>
  <c r="H176" i="4" s="1"/>
  <c r="G175" i="4"/>
  <c r="G176" i="4" s="1"/>
  <c r="K198" i="4" l="1"/>
  <c r="L191" i="4"/>
  <c r="L198" i="4" s="1"/>
  <c r="L62" i="4"/>
  <c r="L93" i="4"/>
  <c r="K175" i="4"/>
  <c r="K176" i="4" s="1"/>
  <c r="L175" i="4" l="1"/>
  <c r="L176" i="4" s="1"/>
  <c r="J197" i="13" l="1"/>
  <c r="I197" i="13"/>
  <c r="J133" i="13"/>
  <c r="J135" i="13" s="1"/>
  <c r="I133" i="13"/>
  <c r="I135" i="13" s="1"/>
  <c r="J143" i="13"/>
  <c r="J149" i="13" s="1"/>
  <c r="I143" i="13"/>
  <c r="I149" i="13" s="1"/>
  <c r="J123" i="13"/>
  <c r="J125" i="13" s="1"/>
  <c r="I123" i="13"/>
  <c r="I122" i="13"/>
  <c r="J41" i="13"/>
  <c r="I41" i="13"/>
  <c r="J36" i="13"/>
  <c r="J38" i="13" s="1"/>
  <c r="I36" i="13"/>
  <c r="I38" i="13" s="1"/>
  <c r="H367" i="4"/>
  <c r="K396" i="4"/>
  <c r="L396" i="4" s="1"/>
  <c r="H355" i="4"/>
  <c r="G355" i="4"/>
  <c r="H354" i="4"/>
  <c r="G354" i="4"/>
  <c r="I42" i="13" l="1"/>
  <c r="J42" i="13"/>
  <c r="I125" i="13"/>
  <c r="G356" i="4"/>
  <c r="H356" i="4"/>
  <c r="M122" i="13"/>
  <c r="K390" i="4"/>
  <c r="L390" i="4" s="1"/>
  <c r="M197" i="13"/>
  <c r="I198" i="13"/>
  <c r="J198" i="13"/>
  <c r="K385" i="4"/>
  <c r="L385" i="4" s="1"/>
  <c r="K367" i="4"/>
  <c r="K354" i="4"/>
  <c r="K355" i="4"/>
  <c r="L355" i="4" s="1"/>
  <c r="K383" i="4"/>
  <c r="L383" i="4" s="1"/>
  <c r="K392" i="4"/>
  <c r="L392" i="4" s="1"/>
  <c r="K393" i="4"/>
  <c r="K401" i="4"/>
  <c r="L401" i="4" s="1"/>
  <c r="K382" i="4"/>
  <c r="L382" i="4" s="1"/>
  <c r="K391" i="4"/>
  <c r="K389" i="4"/>
  <c r="L389" i="4" s="1"/>
  <c r="K398" i="4"/>
  <c r="L398" i="4" s="1"/>
  <c r="K400" i="4"/>
  <c r="L400" i="4" s="1"/>
  <c r="K402" i="4"/>
  <c r="L402" i="4" s="1"/>
  <c r="K394" i="4"/>
  <c r="L394" i="4" s="1"/>
  <c r="M36" i="13"/>
  <c r="M38" i="13" s="1"/>
  <c r="M41" i="13"/>
  <c r="M133" i="13"/>
  <c r="M135" i="13" s="1"/>
  <c r="M143" i="13"/>
  <c r="N143" i="13" s="1"/>
  <c r="M123" i="13"/>
  <c r="G285" i="4"/>
  <c r="H285" i="4"/>
  <c r="G286" i="4"/>
  <c r="H286" i="4"/>
  <c r="H368" i="4"/>
  <c r="H369" i="4" s="1"/>
  <c r="G368" i="4"/>
  <c r="G369" i="4" s="1"/>
  <c r="G262" i="4"/>
  <c r="H262" i="4"/>
  <c r="G263" i="4"/>
  <c r="H263" i="4"/>
  <c r="G268" i="4"/>
  <c r="H268" i="4"/>
  <c r="G269" i="4"/>
  <c r="H269" i="4"/>
  <c r="G264" i="4"/>
  <c r="H264" i="4"/>
  <c r="H280" i="4"/>
  <c r="H282" i="4" s="1"/>
  <c r="G280" i="4"/>
  <c r="G282" i="4" s="1"/>
  <c r="H12" i="4"/>
  <c r="H16" i="4" s="1"/>
  <c r="G252" i="4"/>
  <c r="G254" i="4" s="1"/>
  <c r="H252" i="4"/>
  <c r="H254" i="4" s="1"/>
  <c r="H248" i="4"/>
  <c r="G248" i="4"/>
  <c r="H245" i="4"/>
  <c r="G245" i="4"/>
  <c r="H237" i="4"/>
  <c r="H238" i="4" s="1"/>
  <c r="G237" i="4"/>
  <c r="G238" i="4" s="1"/>
  <c r="H227" i="4"/>
  <c r="H223" i="4"/>
  <c r="G223" i="4"/>
  <c r="H222" i="4"/>
  <c r="G222" i="4"/>
  <c r="H246" i="4"/>
  <c r="G246" i="4"/>
  <c r="H214" i="4"/>
  <c r="H215" i="4" s="1"/>
  <c r="G214" i="4"/>
  <c r="G215" i="4" s="1"/>
  <c r="H179" i="4"/>
  <c r="H180" i="4" s="1"/>
  <c r="G179" i="4"/>
  <c r="G180" i="4" s="1"/>
  <c r="H209" i="4"/>
  <c r="G209" i="4"/>
  <c r="H208" i="4"/>
  <c r="G208" i="4"/>
  <c r="H210" i="4"/>
  <c r="G205" i="4"/>
  <c r="G206" i="4" s="1"/>
  <c r="H187" i="4"/>
  <c r="H188" i="4" s="1"/>
  <c r="G187" i="4"/>
  <c r="G188" i="4" s="1"/>
  <c r="H171" i="4"/>
  <c r="G171" i="4"/>
  <c r="H139" i="4"/>
  <c r="G139" i="4"/>
  <c r="H150" i="4"/>
  <c r="G150" i="4"/>
  <c r="H124" i="4"/>
  <c r="G124" i="4"/>
  <c r="H140" i="4"/>
  <c r="G140" i="4"/>
  <c r="H153" i="4"/>
  <c r="H138" i="4"/>
  <c r="G138" i="4"/>
  <c r="H122" i="4"/>
  <c r="G122" i="4"/>
  <c r="H130" i="4"/>
  <c r="H144" i="4"/>
  <c r="H146" i="4" s="1"/>
  <c r="G144" i="4"/>
  <c r="G146" i="4" s="1"/>
  <c r="G114" i="4"/>
  <c r="H90" i="4"/>
  <c r="G90" i="4"/>
  <c r="H128" i="4"/>
  <c r="G128" i="4"/>
  <c r="H42" i="4"/>
  <c r="G42" i="4"/>
  <c r="H110" i="4"/>
  <c r="G110" i="4"/>
  <c r="G115" i="4" s="1"/>
  <c r="H113" i="4"/>
  <c r="H70" i="4"/>
  <c r="G70" i="4"/>
  <c r="H151" i="4"/>
  <c r="G151" i="4"/>
  <c r="H163" i="4"/>
  <c r="H167" i="4" s="1"/>
  <c r="G163" i="4"/>
  <c r="G118" i="4"/>
  <c r="G119" i="4" s="1"/>
  <c r="G27" i="4"/>
  <c r="H27" i="4"/>
  <c r="G52" i="4"/>
  <c r="H52" i="4"/>
  <c r="G85" i="4"/>
  <c r="G87" i="4" s="1"/>
  <c r="H85" i="4"/>
  <c r="H87" i="4" s="1"/>
  <c r="G41" i="4"/>
  <c r="H41" i="4"/>
  <c r="G19" i="4"/>
  <c r="G20" i="4" s="1"/>
  <c r="G23" i="4"/>
  <c r="G24" i="4" s="1"/>
  <c r="G79" i="4"/>
  <c r="G81" i="4" s="1"/>
  <c r="H79" i="4"/>
  <c r="H81" i="4" s="1"/>
  <c r="G75" i="4"/>
  <c r="G76" i="4" s="1"/>
  <c r="H75" i="4"/>
  <c r="H76" i="4" s="1"/>
  <c r="G29" i="4"/>
  <c r="H29" i="4"/>
  <c r="G35" i="4"/>
  <c r="G37" i="4" s="1"/>
  <c r="H35" i="4"/>
  <c r="H37" i="4" s="1"/>
  <c r="G63" i="4"/>
  <c r="H63" i="4"/>
  <c r="G67" i="4"/>
  <c r="H67" i="4"/>
  <c r="G97" i="4"/>
  <c r="H97" i="4"/>
  <c r="G164" i="4"/>
  <c r="K164" i="4" s="1"/>
  <c r="H92" i="4"/>
  <c r="G92" i="4"/>
  <c r="H71" i="4"/>
  <c r="G71" i="4"/>
  <c r="H55" i="4"/>
  <c r="G55" i="4"/>
  <c r="H53" i="4"/>
  <c r="G53" i="4"/>
  <c r="G44" i="4" l="1"/>
  <c r="M42" i="13"/>
  <c r="H141" i="4"/>
  <c r="H115" i="4"/>
  <c r="H57" i="4"/>
  <c r="G57" i="4"/>
  <c r="H44" i="4"/>
  <c r="K246" i="4"/>
  <c r="G141" i="4"/>
  <c r="G167" i="4"/>
  <c r="M125" i="13"/>
  <c r="H98" i="4"/>
  <c r="K42" i="4"/>
  <c r="H287" i="4"/>
  <c r="N133" i="13"/>
  <c r="N135" i="13" s="1"/>
  <c r="N123" i="13"/>
  <c r="H229" i="4"/>
  <c r="K227" i="4"/>
  <c r="K229" i="4" s="1"/>
  <c r="H224" i="4"/>
  <c r="G154" i="4"/>
  <c r="G126" i="4"/>
  <c r="G72" i="4"/>
  <c r="G30" i="4"/>
  <c r="H126" i="4"/>
  <c r="G132" i="4"/>
  <c r="H270" i="4"/>
  <c r="K356" i="4"/>
  <c r="G287" i="4"/>
  <c r="H154" i="4"/>
  <c r="G98" i="4"/>
  <c r="G211" i="4"/>
  <c r="H265" i="4"/>
  <c r="H72" i="4"/>
  <c r="H30" i="4"/>
  <c r="H211" i="4"/>
  <c r="G265" i="4"/>
  <c r="K90" i="4"/>
  <c r="G94" i="4"/>
  <c r="H132" i="4"/>
  <c r="G249" i="4"/>
  <c r="G270" i="4"/>
  <c r="H94" i="4"/>
  <c r="G224" i="4"/>
  <c r="H249" i="4"/>
  <c r="L393" i="4"/>
  <c r="L391" i="4"/>
  <c r="L367" i="4"/>
  <c r="K209" i="4"/>
  <c r="L209" i="4" s="1"/>
  <c r="K70" i="4"/>
  <c r="L70" i="4" s="1"/>
  <c r="K12" i="4"/>
  <c r="K16" i="4" s="1"/>
  <c r="K293" i="4"/>
  <c r="L293" i="4" s="1"/>
  <c r="L303" i="4"/>
  <c r="K304" i="4"/>
  <c r="L304" i="4" s="1"/>
  <c r="K300" i="4"/>
  <c r="L300" i="4" s="1"/>
  <c r="N122" i="13"/>
  <c r="K41" i="4"/>
  <c r="K285" i="4"/>
  <c r="K294" i="4"/>
  <c r="L294" i="4" s="1"/>
  <c r="K292" i="4"/>
  <c r="K305" i="4"/>
  <c r="L305" i="4" s="1"/>
  <c r="K308" i="4"/>
  <c r="K301" i="4"/>
  <c r="L301" i="4" s="1"/>
  <c r="K299" i="4"/>
  <c r="L299" i="4" s="1"/>
  <c r="K297" i="4"/>
  <c r="L297" i="4" s="1"/>
  <c r="K252" i="4"/>
  <c r="K254" i="4" s="1"/>
  <c r="K245" i="4"/>
  <c r="K298" i="4"/>
  <c r="L298" i="4" s="1"/>
  <c r="K296" i="4"/>
  <c r="L296" i="4" s="1"/>
  <c r="L295" i="4"/>
  <c r="M198" i="13"/>
  <c r="K27" i="4"/>
  <c r="K130" i="4"/>
  <c r="K163" i="4"/>
  <c r="K167" i="4" s="1"/>
  <c r="K157" i="4"/>
  <c r="K159" i="4" s="1"/>
  <c r="L354" i="4"/>
  <c r="L356" i="4" s="1"/>
  <c r="N36" i="13"/>
  <c r="N38" i="13" s="1"/>
  <c r="N41" i="13"/>
  <c r="N197" i="13"/>
  <c r="N198" i="13" s="1"/>
  <c r="K179" i="4"/>
  <c r="K180" i="4" s="1"/>
  <c r="K187" i="4"/>
  <c r="K188" i="4" s="1"/>
  <c r="K153" i="4"/>
  <c r="L153" i="4" s="1"/>
  <c r="K110" i="4"/>
  <c r="K128" i="4"/>
  <c r="L128" i="4" s="1"/>
  <c r="K114" i="4"/>
  <c r="L114" i="4" s="1"/>
  <c r="K144" i="4"/>
  <c r="K146" i="4" s="1"/>
  <c r="K122" i="4"/>
  <c r="K124" i="4"/>
  <c r="K150" i="4"/>
  <c r="K55" i="4"/>
  <c r="L55" i="4" s="1"/>
  <c r="K136" i="4"/>
  <c r="K71" i="4"/>
  <c r="K368" i="4"/>
  <c r="L368" i="4" s="1"/>
  <c r="K374" i="4"/>
  <c r="K85" i="4"/>
  <c r="K52" i="4"/>
  <c r="K74" i="4"/>
  <c r="K138" i="4"/>
  <c r="K140" i="4"/>
  <c r="L140" i="4" s="1"/>
  <c r="K139" i="4"/>
  <c r="L139" i="4" s="1"/>
  <c r="K171" i="4"/>
  <c r="L171" i="4" s="1"/>
  <c r="K280" i="4"/>
  <c r="K282" i="4" s="1"/>
  <c r="K48" i="4"/>
  <c r="K49" i="4" s="1"/>
  <c r="K53" i="4"/>
  <c r="L165" i="4"/>
  <c r="K92" i="4"/>
  <c r="L92" i="4" s="1"/>
  <c r="K384" i="4"/>
  <c r="L384" i="4" s="1"/>
  <c r="K54" i="4"/>
  <c r="L166" i="4"/>
  <c r="K97" i="4"/>
  <c r="K35" i="4"/>
  <c r="K37" i="4" s="1"/>
  <c r="K79" i="4"/>
  <c r="K81" i="4" s="1"/>
  <c r="K19" i="4"/>
  <c r="L100" i="4"/>
  <c r="L102" i="4" s="1"/>
  <c r="K118" i="4"/>
  <c r="K119" i="4" s="1"/>
  <c r="K205" i="4"/>
  <c r="K206" i="4" s="1"/>
  <c r="K208" i="4"/>
  <c r="K223" i="4"/>
  <c r="L223" i="4" s="1"/>
  <c r="K248" i="4"/>
  <c r="L248" i="4" s="1"/>
  <c r="K386" i="4"/>
  <c r="L386" i="4" s="1"/>
  <c r="L397" i="4"/>
  <c r="K269" i="4"/>
  <c r="K286" i="4"/>
  <c r="L286" i="4" s="1"/>
  <c r="L164" i="4"/>
  <c r="K67" i="4"/>
  <c r="K29" i="4"/>
  <c r="L29" i="4" s="1"/>
  <c r="K75" i="4"/>
  <c r="L75" i="4" s="1"/>
  <c r="K23" i="4"/>
  <c r="K24" i="4" s="1"/>
  <c r="K151" i="4"/>
  <c r="L151" i="4" s="1"/>
  <c r="K113" i="4"/>
  <c r="K210" i="4"/>
  <c r="L210" i="4" s="1"/>
  <c r="K214" i="4"/>
  <c r="K215" i="4" s="1"/>
  <c r="K222" i="4"/>
  <c r="K237" i="4"/>
  <c r="K238" i="4" s="1"/>
  <c r="K387" i="4"/>
  <c r="L387" i="4" s="1"/>
  <c r="K264" i="4"/>
  <c r="K268" i="4"/>
  <c r="L268" i="4" s="1"/>
  <c r="K263" i="4"/>
  <c r="L263" i="4" s="1"/>
  <c r="K262" i="4"/>
  <c r="G16" i="14"/>
  <c r="H16" i="14"/>
  <c r="G15" i="14"/>
  <c r="H15" i="14"/>
  <c r="G12" i="14"/>
  <c r="K76" i="4" l="1"/>
  <c r="L150" i="4"/>
  <c r="K154" i="4"/>
  <c r="K44" i="4"/>
  <c r="N42" i="13"/>
  <c r="K115" i="4"/>
  <c r="K94" i="4"/>
  <c r="K57" i="4"/>
  <c r="L85" i="4"/>
  <c r="L87" i="4" s="1"/>
  <c r="K87" i="4"/>
  <c r="K141" i="4"/>
  <c r="N125" i="13"/>
  <c r="K316" i="4"/>
  <c r="K20" i="4"/>
  <c r="G17" i="14"/>
  <c r="L369" i="4"/>
  <c r="K369" i="4"/>
  <c r="K224" i="4"/>
  <c r="K72" i="4"/>
  <c r="K126" i="4"/>
  <c r="K211" i="4"/>
  <c r="K287" i="4"/>
  <c r="K63" i="4"/>
  <c r="K249" i="4"/>
  <c r="L74" i="4"/>
  <c r="L76" i="4" s="1"/>
  <c r="K270" i="4"/>
  <c r="K98" i="4"/>
  <c r="K30" i="4"/>
  <c r="L264" i="4"/>
  <c r="K265" i="4"/>
  <c r="K132" i="4"/>
  <c r="H17" i="14"/>
  <c r="L67" i="4"/>
  <c r="L214" i="4"/>
  <c r="L215" i="4" s="1"/>
  <c r="L122" i="4"/>
  <c r="L113" i="4"/>
  <c r="L157" i="4"/>
  <c r="L159" i="4" s="1"/>
  <c r="L12" i="4"/>
  <c r="L16" i="4" s="1"/>
  <c r="L308" i="4"/>
  <c r="L269" i="4"/>
  <c r="L270" i="4" s="1"/>
  <c r="L292" i="4"/>
  <c r="L42" i="4"/>
  <c r="L374" i="4"/>
  <c r="L237" i="4"/>
  <c r="L238" i="4" s="1"/>
  <c r="L280" i="4"/>
  <c r="L282" i="4" s="1"/>
  <c r="L53" i="4"/>
  <c r="L245" i="4"/>
  <c r="L15" i="14"/>
  <c r="L16" i="14"/>
  <c r="L227" i="4"/>
  <c r="L229" i="4" s="1"/>
  <c r="L246" i="4"/>
  <c r="L179" i="4"/>
  <c r="L180" i="4" s="1"/>
  <c r="L222" i="4"/>
  <c r="L224" i="4" s="1"/>
  <c r="L252" i="4"/>
  <c r="L254" i="4" s="1"/>
  <c r="L208" i="4"/>
  <c r="L211" i="4" s="1"/>
  <c r="L187" i="4"/>
  <c r="L188" i="4" s="1"/>
  <c r="L118" i="4"/>
  <c r="L119" i="4" s="1"/>
  <c r="L71" i="4"/>
  <c r="L54" i="4"/>
  <c r="L48" i="4"/>
  <c r="L49" i="4" s="1"/>
  <c r="L41" i="4"/>
  <c r="L28" i="4"/>
  <c r="L90" i="4"/>
  <c r="L94" i="4" s="1"/>
  <c r="L136" i="4"/>
  <c r="L130" i="4"/>
  <c r="L27" i="4"/>
  <c r="L40" i="4"/>
  <c r="L163" i="4"/>
  <c r="L167" i="4" s="1"/>
  <c r="L149" i="4"/>
  <c r="L154" i="4" s="1"/>
  <c r="L79" i="4"/>
  <c r="L81" i="4" s="1"/>
  <c r="L97" i="4"/>
  <c r="L98" i="4" s="1"/>
  <c r="L144" i="4"/>
  <c r="L146" i="4" s="1"/>
  <c r="L110" i="4"/>
  <c r="L124" i="4"/>
  <c r="L138" i="4"/>
  <c r="L52" i="4"/>
  <c r="L35" i="4"/>
  <c r="L37" i="4" s="1"/>
  <c r="L23" i="4"/>
  <c r="L24" i="4" s="1"/>
  <c r="L205" i="4"/>
  <c r="L206" i="4" s="1"/>
  <c r="L66" i="4"/>
  <c r="L63" i="4"/>
  <c r="L285" i="4"/>
  <c r="L287" i="4" s="1"/>
  <c r="L262" i="4"/>
  <c r="L19" i="4"/>
  <c r="L115" i="4" l="1"/>
  <c r="L57" i="4"/>
  <c r="L141" i="4"/>
  <c r="L44" i="4"/>
  <c r="L316" i="4"/>
  <c r="L20" i="4"/>
  <c r="L12" i="14"/>
  <c r="K17" i="14"/>
  <c r="L132" i="4"/>
  <c r="L72" i="4"/>
  <c r="L249" i="4"/>
  <c r="L265" i="4"/>
  <c r="L126" i="4"/>
  <c r="L30" i="4"/>
  <c r="L17" i="14"/>
  <c r="I95" i="13" l="1"/>
  <c r="I97" i="13" s="1"/>
  <c r="M95" i="13" l="1"/>
  <c r="M97" i="13" s="1"/>
  <c r="N95" i="13" l="1"/>
  <c r="N97" i="13" s="1"/>
  <c r="M1048181" i="13" l="1"/>
  <c r="B64852" i="13"/>
  <c r="B64854" i="13" s="1"/>
  <c r="J228" i="13"/>
  <c r="J109" i="13"/>
  <c r="I109" i="13"/>
  <c r="I240" i="13" s="1"/>
  <c r="J240" i="13" l="1"/>
  <c r="J229" i="13"/>
  <c r="M228" i="13"/>
  <c r="M144" i="13"/>
  <c r="M149" i="13" s="1"/>
  <c r="M109" i="13"/>
  <c r="M240" i="13" l="1"/>
  <c r="M229" i="13"/>
  <c r="N144" i="13"/>
  <c r="N149" i="13" s="1"/>
  <c r="N109" i="13"/>
  <c r="N228" i="13"/>
  <c r="K1000253" i="4"/>
  <c r="B16928" i="4"/>
  <c r="B16930" i="4" s="1"/>
  <c r="H241" i="4"/>
  <c r="H242" i="4" s="1"/>
  <c r="G241" i="4"/>
  <c r="G242" i="4" s="1"/>
  <c r="H172" i="4"/>
  <c r="G172" i="4"/>
  <c r="N240" i="13" l="1"/>
  <c r="N229" i="13"/>
  <c r="A30" i="13"/>
  <c r="A31" i="13" s="1"/>
  <c r="A32" i="13" s="1"/>
  <c r="A36" i="13" s="1"/>
  <c r="K241" i="4"/>
  <c r="K242" i="4" s="1"/>
  <c r="K395" i="4"/>
  <c r="K403" i="4" s="1"/>
  <c r="K172" i="4"/>
  <c r="L395" i="4" l="1"/>
  <c r="L403" i="4" s="1"/>
  <c r="A37" i="13"/>
  <c r="A41" i="13" s="1"/>
  <c r="A45" i="13" s="1"/>
  <c r="A46" i="13" s="1"/>
  <c r="A47" i="13" s="1"/>
  <c r="A52" i="13" s="1"/>
  <c r="L241" i="4"/>
  <c r="L242" i="4" s="1"/>
  <c r="L172" i="4"/>
  <c r="A56" i="13" l="1"/>
  <c r="A61" i="13" s="1"/>
  <c r="K877144" i="14"/>
  <c r="A62" i="13" l="1"/>
  <c r="A66" i="13" s="1"/>
  <c r="A67" i="13" l="1"/>
  <c r="A68" i="13" s="1"/>
  <c r="A72" i="13" s="1"/>
  <c r="A76" i="13" s="1"/>
  <c r="A80" i="13" l="1"/>
  <c r="A81" i="13" l="1"/>
  <c r="A84" i="13" l="1"/>
  <c r="A88" i="13" s="1"/>
  <c r="A89" i="13" s="1"/>
  <c r="A94" i="13" s="1"/>
  <c r="A95" i="13" s="1"/>
  <c r="A96" i="13" s="1"/>
  <c r="A100" i="13" s="1"/>
  <c r="A104" i="13" s="1"/>
  <c r="A108" i="13" s="1"/>
  <c r="A112" i="13" s="1"/>
  <c r="A113" i="13" s="1"/>
  <c r="A117" i="13" s="1"/>
  <c r="A118" i="13" s="1"/>
  <c r="A122" i="13" s="1"/>
  <c r="A123" i="13" s="1"/>
  <c r="A124" i="13" s="1"/>
  <c r="A128" i="13" s="1"/>
  <c r="A129" i="13" s="1"/>
  <c r="A133" i="13" s="1"/>
  <c r="A134" i="13" s="1"/>
  <c r="A138" i="13" s="1"/>
  <c r="A142" i="13" s="1"/>
  <c r="A143" i="13" s="1"/>
  <c r="A144" i="13" s="1"/>
  <c r="A145" i="13" s="1"/>
  <c r="A146" i="13" s="1"/>
  <c r="A147" i="13" s="1"/>
  <c r="A148" i="13" s="1"/>
  <c r="A152" i="13" s="1"/>
  <c r="A156" i="13" s="1"/>
  <c r="A157" i="13" s="1"/>
  <c r="A158" i="13" s="1"/>
  <c r="A162" i="13" s="1"/>
  <c r="A163" i="13" s="1"/>
  <c r="A167" i="13" s="1"/>
  <c r="A171" i="13" s="1"/>
  <c r="A172" i="13" l="1"/>
  <c r="A176" i="13" s="1"/>
  <c r="A177" i="13" s="1"/>
  <c r="A178" i="13" s="1"/>
  <c r="A179" i="13" s="1"/>
  <c r="A180" i="13" s="1"/>
  <c r="A181" i="13" s="1"/>
  <c r="A185" i="13" s="1"/>
  <c r="A186" i="13" l="1"/>
  <c r="A190" i="13" s="1"/>
  <c r="A191" i="13" s="1"/>
  <c r="A192" i="13" s="1"/>
  <c r="A47" i="4"/>
  <c r="A197" i="13" l="1"/>
  <c r="A201" i="13" s="1"/>
  <c r="A205" i="13" s="1"/>
  <c r="A209" i="13" s="1"/>
  <c r="A210" i="13" s="1"/>
  <c r="A48" i="4"/>
  <c r="A52" i="4" s="1"/>
  <c r="A211" i="13" l="1"/>
  <c r="A215" i="13" s="1"/>
  <c r="A219" i="13" s="1"/>
  <c r="A223" i="13" s="1"/>
  <c r="A224" i="13" s="1"/>
  <c r="A228" i="13" s="1"/>
  <c r="A232" i="13" s="1"/>
  <c r="A236" i="13" s="1"/>
  <c r="A53" i="4"/>
  <c r="A54" i="4" l="1"/>
  <c r="A55" i="4" s="1"/>
  <c r="A56" i="4" s="1"/>
  <c r="A60" i="4" s="1"/>
  <c r="A61" i="4" s="1"/>
  <c r="A62" i="4" s="1"/>
  <c r="A66" i="4" s="1"/>
  <c r="A67" i="4" l="1"/>
  <c r="A68" i="4" s="1"/>
  <c r="A69" i="4" s="1"/>
  <c r="A70" i="4" s="1"/>
  <c r="A71" i="4" s="1"/>
  <c r="A74" i="4" s="1"/>
  <c r="A75" i="4" s="1"/>
  <c r="A79" i="4" l="1"/>
  <c r="A80" i="4" s="1"/>
  <c r="A84" i="4" s="1"/>
  <c r="A85" i="4" l="1"/>
  <c r="A86" i="4" l="1"/>
  <c r="A90" i="4" s="1"/>
  <c r="A91" i="4" l="1"/>
  <c r="A92" i="4" l="1"/>
  <c r="A93" i="4" s="1"/>
  <c r="A97" i="4" s="1"/>
  <c r="A100" i="4" s="1"/>
  <c r="A101" i="4" s="1"/>
  <c r="A105" i="4" s="1"/>
  <c r="B46" i="16"/>
  <c r="A109" i="4" l="1"/>
  <c r="A110" i="4" s="1"/>
  <c r="B50" i="16"/>
  <c r="B54" i="16" s="1"/>
  <c r="A111" i="4" l="1"/>
  <c r="A112" i="4" s="1"/>
  <c r="A113" i="4" s="1"/>
  <c r="A114" i="4" s="1"/>
  <c r="A118" i="4" s="1"/>
  <c r="A122" i="4" s="1"/>
  <c r="A123" i="4" s="1"/>
  <c r="A124" i="4" s="1"/>
  <c r="A125" i="4" s="1"/>
  <c r="A128" i="4" s="1"/>
  <c r="A129" i="4" s="1"/>
  <c r="A130" i="4" s="1"/>
  <c r="A131" i="4" s="1"/>
  <c r="A135" i="4" s="1"/>
  <c r="A136" i="4" s="1"/>
  <c r="A137" i="4" s="1"/>
  <c r="A138" i="4" s="1"/>
  <c r="A139" i="4" s="1"/>
  <c r="A140" i="4" s="1"/>
  <c r="A144" i="4" s="1"/>
  <c r="A145" i="4" s="1"/>
  <c r="A149" i="4" s="1"/>
  <c r="A150" i="4" s="1"/>
  <c r="A151" i="4" s="1"/>
  <c r="A152" i="4" s="1"/>
  <c r="A153" i="4" s="1"/>
  <c r="A157" i="4" s="1"/>
  <c r="A158" i="4" s="1"/>
  <c r="A162" i="4" s="1"/>
  <c r="A163" i="4" s="1"/>
  <c r="A164" i="4" s="1"/>
  <c r="A165" i="4" s="1"/>
  <c r="A166" i="4" s="1"/>
  <c r="A171" i="4" s="1"/>
  <c r="A175" i="4" s="1"/>
  <c r="A178" i="4" s="1"/>
  <c r="A179" i="4" s="1"/>
  <c r="A183" i="4" s="1"/>
  <c r="A184" i="4" s="1"/>
  <c r="A185" i="4" s="1"/>
  <c r="A186" i="4" s="1"/>
  <c r="A187" i="4" s="1"/>
  <c r="B58" i="16"/>
  <c r="B62" i="16" s="1"/>
  <c r="B66" i="16" s="1"/>
  <c r="B70" i="16" s="1"/>
  <c r="B74" i="16" s="1"/>
  <c r="B75" i="16" s="1"/>
  <c r="B79" i="16" s="1"/>
  <c r="B93" i="16" l="1"/>
  <c r="B97" i="16" s="1"/>
  <c r="B101" i="16" s="1"/>
  <c r="B105" i="16" s="1"/>
  <c r="B109" i="16" s="1"/>
  <c r="B113" i="16" s="1"/>
  <c r="B117" i="16" s="1"/>
  <c r="B118" i="16" s="1"/>
  <c r="A191" i="4" l="1"/>
  <c r="A192" i="4" s="1"/>
  <c r="A193" i="4" s="1"/>
  <c r="A194" i="4" s="1"/>
  <c r="A195" i="4" s="1"/>
  <c r="A196" i="4" s="1"/>
  <c r="A201" i="4" s="1"/>
  <c r="A205" i="4" s="1"/>
  <c r="A208" i="4" s="1"/>
  <c r="A209" i="4" s="1"/>
  <c r="A210" i="4" s="1"/>
  <c r="A214" i="4" s="1"/>
  <c r="A218" i="4" s="1"/>
  <c r="A222" i="4" s="1"/>
  <c r="A223" i="4" s="1"/>
  <c r="A227" i="4" s="1"/>
  <c r="A228" i="4" s="1"/>
  <c r="A232" i="4" s="1"/>
  <c r="A236" i="4" s="1"/>
  <c r="A237" i="4" s="1"/>
  <c r="A241" i="4" s="1"/>
  <c r="A245" i="4" s="1"/>
  <c r="A246" i="4" s="1"/>
  <c r="A247" i="4" s="1"/>
  <c r="A248" i="4" s="1"/>
  <c r="A252" i="4" s="1"/>
  <c r="A253" i="4" s="1"/>
  <c r="A257" i="4" s="1"/>
  <c r="A258" i="4" s="1"/>
  <c r="A262" i="4" s="1"/>
  <c r="A263" i="4" s="1"/>
  <c r="A264" i="4" s="1"/>
  <c r="A268" i="4" s="1"/>
  <c r="A269" i="4" s="1"/>
  <c r="A273" i="4" s="1"/>
  <c r="A274" i="4" s="1"/>
  <c r="A275" i="4" s="1"/>
  <c r="A276" i="4" s="1"/>
  <c r="A280" i="4" s="1"/>
  <c r="A281" i="4" s="1"/>
  <c r="A285" i="4" s="1"/>
  <c r="A286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9" i="4" s="1"/>
  <c r="A320" i="4" s="1"/>
  <c r="A321" i="4" s="1"/>
  <c r="A322" i="4" s="1"/>
  <c r="A323" i="4" s="1"/>
  <c r="A324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50" i="4" s="1"/>
  <c r="A354" i="4" s="1"/>
  <c r="A355" i="4" s="1"/>
  <c r="A359" i="4" s="1"/>
  <c r="A363" i="4" s="1"/>
  <c r="A367" i="4" s="1"/>
  <c r="A368" i="4" s="1"/>
  <c r="A371" i="4" s="1"/>
  <c r="A372" i="4" s="1"/>
  <c r="A373" i="4" s="1"/>
  <c r="A377" i="4" s="1"/>
  <c r="A378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L405" i="4"/>
  <c r="G405" i="4"/>
  <c r="F405" i="4"/>
  <c r="J405" i="4"/>
  <c r="H405" i="4"/>
  <c r="I405" i="4"/>
  <c r="K405" i="4"/>
</calcChain>
</file>

<file path=xl/sharedStrings.xml><?xml version="1.0" encoding="utf-8"?>
<sst xmlns="http://schemas.openxmlformats.org/spreadsheetml/2006/main" count="1969" uniqueCount="681">
  <si>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</si>
  <si>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</si>
  <si>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</si>
  <si>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</si>
  <si>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</si>
  <si>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</si>
  <si>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</si>
  <si>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</si>
  <si>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</si>
  <si>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</si>
  <si>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</si>
  <si>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</si>
  <si>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</si>
  <si>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</si>
  <si>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</si>
  <si>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</si>
  <si>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</si>
  <si>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</si>
  <si>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GUSTAVO ARTURO SANTA QUISPE </t>
  </si>
  <si>
    <t xml:space="preserve">RAISA ROSADO GENAO </t>
  </si>
  <si>
    <t xml:space="preserve">ALBERTO MENDOZA MENA </t>
  </si>
  <si>
    <t xml:space="preserve">LEONARDO ANTONIO NUÑEZ FUNG </t>
  </si>
  <si>
    <t>EDUARDO ESTEBAN FLORES CRUZ</t>
  </si>
  <si>
    <t>SOPORTE TECNICO INFORMATICO</t>
  </si>
  <si>
    <t xml:space="preserve">JORGE ANTONIO SERRA GOMEZ </t>
  </si>
  <si>
    <t xml:space="preserve">ELIO DE JESUS BRITO FLORIAN 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</si>
  <si>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</si>
  <si>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</si>
  <si>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</si>
  <si>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</si>
  <si>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</si>
  <si>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</si>
  <si>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</si>
  <si>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</si>
  <si>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</si>
  <si>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</si>
  <si>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</si>
  <si>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</si>
  <si>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</si>
  <si>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</si>
  <si>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</si>
  <si>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</si>
  <si>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</si>
  <si>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</si>
  <si>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</si>
  <si>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>FRANCISCO PAULINO DE LA CRUZ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</si>
  <si>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</si>
  <si>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</si>
  <si>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</si>
  <si>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</si>
  <si>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</si>
  <si>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</si>
  <si>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</si>
  <si>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</si>
  <si>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</si>
  <si>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</si>
  <si>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</si>
  <si>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</si>
  <si>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</si>
  <si>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</si>
  <si>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</si>
  <si>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</si>
  <si>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</si>
  <si>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</si>
  <si>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</si>
  <si>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</si>
  <si>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</si>
  <si>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</si>
  <si>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</si>
  <si>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</si>
  <si>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</si>
  <si>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</si>
  <si>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</si>
  <si>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</si>
  <si>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</si>
  <si>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</si>
  <si>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</si>
  <si>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</si>
  <si>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</si>
  <si>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</si>
  <si>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</si>
  <si>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</si>
  <si>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</si>
  <si>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</si>
  <si>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</si>
  <si>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</si>
  <si>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</si>
  <si>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DULCE M. PADILLA</t>
  </si>
  <si>
    <t>GILBERTO OLMEDO ACOSTA VICTORIO</t>
  </si>
  <si>
    <t xml:space="preserve">CONSERJE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</si>
  <si>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</si>
  <si>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</si>
  <si>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</si>
  <si>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</si>
  <si>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</si>
  <si>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</si>
  <si>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</si>
  <si>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</si>
  <si>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LESLIE NATHALIE MOLINA AYBAR </t>
  </si>
  <si>
    <t xml:space="preserve">RECEPCIONISTA </t>
  </si>
  <si>
    <t xml:space="preserve">AMYERI NISHELL SANTOS MARMOLEJOS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</si>
  <si>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</si>
  <si>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</si>
  <si>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</si>
  <si>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</si>
  <si>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</si>
  <si>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</si>
  <si>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</si>
  <si>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</si>
  <si>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</si>
  <si>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</si>
  <si>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</si>
  <si>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</si>
  <si>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</si>
  <si>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</si>
  <si>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</si>
  <si>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</si>
  <si>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</si>
  <si>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</si>
  <si>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</si>
  <si>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SUBDIRECTORA AYUNTAMIENTOS 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</si>
  <si>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</si>
  <si>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</si>
  <si>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</si>
  <si>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</si>
  <si>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</si>
  <si>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</si>
  <si>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</si>
  <si>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</si>
  <si>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</si>
  <si>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</si>
  <si>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</si>
  <si>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</si>
  <si>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</si>
  <si>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</si>
  <si>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</si>
  <si>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</si>
  <si>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</si>
  <si>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</si>
  <si>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</si>
  <si>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</si>
  <si>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</si>
  <si>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</si>
  <si>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</si>
  <si>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</si>
  <si>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</si>
  <si>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</si>
  <si>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</si>
  <si>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</si>
  <si>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</si>
  <si>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</si>
  <si>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</si>
  <si>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ANALISTA LEGAL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</si>
  <si>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</si>
  <si>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</si>
  <si>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</si>
  <si>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</si>
  <si>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</si>
  <si>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</si>
  <si>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</si>
  <si>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</si>
  <si>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</si>
  <si>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</si>
  <si>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>CRISTIAN ALEXANDER POLANCO MORENO</t>
  </si>
  <si>
    <t xml:space="preserve">COORDINADORA DE COMEDOR </t>
  </si>
  <si>
    <t>JHONATAN CARVAJAL ANTIGUA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</si>
  <si>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</si>
  <si>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</si>
  <si>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</si>
  <si>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</si>
  <si>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</si>
  <si>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</si>
  <si>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</si>
  <si>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</si>
  <si>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</si>
  <si>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</si>
  <si>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</si>
  <si>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</si>
  <si>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</si>
  <si>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</si>
  <si>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</si>
  <si>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</si>
  <si>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</si>
  <si>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</si>
  <si>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</si>
  <si>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</si>
  <si>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</si>
  <si>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</si>
  <si>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</si>
  <si>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</si>
  <si>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</si>
  <si>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</si>
  <si>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</si>
  <si>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</si>
  <si>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</si>
  <si>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</si>
  <si>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</si>
  <si>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</si>
  <si>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</si>
  <si>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</si>
  <si>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</si>
  <si>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</si>
  <si>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</si>
  <si>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</si>
  <si>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</si>
  <si>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ESTHER MIGUELINA TORRES BERNAL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</si>
  <si>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</si>
  <si>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</si>
  <si>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</si>
  <si>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</si>
  <si>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</si>
  <si>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</si>
  <si>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</si>
  <si>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</si>
  <si>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</si>
  <si>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</si>
  <si>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</si>
  <si>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</si>
  <si>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</si>
  <si>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</si>
  <si>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</si>
  <si>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</si>
  <si>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</si>
  <si>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</si>
  <si>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</si>
  <si>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</si>
  <si>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</si>
  <si>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</si>
  <si>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</si>
  <si>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</si>
  <si>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</si>
  <si>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</si>
  <si>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</si>
  <si>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</si>
  <si>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</si>
  <si>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</si>
  <si>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</si>
  <si>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>VICTOR MANUEL MANZANILLO HEREDIA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</si>
  <si>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</si>
  <si>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</si>
  <si>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</si>
  <si>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</si>
  <si>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</si>
  <si>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</si>
  <si>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</si>
  <si>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</si>
  <si>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STHEFANY YARIELA MADERA NOVA</t>
  </si>
  <si>
    <t>ENCARGADA SECCIÓN DE MANTENIMIENTO</t>
  </si>
  <si>
    <t>ANALISTA COMPRAS Y CONTRATACIONES</t>
  </si>
  <si>
    <t>SECCIÓN DE CONTABILIDAD Y ACTIVOS FIJOS</t>
  </si>
  <si>
    <t>DIVISIÓN ADMINISTRATIVA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</si>
  <si>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</si>
  <si>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</si>
  <si>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</si>
  <si>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</si>
  <si>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</si>
  <si>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</si>
  <si>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</si>
  <si>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</si>
  <si>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</si>
  <si>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</si>
  <si>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</si>
  <si>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</si>
  <si>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</si>
  <si>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</si>
  <si>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</si>
  <si>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</si>
  <si>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</si>
  <si>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</si>
  <si>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</si>
  <si>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</si>
  <si>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</si>
  <si>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</si>
  <si>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</si>
  <si>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</si>
  <si>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</si>
  <si>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</si>
  <si>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</si>
  <si>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</si>
  <si>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</si>
  <si>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</si>
  <si>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>YANELLI SANTANA GATÓN</t>
  </si>
  <si>
    <t xml:space="preserve">PATRIA SENCIÓN SANTANA </t>
  </si>
  <si>
    <t xml:space="preserve">ENCARGADA DE DIVISIÓN PRESUPUESTOS EMPRESAS PÚBLICAS NO FINANCIERAS </t>
  </si>
  <si>
    <t xml:space="preserve">EUSEBIA PÉREZ AGRAMONTE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</si>
  <si>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</si>
  <si>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</si>
  <si>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</si>
  <si>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</si>
  <si>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</si>
  <si>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</si>
  <si>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</si>
  <si>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</si>
  <si>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</si>
  <si>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</si>
  <si>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</si>
  <si>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</si>
  <si>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</si>
  <si>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</si>
  <si>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</si>
  <si>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</si>
  <si>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</si>
  <si>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</si>
  <si>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</si>
  <si>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</si>
  <si>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</si>
  <si>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</si>
  <si>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</si>
  <si>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</si>
  <si>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</si>
  <si>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</si>
  <si>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</si>
  <si>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</si>
  <si>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</si>
  <si>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</si>
  <si>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</si>
  <si>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</si>
  <si>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</si>
  <si>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</si>
  <si>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</si>
  <si>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</si>
  <si>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</si>
  <si>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</si>
  <si>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</si>
  <si>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</si>
  <si>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</si>
  <si>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</si>
  <si>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</si>
  <si>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</si>
  <si>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</si>
  <si>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 xml:space="preserve">ANALISTA DE CLASIFICACIÓN VALORACIÓN Y REMUNERACIÓN DE CARGOS </t>
  </si>
  <si>
    <t xml:space="preserve">MARÍA VENTURA BONILLA </t>
  </si>
  <si>
    <t>AUXILIAR DE ENFERMERÍA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</si>
  <si>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</si>
  <si>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</si>
  <si>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</si>
  <si>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</si>
  <si>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</si>
  <si>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</si>
  <si>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ENCARGADO DE DIVISIÓN DE DESARROLLO E IMPLEMENTACIÓN DE SISTEMAS 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</si>
  <si>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</si>
  <si>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</si>
  <si>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</si>
  <si>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</si>
  <si>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GLORIA MAGLLORY TERRERO HERNÁNDEZ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</si>
  <si>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</si>
  <si>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</si>
  <si>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</si>
  <si>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</si>
  <si>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</si>
  <si>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</si>
  <si>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</si>
  <si>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</si>
  <si>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</si>
  <si>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MARÍA LEE SOTO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</si>
  <si>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</si>
  <si>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</si>
  <si>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</si>
  <si>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</si>
  <si>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</si>
  <si>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</si>
  <si>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</si>
  <si>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</si>
  <si>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</si>
  <si>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</si>
  <si>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</si>
  <si>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</si>
  <si>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</si>
  <si>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</si>
  <si>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</si>
  <si>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</si>
  <si>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MARTA FELICIA DÍAZ CASTILLO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</si>
  <si>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</si>
  <si>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</si>
  <si>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</si>
  <si>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</si>
  <si>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</si>
  <si>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</si>
  <si>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</si>
  <si>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</si>
  <si>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</si>
  <si>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</si>
  <si>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</si>
  <si>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</si>
  <si>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</si>
  <si>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</si>
  <si>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</si>
  <si>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</si>
  <si>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>EDIGEN MANUEL FLORIÁN FLORIÁN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</si>
  <si>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</si>
  <si>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</si>
  <si>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</si>
  <si>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</si>
  <si>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</si>
  <si>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</si>
  <si>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</si>
  <si>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</si>
  <si>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</si>
  <si>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</si>
  <si>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</si>
  <si>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</si>
  <si>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</si>
  <si>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</si>
  <si>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</si>
  <si>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</si>
  <si>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</si>
  <si>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</si>
  <si>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</si>
  <si>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</si>
  <si>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</si>
  <si>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</si>
  <si>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</si>
  <si>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</si>
  <si>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>JASSEL ALEXANDRA MATEO RODRÍGUEZ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</si>
  <si>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</si>
  <si>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</si>
  <si>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</si>
  <si>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DIEGO FERNÁNDEZ TEZANOS </t>
  </si>
  <si>
    <t xml:space="preserve">DIVISIÓN FORMULACIÓN, MONITOREO Y EVALUACIÓN DE PLANES, PROGRAMAS Y PROYECTOS </t>
  </si>
  <si>
    <t>FRANCISCO ANTONIO MENDEZ VELÁZQUEZ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</si>
  <si>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</si>
  <si>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</si>
  <si>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</si>
  <si>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</si>
  <si>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</si>
  <si>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</si>
  <si>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</si>
  <si>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</si>
  <si>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</si>
  <si>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</si>
  <si>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</si>
  <si>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</si>
  <si>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</si>
  <si>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</si>
  <si>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COORDINADOR DE TECNOLOGÍAS DE LA INFORMACIÓN Y COMUNICACIÓN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</si>
  <si>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</si>
  <si>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</si>
  <si>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</si>
  <si>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</si>
  <si>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JOHANNY RAFAEL RODRÍGUEZ RODRÍGUEZ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</si>
  <si>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</si>
  <si>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</si>
  <si>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</si>
  <si>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</si>
  <si>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</si>
  <si>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</si>
  <si>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</si>
  <si>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</si>
  <si>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</si>
  <si>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>ALINA RODRÍGUEZ CORDERO</t>
  </si>
  <si>
    <t xml:space="preserve">TÉCNICO ADMINISTRATIVO </t>
  </si>
  <si>
    <t xml:space="preserve">ENC. SECCIÓN ALMACÉN Y SUMINISTRO </t>
  </si>
  <si>
    <t>NICOLÁS ZABALA SANTIAGO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</si>
  <si>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</si>
  <si>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</si>
  <si>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</si>
  <si>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</si>
  <si>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</si>
  <si>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</si>
  <si>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</si>
  <si>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>DIR. PRES. EMPRESAS PÚBLICAS Y AYUNTAMIENTOS</t>
  </si>
  <si>
    <t xml:space="preserve">NATIVIDAD SÁNCHEZ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</si>
  <si>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</si>
  <si>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</si>
  <si>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</si>
  <si>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</si>
  <si>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</si>
  <si>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COORDINADOR DE MESA DE AYUDA</t>
  </si>
  <si>
    <t>TÉCNICO DE RED Y TELECOMUNICACIONES</t>
  </si>
  <si>
    <t>M</t>
  </si>
  <si>
    <t>F</t>
  </si>
  <si>
    <t>Género</t>
  </si>
  <si>
    <t>JOSÉ ROBERTO MORETA DE LEÓN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</si>
  <si>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</si>
  <si>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</si>
  <si>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</si>
  <si>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</si>
  <si>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</si>
  <si>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</si>
  <si>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</si>
  <si>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</si>
  <si>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</si>
  <si>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</si>
  <si>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</si>
  <si>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</si>
  <si>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</si>
  <si>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</si>
  <si>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</si>
  <si>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</si>
  <si>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</si>
  <si>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</si>
  <si>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</si>
  <si>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</si>
  <si>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</si>
  <si>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</si>
  <si>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HÉCTOR ANTONIO OVALLES ALONZO </t>
  </si>
  <si>
    <t>JERSON VIRGILIO BATISTA RAMÍREZ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</si>
  <si>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</si>
  <si>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</si>
  <si>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</si>
  <si>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</si>
  <si>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</si>
  <si>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JANDERY VERALBA GUILLOT CASTILLO</t>
  </si>
  <si>
    <t>ASISTENTE ADMINISTRATIVO I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</si>
  <si>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</si>
  <si>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</si>
  <si>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</si>
  <si>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</si>
  <si>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</si>
  <si>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</si>
  <si>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</si>
  <si>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</si>
  <si>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</si>
  <si>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</si>
  <si>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</si>
  <si>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 01 DE JUNIO DEL 2022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</si>
  <si>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</si>
  <si>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</si>
  <si>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</si>
  <si>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</si>
  <si>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RESPONSABLE DE OFICINA DE LIBRE ACCESO A LA INFORMACIÓN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</si>
  <si>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</si>
  <si>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</si>
  <si>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</si>
  <si>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</si>
  <si>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</si>
  <si>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</si>
  <si>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</si>
  <si>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</si>
  <si>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</si>
  <si>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</si>
  <si>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</si>
  <si>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</si>
  <si>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</si>
  <si>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</si>
  <si>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</si>
  <si>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</si>
  <si>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</si>
  <si>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</si>
  <si>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</si>
  <si>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</si>
  <si>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</si>
  <si>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</si>
  <si>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</si>
  <si>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26 DE JULIO DEL 2022</t>
  </si>
  <si>
    <t>01 DE JULIO DEL 2022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</si>
  <si>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</si>
  <si>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</si>
  <si>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</si>
  <si>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</si>
  <si>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</si>
  <si>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</si>
  <si>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</si>
  <si>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</si>
  <si>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ENCARGADO SECCIÓN DE DOCUMENTACIÓN</t>
  </si>
  <si>
    <t>TAIRY IVENNY RAMIREZ RAMIREZ</t>
  </si>
  <si>
    <t xml:space="preserve">DIVISION FORMULACION, MONITOREO Y EVALUACION DE PLANES DE PROGRAMAS Y PROYECTOS </t>
  </si>
  <si>
    <t>JOSÉ EDIBERTO GERMÁN RAY</t>
  </si>
  <si>
    <t>ANALISTA DE NORMAS Y METODOLOGÍA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</si>
  <si>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</si>
  <si>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</si>
  <si>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</si>
  <si>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</si>
  <si>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</si>
  <si>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ANALISTA DE DESARROLLO INSTITUCIONAL I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</si>
  <si>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</si>
  <si>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</si>
  <si>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</si>
  <si>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</si>
  <si>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</si>
  <si>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</si>
  <si>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</si>
  <si>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>02 DE SEPTIEMBRE DEL 2022</t>
  </si>
  <si>
    <t>02 DE AGOSTO DEL 2022</t>
  </si>
  <si>
    <t>14 DE AGOSTO DEL 2022</t>
  </si>
  <si>
    <t>18 DE AGOSTO DEL 2022</t>
  </si>
  <si>
    <t>21 DE FEBRERO DEL 2022</t>
  </si>
  <si>
    <t>21 DE AGOSTO DEL 2022</t>
  </si>
  <si>
    <t>01 DE SEPTIEMBRE DEL 2022</t>
  </si>
  <si>
    <t>15 DE SEPTIEMBRE DEL 2022</t>
  </si>
  <si>
    <t>01 DE AGOSTO DEL 2022</t>
  </si>
  <si>
    <t>25 DE AGOSTO DEL 2022</t>
  </si>
  <si>
    <t>09 DE SEPTIEMBRE DEL 2022</t>
  </si>
  <si>
    <t>10 DE AGOSTO DEL 2022</t>
  </si>
  <si>
    <t>22 DE AGOSTO DEL 2022</t>
  </si>
  <si>
    <t>17 DE AGOSTO DEL 2022</t>
  </si>
  <si>
    <t>03 DE SEPTIEMBRE DEL 2022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</si>
  <si>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</si>
  <si>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</si>
  <si>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</si>
  <si>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</si>
  <si>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</si>
  <si>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</si>
  <si>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</si>
  <si>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</si>
  <si>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>01 DE OCTUBRE DEL 2022</t>
  </si>
  <si>
    <t>18 DE OCTUBRE DEL 2022</t>
  </si>
  <si>
    <t xml:space="preserve">ANA YISEL CUEVAS MATOS </t>
  </si>
  <si>
    <t>BRYAN ALEXIS THOMPSON PÉREZ</t>
  </si>
  <si>
    <t xml:space="preserve">HAMLET ALFONSO JIMÉNEZ RIVERA </t>
  </si>
  <si>
    <t>01 DE MAYO DEL 2022</t>
  </si>
  <si>
    <t>01 DE NOVIEMBRE DEL 2022</t>
  </si>
  <si>
    <t>ANALISTA DE REGISTRO Y CONTROL</t>
  </si>
  <si>
    <t>11 DE OCTUBRE DEL 2022</t>
  </si>
  <si>
    <t xml:space="preserve">PARALEGAL </t>
  </si>
  <si>
    <t>01 DE MAYO DE 2022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</si>
  <si>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</si>
  <si>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</si>
  <si>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</si>
  <si>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</si>
  <si>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 xml:space="preserve">ANALISTA DE GESTIÓN FINANCIERA DE FORMULACIÓN Y EJECUCIÓN </t>
  </si>
  <si>
    <t xml:space="preserve">ENCARGADA  DE DIVISION REGISTRO, CONTROL Y NÓMINA </t>
  </si>
  <si>
    <t>CARLOS ALFREDO VIZCAINO ARIAS</t>
  </si>
  <si>
    <t>IVÁN GÁLVEZ DE LA CRUZ</t>
  </si>
  <si>
    <t xml:space="preserve"> 01 DE DICIEMBRE DEL 2022</t>
  </si>
  <si>
    <t>ENCARGADA DIVISIÓN DE MINISTERIOS DE OBRAS DIVISIÓN DE JUNTA CENTRAL ELECTORAL, CÁMARA DE CUENTAS, TRIBUNAL CONSTITUCIONAL, DEFENSOR DEL PUEBLO Y TRIBUNAL SUPERIOR ELECTORAL Y VIVIENDA</t>
  </si>
  <si>
    <t>SANTA DIGNA RIVERA DE ALEJO</t>
  </si>
  <si>
    <t xml:space="preserve">SOCORRO HERNANDEZ VALDEZ </t>
  </si>
  <si>
    <t>01 DE ENERO DEL 2023</t>
  </si>
  <si>
    <t>26 DE ENERO DEL 2023</t>
  </si>
  <si>
    <t>02 DE JULIO DEL 2022</t>
  </si>
  <si>
    <t>02 DE ENERO DEL 2023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</si>
  <si>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</si>
  <si>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</si>
  <si>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</si>
  <si>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</si>
  <si>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</si>
  <si>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</si>
  <si>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</si>
  <si>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</si>
  <si>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</si>
  <si>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14 DE FEBRERO DEL 2023</t>
  </si>
  <si>
    <t>02 DE FEBRERO DEL 2023</t>
  </si>
  <si>
    <t>01 DE FEBRERO DEL 2023</t>
  </si>
  <si>
    <t>25 DE FEBRERO DEL 2023</t>
  </si>
  <si>
    <t>24 DE FEBRERO DEL 2023</t>
  </si>
  <si>
    <t>18 DE FEBRERO DEL 2023</t>
  </si>
  <si>
    <t>21 DE FEBRERO DEL 2023</t>
  </si>
  <si>
    <t>10 DE FEBRERO DEL 2023</t>
  </si>
  <si>
    <t>22 DE FEBRERO DEL 2023</t>
  </si>
  <si>
    <t>17 DE FEBRERO DEL 2023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</si>
  <si>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</si>
  <si>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</si>
  <si>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</si>
  <si>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</si>
  <si>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</si>
  <si>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</si>
  <si>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 xml:space="preserve"> 01 DE SEPTIEMBRE DEL 2022</t>
  </si>
  <si>
    <t>01 DE MARZO DEL 2023</t>
  </si>
  <si>
    <t>KEVIN JOSÉ RODRÍGUEZ ACOSTA</t>
  </si>
  <si>
    <t>02 DE MARZO DEL 2023</t>
  </si>
  <si>
    <t>FERNANDO LUIS SAN MIGUEL ÁLVAREZ</t>
  </si>
  <si>
    <t>15 DE MARZO DEL 2023</t>
  </si>
  <si>
    <t>09 DE MARZO DEL 2023</t>
  </si>
  <si>
    <t>03 DE MARZO DEL 2023</t>
  </si>
  <si>
    <t xml:space="preserve">JESUS ALBERTO BETANCES LORA 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</si>
  <si>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</si>
  <si>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</si>
  <si>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</si>
  <si>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</si>
  <si>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</si>
  <si>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</si>
  <si>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>18 DE ABRIL DEL 2023</t>
  </si>
  <si>
    <t>01 DE ABRIL DEL 2023</t>
  </si>
  <si>
    <t>11 DE ABRIL DEL 2023</t>
  </si>
  <si>
    <t>5  DE OCTUBRE DEL 2022</t>
  </si>
  <si>
    <t>5 DE ABRIL DEL 2023</t>
  </si>
  <si>
    <t>Correspondiente al mes de Noviembre del año 2022</t>
  </si>
  <si>
    <t xml:space="preserve">JUAN ALFONSO PAULINO RODRIGUEZ </t>
  </si>
  <si>
    <t>15 DE OCTUBRE DEL 2022</t>
  </si>
  <si>
    <t>15 DE ABRIL DEL 2023</t>
  </si>
  <si>
    <t>ANALISTA DE ANÁLISIS DE ESTUDIOS ECONÓMICOS I</t>
  </si>
  <si>
    <t>01 DE NOVIEMBRE DE 2022</t>
  </si>
  <si>
    <t>01 DE MAYO DE 2023</t>
  </si>
  <si>
    <t xml:space="preserve">total nomina noviembre </t>
  </si>
  <si>
    <t xml:space="preserve">JEREMY ELIAM BISONO SENA </t>
  </si>
  <si>
    <t xml:space="preserve">EDWIN AMADO MEJIA </t>
  </si>
  <si>
    <t>TECNICO DE TESORERIA</t>
  </si>
  <si>
    <t>DANIA ALCANTARA GUTIERREZ</t>
  </si>
  <si>
    <t xml:space="preserve">ANALISTA DE NORMAS Y METODOLOGIA </t>
  </si>
  <si>
    <t>ANALISTA DE EVALUACION DEL DESEMPEÑO PRESUPUESTARIO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</si>
</sst>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287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43" fontId="6" fillId="2" borderId="0" xfId="1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65" fontId="12" fillId="2" borderId="0" xfId="0" applyNumberFormat="1" applyFont="1" applyFill="1" applyAlignment="1">
      <alignment horizontal="left" wrapText="1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/>
    <xf numFmtId="43" fontId="3" fillId="0" borderId="0" xfId="1" applyFont="1" applyFill="1" applyBorder="1"/>
    <xf numFmtId="43" fontId="5" fillId="0" borderId="1" xfId="1" applyFont="1" applyFill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43" fontId="5" fillId="3" borderId="1" xfId="0" applyNumberFormat="1" applyFont="1" applyFill="1" applyBorder="1"/>
    <xf numFmtId="0" fontId="14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2" borderId="5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Border="1"/>
    <xf numFmtId="0" fontId="15" fillId="0" borderId="0" xfId="0" applyFo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Border="1" applyAlignment="1">
      <alignment horizontal="left" wrapText="1"/>
    </xf>
    <xf numFmtId="43" fontId="15" fillId="0" borderId="1" xfId="0" applyNumberFormat="1" applyFont="1" applyBorder="1"/>
    <xf numFmtId="165" fontId="12" fillId="0" borderId="1" xfId="0" applyNumberFormat="1" applyFont="1" applyBorder="1" applyAlignment="1">
      <alignment horizontal="left" wrapText="1"/>
    </xf>
    <xf numFmtId="43" fontId="16" fillId="0" borderId="0" xfId="1" applyFont="1" applyFill="1" applyBorder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Border="1" applyAlignment="1">
      <alignment wrapText="1"/>
    </xf>
    <xf numFmtId="43" fontId="15" fillId="0" borderId="1" xfId="1" applyFont="1" applyFill="1" applyBorder="1" applyAlignment="1"/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0" fontId="15" fillId="0" borderId="1" xfId="0" applyFont="1" applyBorder="1"/>
    <xf numFmtId="0" fontId="10" fillId="0" borderId="1" xfId="0" applyFont="1" applyBorder="1" applyAlignment="1">
      <alignment horizontal="center"/>
    </xf>
    <xf numFmtId="43" fontId="10" fillId="0" borderId="1" xfId="1" applyFont="1" applyFill="1" applyBorder="1"/>
    <xf numFmtId="43" fontId="10" fillId="0" borderId="1" xfId="0" applyNumberFormat="1" applyFont="1" applyBorder="1"/>
    <xf numFmtId="43" fontId="10" fillId="0" borderId="0" xfId="1" applyFont="1" applyFill="1" applyBorder="1"/>
    <xf numFmtId="0" fontId="10" fillId="0" borderId="0" xfId="0" applyFont="1"/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/>
    </xf>
    <xf numFmtId="43" fontId="3" fillId="0" borderId="2" xfId="0" applyNumberFormat="1" applyFont="1" applyBorder="1"/>
    <xf numFmtId="43" fontId="3" fillId="0" borderId="2" xfId="1" applyFont="1" applyFill="1" applyBorder="1"/>
    <xf numFmtId="0" fontId="3" fillId="0" borderId="1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164" fontId="3" fillId="0" borderId="2" xfId="0" applyNumberFormat="1" applyFont="1" applyBorder="1"/>
    <xf numFmtId="164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43" fontId="10" fillId="2" borderId="1" xfId="1" applyFont="1" applyFill="1" applyBorder="1"/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43" fontId="15" fillId="2" borderId="1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/>
    <xf numFmtId="43" fontId="6" fillId="2" borderId="20" xfId="1" applyFont="1" applyFill="1" applyBorder="1"/>
    <xf numFmtId="43" fontId="6" fillId="2" borderId="21" xfId="1" applyFont="1" applyFill="1" applyBorder="1"/>
    <xf numFmtId="0" fontId="3" fillId="2" borderId="2" xfId="0" applyFont="1" applyFill="1" applyBorder="1"/>
    <xf numFmtId="0" fontId="3" fillId="2" borderId="14" xfId="0" applyFont="1" applyFill="1" applyBorder="1"/>
    <xf numFmtId="43" fontId="15" fillId="2" borderId="14" xfId="1" applyFont="1" applyFill="1" applyBorder="1"/>
    <xf numFmtId="43" fontId="15" fillId="0" borderId="14" xfId="1" applyFont="1" applyFill="1" applyBorder="1"/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15" fillId="2" borderId="2" xfId="0" applyFont="1" applyFill="1" applyBorder="1" applyAlignment="1">
      <alignment horizontal="left" wrapText="1"/>
    </xf>
    <xf numFmtId="43" fontId="6" fillId="4" borderId="25" xfId="1" applyFont="1" applyFill="1" applyBorder="1"/>
    <xf numFmtId="0" fontId="3" fillId="0" borderId="22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15" fillId="0" borderId="2" xfId="0" applyNumberFormat="1" applyFont="1" applyBorder="1" applyAlignment="1">
      <alignment vertical="center"/>
    </xf>
    <xf numFmtId="43" fontId="6" fillId="2" borderId="0" xfId="0" applyNumberFormat="1" applyFont="1" applyFill="1"/>
    <xf numFmtId="0" fontId="15" fillId="0" borderId="10" xfId="0" applyFont="1" applyBorder="1" applyAlignment="1">
      <alignment horizontal="center"/>
    </xf>
    <xf numFmtId="43" fontId="7" fillId="2" borderId="0" xfId="1" applyFont="1" applyFill="1" applyBorder="1" applyAlignment="1">
      <alignment horizontal="center"/>
    </xf>
    <xf numFmtId="43" fontId="20" fillId="2" borderId="1" xfId="1" applyFont="1" applyFill="1" applyBorder="1"/>
    <xf numFmtId="43" fontId="20" fillId="2" borderId="2" xfId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3" fillId="2" borderId="2" xfId="0" applyFont="1" applyFill="1" applyBorder="1" applyAlignment="1">
      <alignment wrapText="1"/>
    </xf>
    <xf numFmtId="0" fontId="15" fillId="2" borderId="2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left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43" fontId="15" fillId="2" borderId="2" xfId="1" applyFont="1" applyFill="1" applyBorder="1" applyAlignment="1"/>
    <xf numFmtId="0" fontId="15" fillId="2" borderId="11" xfId="0" applyFont="1" applyFill="1" applyBorder="1" applyAlignment="1">
      <alignment horizontal="center"/>
    </xf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43" fontId="15" fillId="2" borderId="1" xfId="1" applyFont="1" applyFill="1" applyBorder="1" applyAlignment="1">
      <alignment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43" fontId="9" fillId="2" borderId="1" xfId="1" applyFont="1" applyFill="1" applyBorder="1" applyAlignment="1">
      <alignment horizontal="center"/>
    </xf>
    <xf numFmtId="43" fontId="3" fillId="2" borderId="1" xfId="1" applyFont="1" applyFill="1" applyBorder="1" applyAlignment="1"/>
    <xf numFmtId="0" fontId="3" fillId="0" borderId="22" xfId="0" applyFont="1" applyBorder="1" applyAlignment="1">
      <alignment horizontal="left"/>
    </xf>
    <xf numFmtId="0" fontId="15" fillId="0" borderId="1" xfId="0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23" fillId="0" borderId="2" xfId="1" applyFont="1" applyFill="1" applyBorder="1" applyAlignment="1">
      <alignment horizontal="center" wrapText="1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0" fontId="3" fillId="0" borderId="1" xfId="0" applyFont="1" applyBorder="1" applyAlignment="1">
      <alignment wrapText="1"/>
    </xf>
    <xf numFmtId="0" fontId="16" fillId="0" borderId="1" xfId="0" applyFont="1" applyBorder="1"/>
    <xf numFmtId="43" fontId="3" fillId="2" borderId="1" xfId="1" applyFont="1" applyFill="1" applyBorder="1" applyAlignment="1">
      <alignment horizontal="left"/>
    </xf>
    <xf numFmtId="43" fontId="12" fillId="2" borderId="1" xfId="1" applyFont="1" applyFill="1" applyBorder="1"/>
    <xf numFmtId="0" fontId="6" fillId="2" borderId="28" xfId="0" applyFont="1" applyFill="1" applyBorder="1" applyAlignment="1">
      <alignment horizontal="center" wrapText="1"/>
    </xf>
    <xf numFmtId="0" fontId="3" fillId="0" borderId="2" xfId="0" applyFont="1" applyBorder="1"/>
    <xf numFmtId="43" fontId="3" fillId="2" borderId="14" xfId="1" applyFont="1" applyFill="1" applyBorder="1" applyAlignment="1">
      <alignment horizontal="center"/>
    </xf>
    <xf numFmtId="43" fontId="3" fillId="0" borderId="14" xfId="1" applyFont="1" applyFill="1" applyBorder="1"/>
    <xf numFmtId="43" fontId="3" fillId="0" borderId="14" xfId="0" applyNumberFormat="1" applyFont="1" applyBorder="1"/>
    <xf numFmtId="43" fontId="3" fillId="2" borderId="14" xfId="1" applyFont="1" applyFill="1" applyBorder="1"/>
    <xf numFmtId="0" fontId="6" fillId="0" borderId="0" xfId="0" applyFont="1" applyAlignment="1">
      <alignment horizontal="center" wrapText="1"/>
    </xf>
    <xf numFmtId="43" fontId="6" fillId="0" borderId="20" xfId="1" applyFont="1" applyFill="1" applyBorder="1"/>
    <xf numFmtId="0" fontId="4" fillId="0" borderId="0" xfId="0" applyFont="1"/>
    <xf numFmtId="43" fontId="5" fillId="5" borderId="0" xfId="1" applyFont="1" applyFill="1" applyBorder="1"/>
    <xf numFmtId="0" fontId="4" fillId="2" borderId="0" xfId="0" applyFont="1" applyFill="1"/>
    <xf numFmtId="0" fontId="0" fillId="2" borderId="0" xfId="0" applyFill="1"/>
    <xf numFmtId="43" fontId="15" fillId="2" borderId="0" xfId="1" applyFont="1" applyFill="1" applyBorder="1" applyAlignment="1"/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left"/>
    </xf>
    <xf numFmtId="0" fontId="14" fillId="2" borderId="18" xfId="0" applyFont="1" applyFill="1" applyBorder="1" applyAlignment="1">
      <alignment horizontal="left"/>
    </xf>
    <xf numFmtId="0" fontId="14" fillId="2" borderId="19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left"/>
    </xf>
    <xf numFmtId="0" fontId="16" fillId="2" borderId="11" xfId="0" applyFont="1" applyFill="1" applyBorder="1" applyAlignment="1">
      <alignment horizontal="left"/>
    </xf>
    <xf numFmtId="0" fontId="14" fillId="2" borderId="4" xfId="0" applyFont="1" applyFill="1" applyBorder="1"/>
    <xf numFmtId="0" fontId="14" fillId="2" borderId="3" xfId="0" applyFont="1" applyFill="1" applyBorder="1"/>
    <xf numFmtId="0" fontId="14" fillId="2" borderId="5" xfId="0" applyFont="1" applyFill="1" applyBorder="1"/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22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16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left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43" fontId="6" fillId="2" borderId="5" xfId="1" applyFont="1" applyFill="1" applyBorder="1" applyAlignment="1"/>
    <xf numFmtId="0" fontId="6" fillId="2" borderId="23" xfId="0" applyFont="1" applyFill="1" applyBorder="1" applyAlignment="1">
      <alignment horizontal="left"/>
    </xf>
    <xf numFmtId="0" fontId="6" fillId="2" borderId="24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26" xfId="0" applyFont="1" applyFill="1" applyBorder="1" applyAlignment="1">
      <alignment horizontal="left"/>
    </xf>
    <xf numFmtId="0" fontId="7" fillId="2" borderId="27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316441</xdr:colOff>
      <xdr:row>0</xdr:row>
      <xdr:rowOff>0</xdr:rowOff>
    </xdr:from>
    <xdr:to>
      <xdr:col>1</xdr:col>
      <xdr:colOff>2380403</xdr:colOff>
      <xdr:row>4</xdr:row>
      <xdr:rowOff>248073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1" y="0"/>
          <a:ext cx="2530475" cy="1280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96308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1693173</xdr:colOff>
      <xdr:row>4</xdr:row>
      <xdr:rowOff>57786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935558" cy="10078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00253"/>
  <sheetViews>
    <sheetView showGridLines="0" zoomScale="85" zoomScaleNormal="85" zoomScaleSheetLayoutView="40" workbookViewId="0">
      <pane xSplit="2" ySplit="7" topLeftCell="F323" activePane="bottomRight" state="frozen"/>
      <selection pane="topRight" activeCell="C1" sqref="C1"/>
      <selection pane="bottomLeft" activeCell="A9" sqref="A9"/>
      <selection pane="bottomRight" activeCell="U323" sqref="U323"/>
    </sheetView>
  </sheetViews>
  <sheetFormatPr baseColWidth="10" defaultColWidth="11.42578125" defaultRowHeight="12.75" x14ac:dyDescent="0.2"/>
  <cols>
    <col min="1" max="1" width="6.85546875" style="4" customWidth="1"/>
    <col min="2" max="2" width="37" style="25" customWidth="1"/>
    <col min="3" max="3" width="9.140625" style="4" customWidth="1"/>
    <col min="4" max="4" width="37.7109375" style="25" customWidth="1"/>
    <col min="5" max="5" width="29.28515625" style="25" customWidth="1"/>
    <col min="6" max="6" width="18.7109375" style="2" customWidth="1"/>
    <col min="7" max="7" width="20.28515625" style="1" customWidth="1"/>
    <col min="8" max="8" width="24" style="1" customWidth="1"/>
    <col min="9" max="9" width="22.28515625" style="1" customWidth="1"/>
    <col min="10" max="10" width="19" style="1" customWidth="1"/>
    <col min="11" max="12" width="22.85546875" style="1" customWidth="1"/>
    <col min="13" max="13" width="17" style="1" customWidth="1"/>
    <col min="14" max="16384" width="11.42578125" style="1"/>
  </cols>
  <sheetData>
    <row r="1" spans="1:12" ht="23.25" x14ac:dyDescent="0.35">
      <c r="A1" s="242" t="s">
        <v>454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</row>
    <row r="2" spans="1:12" ht="21" x14ac:dyDescent="0.35">
      <c r="A2" s="243" t="s">
        <v>458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</row>
    <row r="3" spans="1:12" ht="18.75" x14ac:dyDescent="0.3">
      <c r="A3" s="244" t="s">
        <v>667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</row>
    <row r="4" spans="1:12" ht="19.5" thickBot="1" x14ac:dyDescent="0.35">
      <c r="A4" s="244"/>
      <c r="B4" s="244"/>
      <c r="C4" s="17"/>
      <c r="D4" s="24"/>
      <c r="E4" s="24"/>
      <c r="F4" s="17"/>
    </row>
    <row r="5" spans="1:12" ht="25.5" customHeight="1" thickBot="1" x14ac:dyDescent="0.3">
      <c r="A5" s="32"/>
      <c r="B5" s="33"/>
      <c r="C5" s="32"/>
      <c r="D5" s="33"/>
      <c r="E5" s="33"/>
      <c r="F5" s="34"/>
      <c r="G5" s="245" t="s">
        <v>133</v>
      </c>
      <c r="H5" s="246"/>
      <c r="I5" s="35"/>
      <c r="J5" s="35"/>
      <c r="K5" s="35"/>
      <c r="L5" s="35"/>
    </row>
    <row r="6" spans="1:12" s="18" customFormat="1" ht="30" customHeight="1" thickBot="1" x14ac:dyDescent="0.3">
      <c r="A6" s="36" t="s">
        <v>0</v>
      </c>
      <c r="B6" s="36" t="s">
        <v>397</v>
      </c>
      <c r="C6" s="36" t="s">
        <v>471</v>
      </c>
      <c r="D6" s="36" t="s">
        <v>492</v>
      </c>
      <c r="E6" s="36" t="s">
        <v>127</v>
      </c>
      <c r="F6" s="36" t="s">
        <v>137</v>
      </c>
      <c r="G6" s="37" t="s">
        <v>1</v>
      </c>
      <c r="H6" s="37" t="s">
        <v>2</v>
      </c>
      <c r="I6" s="38" t="s">
        <v>128</v>
      </c>
      <c r="J6" s="38" t="s">
        <v>130</v>
      </c>
      <c r="K6" s="38" t="s">
        <v>3</v>
      </c>
      <c r="L6" s="38" t="s">
        <v>129</v>
      </c>
    </row>
    <row r="7" spans="1:12" s="33" customFormat="1" ht="30" customHeight="1" thickBot="1" x14ac:dyDescent="0.3">
      <c r="A7" s="239" t="s">
        <v>261</v>
      </c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1"/>
    </row>
    <row r="8" spans="1:12" s="35" customFormat="1" ht="30" customHeight="1" x14ac:dyDescent="0.25">
      <c r="A8" s="136">
        <v>1</v>
      </c>
      <c r="B8" s="126" t="s">
        <v>260</v>
      </c>
      <c r="C8" s="136" t="s">
        <v>469</v>
      </c>
      <c r="D8" s="126" t="s">
        <v>256</v>
      </c>
      <c r="E8" s="140" t="s">
        <v>493</v>
      </c>
      <c r="F8" s="120">
        <v>245000</v>
      </c>
      <c r="G8" s="120">
        <f t="shared" ref="G8:G15" si="0">F8*2.87%</f>
        <v>7031.5</v>
      </c>
      <c r="H8" s="120">
        <v>4943.8</v>
      </c>
      <c r="I8" s="120">
        <v>46839.040000000001</v>
      </c>
      <c r="J8" s="124">
        <v>25</v>
      </c>
      <c r="K8" s="120">
        <f t="shared" ref="K8:K15" si="1">SUM(G8:J8)</f>
        <v>58839.34</v>
      </c>
      <c r="L8" s="124">
        <f t="shared" ref="L8:L15" si="2">+F8-K8</f>
        <v>186160.66</v>
      </c>
    </row>
    <row r="9" spans="1:12" s="42" customFormat="1" ht="30" customHeight="1" x14ac:dyDescent="0.25">
      <c r="A9" s="39">
        <v>2</v>
      </c>
      <c r="B9" s="89" t="s">
        <v>257</v>
      </c>
      <c r="C9" s="88" t="s">
        <v>470</v>
      </c>
      <c r="D9" s="89" t="s">
        <v>116</v>
      </c>
      <c r="E9" s="207" t="s">
        <v>135</v>
      </c>
      <c r="F9" s="90">
        <v>140000</v>
      </c>
      <c r="G9" s="123">
        <f t="shared" si="0"/>
        <v>4018</v>
      </c>
      <c r="H9" s="123">
        <f t="shared" ref="H9:H15" si="3">+F9*3.04%</f>
        <v>4256</v>
      </c>
      <c r="I9" s="123">
        <v>21514.37</v>
      </c>
      <c r="J9" s="124">
        <v>25</v>
      </c>
      <c r="K9" s="120">
        <f t="shared" si="1"/>
        <v>29813.37</v>
      </c>
      <c r="L9" s="124">
        <f t="shared" si="2"/>
        <v>110186.63</v>
      </c>
    </row>
    <row r="10" spans="1:12" s="42" customFormat="1" ht="30" customHeight="1" x14ac:dyDescent="0.25">
      <c r="A10" s="136">
        <v>3</v>
      </c>
      <c r="B10" s="121" t="s">
        <v>617</v>
      </c>
      <c r="C10" s="39" t="s">
        <v>470</v>
      </c>
      <c r="D10" s="140" t="s">
        <v>136</v>
      </c>
      <c r="E10" s="140" t="s">
        <v>134</v>
      </c>
      <c r="F10" s="123">
        <v>90000</v>
      </c>
      <c r="G10" s="123">
        <f t="shared" si="0"/>
        <v>2583</v>
      </c>
      <c r="H10" s="123">
        <f t="shared" si="3"/>
        <v>2736</v>
      </c>
      <c r="I10" s="123">
        <v>9753.1200000000008</v>
      </c>
      <c r="J10" s="124">
        <v>3631.68</v>
      </c>
      <c r="K10" s="120">
        <f t="shared" si="1"/>
        <v>18703.8</v>
      </c>
      <c r="L10" s="124">
        <f t="shared" si="2"/>
        <v>71296.2</v>
      </c>
    </row>
    <row r="11" spans="1:12" s="42" customFormat="1" ht="33" customHeight="1" x14ac:dyDescent="0.25">
      <c r="A11" s="39">
        <v>4</v>
      </c>
      <c r="B11" s="184" t="s">
        <v>222</v>
      </c>
      <c r="C11" s="136" t="s">
        <v>470</v>
      </c>
      <c r="D11" s="184" t="s">
        <v>223</v>
      </c>
      <c r="E11" s="121" t="s">
        <v>252</v>
      </c>
      <c r="F11" s="120">
        <v>55000</v>
      </c>
      <c r="G11" s="85">
        <f t="shared" si="0"/>
        <v>1578.5</v>
      </c>
      <c r="H11" s="85">
        <f t="shared" si="3"/>
        <v>1672</v>
      </c>
      <c r="I11" s="85"/>
      <c r="J11" s="86">
        <v>3049.9</v>
      </c>
      <c r="K11" s="120">
        <f t="shared" si="1"/>
        <v>6300.4</v>
      </c>
      <c r="L11" s="86">
        <f t="shared" si="2"/>
        <v>48699.6</v>
      </c>
    </row>
    <row r="12" spans="1:12" s="42" customFormat="1" ht="30" customHeight="1" x14ac:dyDescent="0.25">
      <c r="A12" s="39">
        <v>5</v>
      </c>
      <c r="B12" s="121" t="s">
        <v>29</v>
      </c>
      <c r="C12" s="39" t="s">
        <v>470</v>
      </c>
      <c r="D12" s="121" t="s">
        <v>99</v>
      </c>
      <c r="E12" s="140" t="s">
        <v>135</v>
      </c>
      <c r="F12" s="123">
        <v>35000</v>
      </c>
      <c r="G12" s="123">
        <f t="shared" si="0"/>
        <v>1004.5</v>
      </c>
      <c r="H12" s="123">
        <f t="shared" si="3"/>
        <v>1064</v>
      </c>
      <c r="I12" s="123">
        <v>0</v>
      </c>
      <c r="J12" s="124">
        <v>1025</v>
      </c>
      <c r="K12" s="120">
        <f t="shared" si="1"/>
        <v>3093.5</v>
      </c>
      <c r="L12" s="124">
        <f t="shared" si="2"/>
        <v>31906.5</v>
      </c>
    </row>
    <row r="13" spans="1:12" s="42" customFormat="1" ht="30" customHeight="1" x14ac:dyDescent="0.25">
      <c r="A13" s="136">
        <v>6</v>
      </c>
      <c r="B13" s="121" t="s">
        <v>258</v>
      </c>
      <c r="C13" s="39" t="s">
        <v>470</v>
      </c>
      <c r="D13" s="121" t="s">
        <v>99</v>
      </c>
      <c r="E13" s="140" t="s">
        <v>135</v>
      </c>
      <c r="F13" s="123">
        <v>35000</v>
      </c>
      <c r="G13" s="123">
        <f t="shared" si="0"/>
        <v>1004.5</v>
      </c>
      <c r="H13" s="123">
        <f t="shared" si="3"/>
        <v>1064</v>
      </c>
      <c r="I13" s="123"/>
      <c r="J13" s="124">
        <f>125+3200</f>
        <v>3325</v>
      </c>
      <c r="K13" s="120">
        <f>SUM(G13:J13)</f>
        <v>5393.5</v>
      </c>
      <c r="L13" s="124">
        <f t="shared" si="2"/>
        <v>29606.5</v>
      </c>
    </row>
    <row r="14" spans="1:12" s="42" customFormat="1" ht="30" customHeight="1" x14ac:dyDescent="0.25">
      <c r="A14" s="39">
        <v>7</v>
      </c>
      <c r="B14" s="121" t="s">
        <v>259</v>
      </c>
      <c r="C14" s="39" t="s">
        <v>470</v>
      </c>
      <c r="D14" s="121" t="s">
        <v>99</v>
      </c>
      <c r="E14" s="140" t="s">
        <v>135</v>
      </c>
      <c r="F14" s="123">
        <v>35000</v>
      </c>
      <c r="G14" s="123">
        <f t="shared" si="0"/>
        <v>1004.5</v>
      </c>
      <c r="H14" s="123">
        <f t="shared" si="3"/>
        <v>1064</v>
      </c>
      <c r="I14" s="123"/>
      <c r="J14" s="124">
        <v>6637.02</v>
      </c>
      <c r="K14" s="120">
        <f t="shared" si="1"/>
        <v>8705.52</v>
      </c>
      <c r="L14" s="124">
        <f t="shared" si="2"/>
        <v>26294.48</v>
      </c>
    </row>
    <row r="15" spans="1:12" s="42" customFormat="1" ht="30" customHeight="1" x14ac:dyDescent="0.25">
      <c r="A15" s="136">
        <v>8</v>
      </c>
      <c r="B15" s="126" t="s">
        <v>98</v>
      </c>
      <c r="C15" s="136" t="s">
        <v>470</v>
      </c>
      <c r="D15" s="126" t="s">
        <v>99</v>
      </c>
      <c r="E15" s="121" t="s">
        <v>252</v>
      </c>
      <c r="F15" s="120">
        <v>35000</v>
      </c>
      <c r="G15" s="123">
        <f t="shared" si="0"/>
        <v>1004.5</v>
      </c>
      <c r="H15" s="123">
        <f t="shared" si="3"/>
        <v>1064</v>
      </c>
      <c r="I15" s="90">
        <v>0</v>
      </c>
      <c r="J15" s="86">
        <v>25</v>
      </c>
      <c r="K15" s="120">
        <f t="shared" si="1"/>
        <v>2093.5</v>
      </c>
      <c r="L15" s="86">
        <f t="shared" si="2"/>
        <v>32906.5</v>
      </c>
    </row>
    <row r="16" spans="1:12" s="43" customFormat="1" ht="30" customHeight="1" x14ac:dyDescent="0.25">
      <c r="A16" s="230" t="s">
        <v>138</v>
      </c>
      <c r="B16" s="231"/>
      <c r="C16" s="231"/>
      <c r="D16" s="231"/>
      <c r="E16" s="231"/>
      <c r="F16" s="40">
        <f>SUM(F8:F15)</f>
        <v>670000</v>
      </c>
      <c r="G16" s="40">
        <f t="shared" ref="G16:L16" si="4">SUM(G8:G15)</f>
        <v>19229</v>
      </c>
      <c r="H16" s="40">
        <f t="shared" si="4"/>
        <v>17863.8</v>
      </c>
      <c r="I16" s="40">
        <f t="shared" si="4"/>
        <v>78106.53</v>
      </c>
      <c r="J16" s="40">
        <f t="shared" si="4"/>
        <v>17743.599999999999</v>
      </c>
      <c r="K16" s="40">
        <f t="shared" si="4"/>
        <v>132942.93</v>
      </c>
      <c r="L16" s="40">
        <f t="shared" si="4"/>
        <v>537057.07000000007</v>
      </c>
    </row>
    <row r="17" spans="1:12" s="34" customFormat="1" ht="22.5" customHeight="1" thickBot="1" x14ac:dyDescent="0.3">
      <c r="A17" s="44"/>
      <c r="B17" s="45"/>
      <c r="C17" s="47"/>
      <c r="D17" s="46"/>
      <c r="E17" s="46"/>
      <c r="F17" s="42"/>
      <c r="G17" s="42"/>
      <c r="H17" s="42"/>
      <c r="I17" s="42"/>
      <c r="J17" s="42"/>
      <c r="K17" s="42"/>
      <c r="L17" s="42"/>
    </row>
    <row r="18" spans="1:12" s="77" customFormat="1" ht="28.5" customHeight="1" thickBot="1" x14ac:dyDescent="0.3">
      <c r="A18" s="233" t="s">
        <v>169</v>
      </c>
      <c r="B18" s="234"/>
      <c r="C18" s="234"/>
      <c r="D18" s="234"/>
      <c r="E18" s="234"/>
      <c r="F18" s="234"/>
      <c r="G18" s="234"/>
      <c r="H18" s="234"/>
      <c r="I18" s="234"/>
      <c r="J18" s="234"/>
      <c r="K18" s="234"/>
      <c r="L18" s="235"/>
    </row>
    <row r="19" spans="1:12" s="42" customFormat="1" ht="30" customHeight="1" x14ac:dyDescent="0.25">
      <c r="A19" s="136">
        <f>+A15+1</f>
        <v>9</v>
      </c>
      <c r="B19" s="126" t="s">
        <v>199</v>
      </c>
      <c r="C19" s="136" t="s">
        <v>470</v>
      </c>
      <c r="D19" s="137" t="s">
        <v>118</v>
      </c>
      <c r="E19" s="121" t="s">
        <v>135</v>
      </c>
      <c r="F19" s="120">
        <v>200000</v>
      </c>
      <c r="G19" s="120">
        <f>F19*2.87%</f>
        <v>5740</v>
      </c>
      <c r="H19" s="120">
        <v>4943.8</v>
      </c>
      <c r="I19" s="120">
        <v>35155.760000000002</v>
      </c>
      <c r="J19" s="125">
        <v>3049.9</v>
      </c>
      <c r="K19" s="120">
        <f>SUM(G19:J19)</f>
        <v>48889.46</v>
      </c>
      <c r="L19" s="124">
        <f>+F19-K19</f>
        <v>151110.54</v>
      </c>
    </row>
    <row r="20" spans="1:12" s="43" customFormat="1" ht="30" customHeight="1" x14ac:dyDescent="0.25">
      <c r="A20" s="230" t="s">
        <v>138</v>
      </c>
      <c r="B20" s="231"/>
      <c r="C20" s="231"/>
      <c r="D20" s="231"/>
      <c r="E20" s="231"/>
      <c r="F20" s="40">
        <f t="shared" ref="F20:L20" si="5">SUM(F19:F19)</f>
        <v>200000</v>
      </c>
      <c r="G20" s="40">
        <f t="shared" si="5"/>
        <v>5740</v>
      </c>
      <c r="H20" s="40">
        <f t="shared" si="5"/>
        <v>4943.8</v>
      </c>
      <c r="I20" s="40">
        <f t="shared" si="5"/>
        <v>35155.760000000002</v>
      </c>
      <c r="J20" s="40">
        <f t="shared" si="5"/>
        <v>3049.9</v>
      </c>
      <c r="K20" s="40">
        <f t="shared" si="5"/>
        <v>48889.46</v>
      </c>
      <c r="L20" s="40">
        <f t="shared" si="5"/>
        <v>151110.54</v>
      </c>
    </row>
    <row r="21" spans="1:12" s="34" customFormat="1" ht="15" customHeight="1" thickBot="1" x14ac:dyDescent="0.3">
      <c r="A21" s="44"/>
      <c r="B21" s="45"/>
      <c r="C21" s="47"/>
      <c r="D21" s="46"/>
      <c r="E21" s="46"/>
      <c r="F21" s="42"/>
      <c r="G21" s="42"/>
      <c r="H21" s="42"/>
      <c r="I21" s="42"/>
      <c r="J21" s="42"/>
      <c r="K21" s="42"/>
      <c r="L21" s="42"/>
    </row>
    <row r="22" spans="1:12" s="33" customFormat="1" ht="30" customHeight="1" thickBot="1" x14ac:dyDescent="0.3">
      <c r="A22" s="233" t="s">
        <v>195</v>
      </c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5"/>
    </row>
    <row r="23" spans="1:12" s="43" customFormat="1" ht="30" customHeight="1" x14ac:dyDescent="0.25">
      <c r="A23" s="39">
        <f>A19+1</f>
        <v>10</v>
      </c>
      <c r="B23" s="121" t="s">
        <v>153</v>
      </c>
      <c r="C23" s="39" t="s">
        <v>470</v>
      </c>
      <c r="D23" s="122" t="s">
        <v>517</v>
      </c>
      <c r="E23" s="121" t="s">
        <v>134</v>
      </c>
      <c r="F23" s="123">
        <v>170500</v>
      </c>
      <c r="G23" s="123">
        <f>F23*2.87%</f>
        <v>4893.3500000000004</v>
      </c>
      <c r="H23" s="120">
        <v>4943.8</v>
      </c>
      <c r="I23" s="123">
        <v>28748.58</v>
      </c>
      <c r="J23" s="125">
        <v>7527.87</v>
      </c>
      <c r="K23" s="120">
        <f>SUM(G23:J23)</f>
        <v>46113.600000000006</v>
      </c>
      <c r="L23" s="124">
        <f>+F23-K23</f>
        <v>124386.4</v>
      </c>
    </row>
    <row r="24" spans="1:12" s="43" customFormat="1" ht="22.5" customHeight="1" x14ac:dyDescent="0.25">
      <c r="A24" s="230" t="s">
        <v>138</v>
      </c>
      <c r="B24" s="231"/>
      <c r="C24" s="231"/>
      <c r="D24" s="231"/>
      <c r="E24" s="231"/>
      <c r="F24" s="40">
        <f>SUM(F23)</f>
        <v>170500</v>
      </c>
      <c r="G24" s="40">
        <f t="shared" ref="G24:L24" si="6">SUM(G23)</f>
        <v>4893.3500000000004</v>
      </c>
      <c r="H24" s="40">
        <f t="shared" si="6"/>
        <v>4943.8</v>
      </c>
      <c r="I24" s="40">
        <f t="shared" si="6"/>
        <v>28748.58</v>
      </c>
      <c r="J24" s="40">
        <f t="shared" si="6"/>
        <v>7527.87</v>
      </c>
      <c r="K24" s="40">
        <f t="shared" si="6"/>
        <v>46113.600000000006</v>
      </c>
      <c r="L24" s="40">
        <f t="shared" si="6"/>
        <v>124386.4</v>
      </c>
    </row>
    <row r="25" spans="1:12" s="34" customFormat="1" ht="18" customHeight="1" thickBot="1" x14ac:dyDescent="0.3">
      <c r="A25" s="44"/>
      <c r="B25" s="45"/>
      <c r="C25" s="47"/>
      <c r="D25" s="46"/>
      <c r="E25" s="46"/>
      <c r="F25" s="42"/>
      <c r="G25" s="42"/>
      <c r="H25" s="42"/>
      <c r="I25" s="42"/>
      <c r="J25" s="42"/>
      <c r="K25" s="42"/>
      <c r="L25" s="42"/>
    </row>
    <row r="26" spans="1:12" s="77" customFormat="1" ht="30" customHeight="1" thickBot="1" x14ac:dyDescent="0.3">
      <c r="A26" s="233" t="s">
        <v>170</v>
      </c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5"/>
    </row>
    <row r="27" spans="1:12" s="42" customFormat="1" ht="46.5" customHeight="1" x14ac:dyDescent="0.25">
      <c r="A27" s="88">
        <f>+A23+1</f>
        <v>11</v>
      </c>
      <c r="B27" s="121" t="s">
        <v>274</v>
      </c>
      <c r="C27" s="39" t="s">
        <v>470</v>
      </c>
      <c r="D27" s="122" t="s">
        <v>57</v>
      </c>
      <c r="E27" s="121" t="s">
        <v>135</v>
      </c>
      <c r="F27" s="123">
        <v>104000</v>
      </c>
      <c r="G27" s="90">
        <f>F27*2.87%</f>
        <v>2984.8</v>
      </c>
      <c r="H27" s="90">
        <f>+F27*3.04%</f>
        <v>3161.6</v>
      </c>
      <c r="I27" s="90">
        <v>12290.11</v>
      </c>
      <c r="J27" s="92">
        <v>13871.03</v>
      </c>
      <c r="K27" s="85">
        <f>SUM(G27:J27)</f>
        <v>32307.54</v>
      </c>
      <c r="L27" s="86">
        <f>+F27-K27</f>
        <v>71692.459999999992</v>
      </c>
    </row>
    <row r="28" spans="1:12" s="138" customFormat="1" ht="30" customHeight="1" x14ac:dyDescent="0.25">
      <c r="A28" s="136">
        <f>+A27+1</f>
        <v>12</v>
      </c>
      <c r="B28" s="121" t="s">
        <v>74</v>
      </c>
      <c r="C28" s="136" t="s">
        <v>470</v>
      </c>
      <c r="D28" s="121" t="s">
        <v>57</v>
      </c>
      <c r="E28" s="121" t="s">
        <v>134</v>
      </c>
      <c r="F28" s="123">
        <v>90000</v>
      </c>
      <c r="G28" s="123">
        <f>F28*2.87%</f>
        <v>2583</v>
      </c>
      <c r="H28" s="123">
        <f>+F28*3.04%</f>
        <v>2736</v>
      </c>
      <c r="I28" s="123">
        <v>9753.19</v>
      </c>
      <c r="J28" s="125">
        <v>125</v>
      </c>
      <c r="K28" s="120">
        <f>SUM(G28:J28)</f>
        <v>15197.19</v>
      </c>
      <c r="L28" s="124">
        <f>+F28-K28</f>
        <v>74802.81</v>
      </c>
    </row>
    <row r="29" spans="1:12" s="50" customFormat="1" ht="30" customHeight="1" x14ac:dyDescent="0.25">
      <c r="A29" s="136">
        <f>+A28+1</f>
        <v>13</v>
      </c>
      <c r="B29" s="121" t="s">
        <v>64</v>
      </c>
      <c r="C29" s="136" t="s">
        <v>470</v>
      </c>
      <c r="D29" s="122" t="s">
        <v>57</v>
      </c>
      <c r="E29" s="121" t="s">
        <v>134</v>
      </c>
      <c r="F29" s="123">
        <v>80000</v>
      </c>
      <c r="G29" s="123">
        <f>F29*2.87%</f>
        <v>2296</v>
      </c>
      <c r="H29" s="123">
        <f>+F29*3.04%</f>
        <v>2432</v>
      </c>
      <c r="I29" s="123">
        <v>7400.94</v>
      </c>
      <c r="J29" s="125">
        <v>4468.07</v>
      </c>
      <c r="K29" s="120">
        <f>SUM(G29:J29)</f>
        <v>16597.009999999998</v>
      </c>
      <c r="L29" s="124">
        <f>+F29-K29</f>
        <v>63402.990000000005</v>
      </c>
    </row>
    <row r="30" spans="1:12" s="42" customFormat="1" ht="27" customHeight="1" x14ac:dyDescent="0.25">
      <c r="A30" s="230" t="s">
        <v>138</v>
      </c>
      <c r="B30" s="231"/>
      <c r="C30" s="231"/>
      <c r="D30" s="231"/>
      <c r="E30" s="232"/>
      <c r="F30" s="40">
        <f>SUM(F27:F29)</f>
        <v>274000</v>
      </c>
      <c r="G30" s="40">
        <f t="shared" ref="G30:L30" si="7">SUM(G27:G29)</f>
        <v>7863.8</v>
      </c>
      <c r="H30" s="40">
        <f t="shared" si="7"/>
        <v>8329.6</v>
      </c>
      <c r="I30" s="40">
        <f t="shared" si="7"/>
        <v>29444.240000000002</v>
      </c>
      <c r="J30" s="40">
        <f t="shared" si="7"/>
        <v>18464.099999999999</v>
      </c>
      <c r="K30" s="40">
        <f t="shared" si="7"/>
        <v>64101.740000000005</v>
      </c>
      <c r="L30" s="40">
        <f t="shared" si="7"/>
        <v>209898.26</v>
      </c>
    </row>
    <row r="31" spans="1:12" s="42" customFormat="1" ht="13.5" customHeight="1" thickBot="1" x14ac:dyDescent="0.3">
      <c r="A31" s="53"/>
      <c r="B31" s="53"/>
      <c r="C31" s="53"/>
      <c r="D31" s="53"/>
      <c r="E31" s="53"/>
      <c r="F31" s="43"/>
      <c r="G31" s="43"/>
      <c r="H31" s="43"/>
      <c r="I31" s="43"/>
      <c r="J31" s="43"/>
      <c r="K31" s="43"/>
      <c r="L31" s="43"/>
    </row>
    <row r="32" spans="1:12" s="35" customFormat="1" ht="30" customHeight="1" thickBot="1" x14ac:dyDescent="0.3">
      <c r="A32" s="233" t="s">
        <v>171</v>
      </c>
      <c r="B32" s="234"/>
      <c r="C32" s="234"/>
      <c r="D32" s="234"/>
      <c r="E32" s="234"/>
      <c r="F32" s="234"/>
      <c r="G32" s="234"/>
      <c r="H32" s="234"/>
      <c r="I32" s="234"/>
      <c r="J32" s="234"/>
      <c r="K32" s="234"/>
      <c r="L32" s="235"/>
    </row>
    <row r="33" spans="1:12" s="42" customFormat="1" ht="32.25" customHeight="1" x14ac:dyDescent="0.25">
      <c r="A33" s="136">
        <f>+A29+1</f>
        <v>14</v>
      </c>
      <c r="B33" s="126" t="s">
        <v>262</v>
      </c>
      <c r="C33" s="136" t="s">
        <v>470</v>
      </c>
      <c r="D33" s="164" t="s">
        <v>196</v>
      </c>
      <c r="E33" s="121" t="s">
        <v>135</v>
      </c>
      <c r="F33" s="120">
        <v>155000</v>
      </c>
      <c r="G33" s="123">
        <f>F33*2.87%</f>
        <v>4448.5</v>
      </c>
      <c r="H33" s="123">
        <f>F33*3.04%</f>
        <v>4712</v>
      </c>
      <c r="I33" s="120">
        <v>25042.81</v>
      </c>
      <c r="J33" s="125">
        <v>5818.55</v>
      </c>
      <c r="K33" s="120">
        <f>SUM(G33:J33)</f>
        <v>40021.86</v>
      </c>
      <c r="L33" s="124">
        <f>+F33-K33</f>
        <v>114978.14</v>
      </c>
    </row>
    <row r="34" spans="1:12" s="138" customFormat="1" ht="30" customHeight="1" x14ac:dyDescent="0.25">
      <c r="A34" s="136">
        <f>+A33+1</f>
        <v>15</v>
      </c>
      <c r="B34" s="121" t="s">
        <v>60</v>
      </c>
      <c r="C34" s="136" t="s">
        <v>470</v>
      </c>
      <c r="D34" s="121" t="s">
        <v>57</v>
      </c>
      <c r="E34" s="121" t="s">
        <v>135</v>
      </c>
      <c r="F34" s="123">
        <v>100000</v>
      </c>
      <c r="G34" s="123">
        <f>F34*2.87%</f>
        <v>2870</v>
      </c>
      <c r="H34" s="123">
        <f>+F34*3.04%</f>
        <v>3040</v>
      </c>
      <c r="I34" s="123">
        <v>12105.37</v>
      </c>
      <c r="J34" s="125">
        <v>25</v>
      </c>
      <c r="K34" s="120">
        <f>SUM(G34:J34)</f>
        <v>18040.370000000003</v>
      </c>
      <c r="L34" s="124">
        <f>+F34-K34</f>
        <v>81959.63</v>
      </c>
    </row>
    <row r="35" spans="1:12" s="50" customFormat="1" ht="30" customHeight="1" x14ac:dyDescent="0.25">
      <c r="A35" s="136">
        <f>+A34+1</f>
        <v>16</v>
      </c>
      <c r="B35" s="121" t="s">
        <v>263</v>
      </c>
      <c r="C35" s="136" t="s">
        <v>470</v>
      </c>
      <c r="D35" s="122" t="s">
        <v>57</v>
      </c>
      <c r="E35" s="121" t="s">
        <v>134</v>
      </c>
      <c r="F35" s="123">
        <v>80000</v>
      </c>
      <c r="G35" s="123">
        <f>F35*2.87%</f>
        <v>2296</v>
      </c>
      <c r="H35" s="123">
        <f>+F35*3.04%</f>
        <v>2432</v>
      </c>
      <c r="I35" s="123">
        <v>7400.87</v>
      </c>
      <c r="J35" s="125">
        <v>125</v>
      </c>
      <c r="K35" s="120">
        <f>SUM(G35:J35)</f>
        <v>12253.869999999999</v>
      </c>
      <c r="L35" s="124">
        <f>+F35-K35</f>
        <v>67746.13</v>
      </c>
    </row>
    <row r="36" spans="1:12" s="50" customFormat="1" ht="30" customHeight="1" x14ac:dyDescent="0.25">
      <c r="A36" s="136">
        <f>+A35+1</f>
        <v>17</v>
      </c>
      <c r="B36" s="170" t="s">
        <v>516</v>
      </c>
      <c r="C36" s="39" t="s">
        <v>469</v>
      </c>
      <c r="D36" s="140" t="s">
        <v>161</v>
      </c>
      <c r="E36" s="121" t="s">
        <v>134</v>
      </c>
      <c r="F36" s="123">
        <v>70000</v>
      </c>
      <c r="G36" s="123">
        <f>F36*2.87%</f>
        <v>2009</v>
      </c>
      <c r="H36" s="123">
        <f>+F36*3.04%</f>
        <v>2128</v>
      </c>
      <c r="I36" s="123">
        <v>5368.45</v>
      </c>
      <c r="J36" s="125">
        <v>525</v>
      </c>
      <c r="K36" s="120">
        <f>SUM(G36:J36)</f>
        <v>10030.450000000001</v>
      </c>
      <c r="L36" s="124">
        <f>F36-K36</f>
        <v>59969.55</v>
      </c>
    </row>
    <row r="37" spans="1:12" s="42" customFormat="1" ht="30" customHeight="1" thickBot="1" x14ac:dyDescent="0.3">
      <c r="A37" s="230" t="s">
        <v>138</v>
      </c>
      <c r="B37" s="231"/>
      <c r="C37" s="231"/>
      <c r="D37" s="231"/>
      <c r="E37" s="232"/>
      <c r="F37" s="40">
        <f>SUM(F33:F36)</f>
        <v>405000</v>
      </c>
      <c r="G37" s="40">
        <f t="shared" ref="G37:L37" si="8">SUM(G33:G36)</f>
        <v>11623.5</v>
      </c>
      <c r="H37" s="40">
        <f t="shared" si="8"/>
        <v>12312</v>
      </c>
      <c r="I37" s="40">
        <f t="shared" si="8"/>
        <v>49917.5</v>
      </c>
      <c r="J37" s="40">
        <f t="shared" si="8"/>
        <v>6493.55</v>
      </c>
      <c r="K37" s="40">
        <f t="shared" si="8"/>
        <v>80346.55</v>
      </c>
      <c r="L37" s="40">
        <f t="shared" si="8"/>
        <v>324653.45</v>
      </c>
    </row>
    <row r="38" spans="1:12" s="35" customFormat="1" ht="24" customHeight="1" thickBot="1" x14ac:dyDescent="0.3">
      <c r="A38" s="233" t="s">
        <v>172</v>
      </c>
      <c r="B38" s="234"/>
      <c r="C38" s="234"/>
      <c r="D38" s="234"/>
      <c r="E38" s="234"/>
      <c r="F38" s="234"/>
      <c r="G38" s="234"/>
      <c r="H38" s="234"/>
      <c r="I38" s="234"/>
      <c r="J38" s="234"/>
      <c r="K38" s="234"/>
      <c r="L38" s="235"/>
    </row>
    <row r="39" spans="1:12" s="94" customFormat="1" ht="30" customHeight="1" x14ac:dyDescent="0.25">
      <c r="A39" s="83">
        <f>A36+1</f>
        <v>18</v>
      </c>
      <c r="B39" s="84" t="s">
        <v>277</v>
      </c>
      <c r="C39" s="83" t="s">
        <v>470</v>
      </c>
      <c r="D39" s="91" t="s">
        <v>203</v>
      </c>
      <c r="E39" s="89" t="s">
        <v>135</v>
      </c>
      <c r="F39" s="85">
        <v>130000</v>
      </c>
      <c r="G39" s="90">
        <v>3731</v>
      </c>
      <c r="H39" s="90">
        <v>3952</v>
      </c>
      <c r="I39" s="90">
        <v>18784.07479166667</v>
      </c>
      <c r="J39" s="92">
        <v>1537.45</v>
      </c>
      <c r="K39" s="85">
        <f>SUM(G39:J39)</f>
        <v>28004.52479166667</v>
      </c>
      <c r="L39" s="86">
        <f>+F39-K39</f>
        <v>101995.47520833333</v>
      </c>
    </row>
    <row r="40" spans="1:12" s="94" customFormat="1" ht="30" customHeight="1" x14ac:dyDescent="0.25">
      <c r="A40" s="83">
        <f>A39+1</f>
        <v>19</v>
      </c>
      <c r="B40" s="121" t="s">
        <v>55</v>
      </c>
      <c r="C40" s="39" t="s">
        <v>470</v>
      </c>
      <c r="D40" s="121" t="s">
        <v>57</v>
      </c>
      <c r="E40" s="121" t="s">
        <v>135</v>
      </c>
      <c r="F40" s="123">
        <v>90000</v>
      </c>
      <c r="G40" s="123">
        <f>F40*2.87%</f>
        <v>2583</v>
      </c>
      <c r="H40" s="90">
        <f>+F40*3.04%</f>
        <v>2736</v>
      </c>
      <c r="I40" s="123">
        <v>9753.1200000000008</v>
      </c>
      <c r="J40" s="92">
        <v>1875</v>
      </c>
      <c r="K40" s="85">
        <f>SUM(G40:J40)</f>
        <v>16947.120000000003</v>
      </c>
      <c r="L40" s="86">
        <f>+F40-K40</f>
        <v>73052.88</v>
      </c>
    </row>
    <row r="41" spans="1:12" s="56" customFormat="1" ht="30" customHeight="1" x14ac:dyDescent="0.25">
      <c r="A41" s="83">
        <f>A40+1</f>
        <v>20</v>
      </c>
      <c r="B41" s="121" t="s">
        <v>264</v>
      </c>
      <c r="C41" s="39" t="s">
        <v>470</v>
      </c>
      <c r="D41" s="122" t="s">
        <v>57</v>
      </c>
      <c r="E41" s="121" t="s">
        <v>134</v>
      </c>
      <c r="F41" s="123">
        <v>90000</v>
      </c>
      <c r="G41" s="120">
        <f>F41*2.87%</f>
        <v>2583</v>
      </c>
      <c r="H41" s="85">
        <f>+F41*3.04%</f>
        <v>2736</v>
      </c>
      <c r="I41" s="123">
        <v>9375.0747916666678</v>
      </c>
      <c r="J41" s="92">
        <f>7503.85-277.6+1512.45+100+25</f>
        <v>8863.7000000000007</v>
      </c>
      <c r="K41" s="85">
        <f>SUM(G41:J41)</f>
        <v>23557.77479166667</v>
      </c>
      <c r="L41" s="86">
        <f>+F41-K41</f>
        <v>66442.22520833333</v>
      </c>
    </row>
    <row r="42" spans="1:12" s="42" customFormat="1" ht="30" customHeight="1" x14ac:dyDescent="0.25">
      <c r="A42" s="83">
        <f t="shared" ref="A42" si="9">A41+1</f>
        <v>21</v>
      </c>
      <c r="B42" s="121" t="s">
        <v>265</v>
      </c>
      <c r="C42" s="39" t="s">
        <v>470</v>
      </c>
      <c r="D42" s="122" t="s">
        <v>57</v>
      </c>
      <c r="E42" s="121" t="s">
        <v>135</v>
      </c>
      <c r="F42" s="123">
        <v>90000</v>
      </c>
      <c r="G42" s="123">
        <f>F42*2.87%</f>
        <v>2583</v>
      </c>
      <c r="H42" s="90">
        <f>+F42*3.04%</f>
        <v>2736</v>
      </c>
      <c r="I42" s="123">
        <v>9753.1200000000008</v>
      </c>
      <c r="J42" s="92">
        <v>6944.51</v>
      </c>
      <c r="K42" s="85">
        <f>SUM(G42:J42)</f>
        <v>22016.63</v>
      </c>
      <c r="L42" s="86">
        <f>+F42-K42</f>
        <v>67983.37</v>
      </c>
    </row>
    <row r="43" spans="1:12" s="42" customFormat="1" ht="30" customHeight="1" x14ac:dyDescent="0.25">
      <c r="A43" s="83">
        <f>A42+1</f>
        <v>22</v>
      </c>
      <c r="B43" s="126" t="s">
        <v>266</v>
      </c>
      <c r="C43" s="39" t="s">
        <v>470</v>
      </c>
      <c r="D43" s="126" t="s">
        <v>57</v>
      </c>
      <c r="E43" s="126" t="s">
        <v>135</v>
      </c>
      <c r="F43" s="120">
        <v>80000</v>
      </c>
      <c r="G43" s="120">
        <f>F43*2.87%</f>
        <v>2296</v>
      </c>
      <c r="H43" s="85">
        <f>+F43*3.04%</f>
        <v>2432</v>
      </c>
      <c r="I43" s="123">
        <v>7400.87</v>
      </c>
      <c r="J43" s="86">
        <v>8498.48</v>
      </c>
      <c r="K43" s="85">
        <f>SUM(G43:J43)</f>
        <v>20627.349999999999</v>
      </c>
      <c r="L43" s="86">
        <f>+F43-K43</f>
        <v>59372.65</v>
      </c>
    </row>
    <row r="44" spans="1:12" s="42" customFormat="1" ht="30" customHeight="1" x14ac:dyDescent="0.25">
      <c r="A44" s="230" t="s">
        <v>138</v>
      </c>
      <c r="B44" s="231"/>
      <c r="C44" s="231"/>
      <c r="D44" s="231"/>
      <c r="E44" s="232"/>
      <c r="F44" s="40">
        <f t="shared" ref="F44:L44" si="10">SUM(F39:F43)</f>
        <v>480000</v>
      </c>
      <c r="G44" s="40">
        <f t="shared" si="10"/>
        <v>13776</v>
      </c>
      <c r="H44" s="40">
        <f t="shared" si="10"/>
        <v>14592</v>
      </c>
      <c r="I44" s="40">
        <f t="shared" si="10"/>
        <v>55066.25958333334</v>
      </c>
      <c r="J44" s="40">
        <f t="shared" si="10"/>
        <v>27719.140000000003</v>
      </c>
      <c r="K44" s="40">
        <f t="shared" si="10"/>
        <v>111153.39958333335</v>
      </c>
      <c r="L44" s="40">
        <f t="shared" si="10"/>
        <v>368846.60041666671</v>
      </c>
    </row>
    <row r="45" spans="1:12" s="42" customFormat="1" ht="30" customHeight="1" thickBot="1" x14ac:dyDescent="0.3">
      <c r="A45"/>
      <c r="B45"/>
      <c r="C45" s="152"/>
      <c r="D45"/>
      <c r="E45"/>
      <c r="F45"/>
      <c r="G45"/>
      <c r="H45"/>
      <c r="I45"/>
      <c r="J45"/>
      <c r="K45"/>
      <c r="L45"/>
    </row>
    <row r="46" spans="1:12" s="94" customFormat="1" ht="30" customHeight="1" thickBot="1" x14ac:dyDescent="0.3">
      <c r="A46" s="233" t="s">
        <v>518</v>
      </c>
      <c r="B46" s="234"/>
      <c r="C46" s="234"/>
      <c r="D46" s="234"/>
      <c r="E46" s="234"/>
      <c r="F46" s="234"/>
      <c r="G46" s="234"/>
      <c r="H46" s="234"/>
      <c r="I46" s="234"/>
      <c r="J46" s="234"/>
      <c r="K46" s="234"/>
      <c r="L46" s="235"/>
    </row>
    <row r="47" spans="1:12" s="94" customFormat="1" ht="30" customHeight="1" x14ac:dyDescent="0.25">
      <c r="A47" s="83">
        <f>+A43+1</f>
        <v>23</v>
      </c>
      <c r="B47" s="84" t="s">
        <v>63</v>
      </c>
      <c r="C47" s="83" t="s">
        <v>470</v>
      </c>
      <c r="D47" s="91" t="s">
        <v>197</v>
      </c>
      <c r="E47" s="89" t="s">
        <v>135</v>
      </c>
      <c r="F47" s="85">
        <v>126500</v>
      </c>
      <c r="G47" s="85">
        <v>3630.55</v>
      </c>
      <c r="H47" s="85">
        <v>3845.6</v>
      </c>
      <c r="I47" s="120">
        <v>17960.787291666664</v>
      </c>
      <c r="J47" s="92">
        <v>1637.45</v>
      </c>
      <c r="K47" s="85">
        <f>SUM(G47:J47)</f>
        <v>27074.387291666662</v>
      </c>
      <c r="L47" s="124">
        <f>+F47-K47</f>
        <v>99425.612708333341</v>
      </c>
    </row>
    <row r="48" spans="1:12" s="42" customFormat="1" ht="30" customHeight="1" x14ac:dyDescent="0.25">
      <c r="A48" s="88">
        <f>+A47+1</f>
        <v>24</v>
      </c>
      <c r="B48" s="121" t="s">
        <v>198</v>
      </c>
      <c r="C48" s="39" t="s">
        <v>470</v>
      </c>
      <c r="D48" s="122" t="s">
        <v>106</v>
      </c>
      <c r="E48" s="121" t="s">
        <v>135</v>
      </c>
      <c r="F48" s="123">
        <v>60000</v>
      </c>
      <c r="G48" s="90">
        <f>F48*2.87%</f>
        <v>1722</v>
      </c>
      <c r="H48" s="90">
        <f>+F48*3.04%</f>
        <v>1824</v>
      </c>
      <c r="I48" s="90">
        <v>3184.159833333335</v>
      </c>
      <c r="J48" s="92">
        <v>1637.45</v>
      </c>
      <c r="K48" s="85">
        <f>SUM(G48:J48)</f>
        <v>8367.6098333333357</v>
      </c>
      <c r="L48" s="86">
        <f>+F48-K48</f>
        <v>51632.390166666664</v>
      </c>
    </row>
    <row r="49" spans="1:12" s="42" customFormat="1" ht="30" customHeight="1" x14ac:dyDescent="0.25">
      <c r="A49" s="230" t="s">
        <v>138</v>
      </c>
      <c r="B49" s="231"/>
      <c r="C49" s="231"/>
      <c r="D49" s="231"/>
      <c r="E49" s="232"/>
      <c r="F49" s="40">
        <f t="shared" ref="F49:L49" si="11">SUM(F47:F48)</f>
        <v>186500</v>
      </c>
      <c r="G49" s="40">
        <f t="shared" si="11"/>
        <v>5352.55</v>
      </c>
      <c r="H49" s="40">
        <f t="shared" si="11"/>
        <v>5669.6</v>
      </c>
      <c r="I49" s="40">
        <f t="shared" si="11"/>
        <v>21144.947124999999</v>
      </c>
      <c r="J49" s="40">
        <f t="shared" si="11"/>
        <v>3274.9</v>
      </c>
      <c r="K49" s="40">
        <f t="shared" si="11"/>
        <v>35441.997124999994</v>
      </c>
      <c r="L49" s="40">
        <f t="shared" si="11"/>
        <v>151058.00287500001</v>
      </c>
    </row>
    <row r="50" spans="1:12" s="42" customFormat="1" ht="30" customHeight="1" thickBot="1" x14ac:dyDescent="0.3">
      <c r="A50" s="53"/>
      <c r="B50" s="53"/>
      <c r="C50" s="53"/>
      <c r="D50" s="53"/>
      <c r="E50" s="53"/>
      <c r="F50"/>
      <c r="G50"/>
      <c r="H50"/>
      <c r="I50"/>
      <c r="J50"/>
      <c r="K50"/>
      <c r="L50"/>
    </row>
    <row r="51" spans="1:12" s="56" customFormat="1" ht="30" customHeight="1" thickBot="1" x14ac:dyDescent="0.3">
      <c r="A51" s="236" t="s">
        <v>173</v>
      </c>
      <c r="B51" s="237"/>
      <c r="C51" s="237"/>
      <c r="D51" s="237"/>
      <c r="E51" s="237"/>
      <c r="F51" s="237"/>
      <c r="G51" s="237"/>
      <c r="H51" s="237"/>
      <c r="I51" s="237"/>
      <c r="J51" s="237"/>
      <c r="K51" s="237"/>
      <c r="L51" s="238"/>
    </row>
    <row r="52" spans="1:12" s="56" customFormat="1" ht="30" customHeight="1" x14ac:dyDescent="0.25">
      <c r="A52" s="88">
        <f>+A48+1</f>
        <v>25</v>
      </c>
      <c r="B52" s="121" t="s">
        <v>268</v>
      </c>
      <c r="C52" s="39" t="s">
        <v>470</v>
      </c>
      <c r="D52" s="122" t="s">
        <v>57</v>
      </c>
      <c r="E52" s="121" t="s">
        <v>135</v>
      </c>
      <c r="F52" s="123">
        <v>104000</v>
      </c>
      <c r="G52" s="90">
        <f>F52*2.87%</f>
        <v>2984.8</v>
      </c>
      <c r="H52" s="90">
        <f>+F52*3.04%</f>
        <v>3161.6</v>
      </c>
      <c r="I52" s="90">
        <v>12668.224791666662</v>
      </c>
      <c r="J52" s="92">
        <v>6018.19</v>
      </c>
      <c r="K52" s="85">
        <f>SUM(G52:J52)</f>
        <v>24832.81479166666</v>
      </c>
      <c r="L52" s="86">
        <f>+F52-K52</f>
        <v>79167.185208333336</v>
      </c>
    </row>
    <row r="53" spans="1:12" s="34" customFormat="1" ht="30" customHeight="1" x14ac:dyDescent="0.25">
      <c r="A53" s="88">
        <f>+A52+1</f>
        <v>26</v>
      </c>
      <c r="B53" s="121" t="s">
        <v>269</v>
      </c>
      <c r="C53" s="39" t="s">
        <v>470</v>
      </c>
      <c r="D53" s="122" t="s">
        <v>57</v>
      </c>
      <c r="E53" s="121" t="s">
        <v>135</v>
      </c>
      <c r="F53" s="123">
        <v>95000</v>
      </c>
      <c r="G53" s="90">
        <f>F53*2.87%</f>
        <v>2726.5</v>
      </c>
      <c r="H53" s="90">
        <f>+F53*3.04%</f>
        <v>2888</v>
      </c>
      <c r="I53" s="90">
        <v>10929.24</v>
      </c>
      <c r="J53" s="92">
        <v>7125</v>
      </c>
      <c r="K53" s="85">
        <f>SUM(G53:J53)</f>
        <v>23668.739999999998</v>
      </c>
      <c r="L53" s="86">
        <f>+F53-K53</f>
        <v>71331.260000000009</v>
      </c>
    </row>
    <row r="54" spans="1:12" s="56" customFormat="1" ht="30" customHeight="1" x14ac:dyDescent="0.25">
      <c r="A54" s="83">
        <f>+A53+1</f>
        <v>27</v>
      </c>
      <c r="B54" s="121" t="s">
        <v>56</v>
      </c>
      <c r="C54" s="39" t="s">
        <v>470</v>
      </c>
      <c r="D54" s="121" t="s">
        <v>57</v>
      </c>
      <c r="E54" s="121" t="s">
        <v>134</v>
      </c>
      <c r="F54" s="123">
        <v>90000</v>
      </c>
      <c r="G54" s="90">
        <f>F54*2.87%</f>
        <v>2583</v>
      </c>
      <c r="H54" s="90">
        <f>+F54*3.04%</f>
        <v>2736</v>
      </c>
      <c r="I54" s="90">
        <v>9753.1200000000008</v>
      </c>
      <c r="J54" s="92">
        <v>25</v>
      </c>
      <c r="K54" s="85">
        <f>SUM(G54:J54)</f>
        <v>15097.12</v>
      </c>
      <c r="L54" s="86">
        <f>+F54-K54</f>
        <v>74902.880000000005</v>
      </c>
    </row>
    <row r="55" spans="1:12" s="42" customFormat="1" ht="30" customHeight="1" x14ac:dyDescent="0.25">
      <c r="A55" s="88">
        <f>+A54+1</f>
        <v>28</v>
      </c>
      <c r="B55" s="121" t="s">
        <v>270</v>
      </c>
      <c r="C55" s="39" t="s">
        <v>470</v>
      </c>
      <c r="D55" s="122" t="s">
        <v>57</v>
      </c>
      <c r="E55" s="121" t="s">
        <v>134</v>
      </c>
      <c r="F55" s="123">
        <v>90000</v>
      </c>
      <c r="G55" s="90">
        <f>F55*2.87%</f>
        <v>2583</v>
      </c>
      <c r="H55" s="90">
        <f>+F55*3.04%</f>
        <v>2736</v>
      </c>
      <c r="I55" s="90">
        <v>9753.1200000000008</v>
      </c>
      <c r="J55" s="92">
        <v>25</v>
      </c>
      <c r="K55" s="85">
        <f>SUM(G55:J55)</f>
        <v>15097.12</v>
      </c>
      <c r="L55" s="86">
        <f>+F55-K55</f>
        <v>74902.880000000005</v>
      </c>
    </row>
    <row r="56" spans="1:12" s="42" customFormat="1" ht="30" customHeight="1" x14ac:dyDescent="0.25">
      <c r="A56" s="88">
        <f>A55+1</f>
        <v>29</v>
      </c>
      <c r="B56" s="121" t="s">
        <v>530</v>
      </c>
      <c r="C56" s="39" t="s">
        <v>470</v>
      </c>
      <c r="D56" s="122" t="s">
        <v>57</v>
      </c>
      <c r="E56" s="121" t="s">
        <v>134</v>
      </c>
      <c r="F56" s="123">
        <v>70000</v>
      </c>
      <c r="G56" s="90">
        <f>F56*2.87%</f>
        <v>2009</v>
      </c>
      <c r="H56" s="90">
        <f>+F56*3.04%</f>
        <v>2128</v>
      </c>
      <c r="I56" s="90">
        <v>5065.96</v>
      </c>
      <c r="J56" s="90">
        <v>1537.45</v>
      </c>
      <c r="K56" s="90">
        <f>SUM(G56:J56)</f>
        <v>10740.41</v>
      </c>
      <c r="L56" s="90">
        <f>+F56-K56</f>
        <v>59259.59</v>
      </c>
    </row>
    <row r="57" spans="1:12" s="42" customFormat="1" ht="30" customHeight="1" x14ac:dyDescent="0.25">
      <c r="A57" s="230" t="s">
        <v>138</v>
      </c>
      <c r="B57" s="231"/>
      <c r="C57" s="231"/>
      <c r="D57" s="231"/>
      <c r="E57" s="232"/>
      <c r="F57" s="40">
        <f>SUM(F52:F56)</f>
        <v>449000</v>
      </c>
      <c r="G57" s="40">
        <f t="shared" ref="G57:L57" si="12">SUM(G52:G56)</f>
        <v>12886.3</v>
      </c>
      <c r="H57" s="40">
        <f t="shared" si="12"/>
        <v>13649.6</v>
      </c>
      <c r="I57" s="40">
        <f t="shared" si="12"/>
        <v>48169.664791666662</v>
      </c>
      <c r="J57" s="40">
        <f t="shared" si="12"/>
        <v>14730.64</v>
      </c>
      <c r="K57" s="40">
        <f t="shared" si="12"/>
        <v>89436.204791666663</v>
      </c>
      <c r="L57" s="40">
        <f t="shared" si="12"/>
        <v>359563.79520833329</v>
      </c>
    </row>
    <row r="58" spans="1:12" s="42" customFormat="1" ht="30" customHeight="1" thickBot="1" x14ac:dyDescent="0.3">
      <c r="A58" s="76"/>
      <c r="B58" s="76"/>
      <c r="C58" s="153"/>
      <c r="D58" s="76"/>
      <c r="E58" s="76"/>
      <c r="F58" s="76"/>
      <c r="G58" s="76"/>
      <c r="H58" s="76"/>
      <c r="I58" s="76"/>
      <c r="J58" s="76"/>
      <c r="K58" s="76"/>
      <c r="L58" s="76"/>
    </row>
    <row r="59" spans="1:12" s="34" customFormat="1" ht="30" customHeight="1" thickBot="1" x14ac:dyDescent="0.3">
      <c r="A59" s="236" t="s">
        <v>174</v>
      </c>
      <c r="B59" s="237"/>
      <c r="C59" s="237"/>
      <c r="D59" s="237"/>
      <c r="E59" s="237"/>
      <c r="F59" s="237"/>
      <c r="G59" s="237"/>
      <c r="H59" s="237"/>
      <c r="I59" s="237"/>
      <c r="J59" s="237"/>
      <c r="K59" s="237"/>
      <c r="L59" s="238"/>
    </row>
    <row r="60" spans="1:12" s="94" customFormat="1" ht="30" customHeight="1" x14ac:dyDescent="0.25">
      <c r="A60" s="136">
        <f>A56+1</f>
        <v>30</v>
      </c>
      <c r="B60" s="126" t="s">
        <v>54</v>
      </c>
      <c r="C60" s="136" t="s">
        <v>470</v>
      </c>
      <c r="D60" s="93" t="s">
        <v>57</v>
      </c>
      <c r="E60" s="126" t="s">
        <v>135</v>
      </c>
      <c r="F60" s="85">
        <v>102000</v>
      </c>
      <c r="G60" s="90">
        <f>F60*2.87%</f>
        <v>2927.4</v>
      </c>
      <c r="H60" s="90">
        <f>+F60*3.04%</f>
        <v>3100.8</v>
      </c>
      <c r="I60" s="85">
        <v>12575.82</v>
      </c>
      <c r="J60" s="92">
        <v>125</v>
      </c>
      <c r="K60" s="85">
        <f>SUM(G60:J60)</f>
        <v>18729.02</v>
      </c>
      <c r="L60" s="86">
        <f>+F60-K60</f>
        <v>83270.98</v>
      </c>
    </row>
    <row r="61" spans="1:12" s="94" customFormat="1" ht="30" customHeight="1" x14ac:dyDescent="0.25">
      <c r="A61" s="39">
        <f>+A60+1</f>
        <v>31</v>
      </c>
      <c r="B61" s="121" t="s">
        <v>70</v>
      </c>
      <c r="C61" s="39" t="s">
        <v>469</v>
      </c>
      <c r="D61" s="122" t="s">
        <v>57</v>
      </c>
      <c r="E61" s="121" t="s">
        <v>135</v>
      </c>
      <c r="F61" s="123">
        <v>102000</v>
      </c>
      <c r="G61" s="123">
        <f>F61*2.87%</f>
        <v>2927.4</v>
      </c>
      <c r="H61" s="90">
        <f>+F61*3.04%</f>
        <v>3100.8</v>
      </c>
      <c r="I61" s="90">
        <v>12575.82</v>
      </c>
      <c r="J61" s="92">
        <v>25</v>
      </c>
      <c r="K61" s="85">
        <f>SUM(G61:J61)</f>
        <v>18629.02</v>
      </c>
      <c r="L61" s="86">
        <f>+F61-K61</f>
        <v>83370.98</v>
      </c>
    </row>
    <row r="62" spans="1:12" s="42" customFormat="1" ht="30" customHeight="1" x14ac:dyDescent="0.25">
      <c r="A62" s="39">
        <f>+A61+1</f>
        <v>32</v>
      </c>
      <c r="B62" s="121" t="s">
        <v>313</v>
      </c>
      <c r="C62" s="39" t="s">
        <v>470</v>
      </c>
      <c r="D62" s="122" t="s">
        <v>57</v>
      </c>
      <c r="E62" s="121" t="s">
        <v>134</v>
      </c>
      <c r="F62" s="123">
        <v>80000</v>
      </c>
      <c r="G62" s="123">
        <f>F62*2.87%</f>
        <v>2296</v>
      </c>
      <c r="H62" s="90">
        <f>+F62*3.04%</f>
        <v>2432</v>
      </c>
      <c r="I62" s="123">
        <v>7400.94</v>
      </c>
      <c r="J62" s="92">
        <f>8000+25</f>
        <v>8025</v>
      </c>
      <c r="K62" s="85">
        <f>SUM(G62:J62)</f>
        <v>20153.939999999999</v>
      </c>
      <c r="L62" s="86">
        <f>+F62-K62</f>
        <v>59846.06</v>
      </c>
    </row>
    <row r="63" spans="1:12" s="43" customFormat="1" ht="30" customHeight="1" x14ac:dyDescent="0.25">
      <c r="A63" s="230" t="s">
        <v>138</v>
      </c>
      <c r="B63" s="231"/>
      <c r="C63" s="231"/>
      <c r="D63" s="231"/>
      <c r="E63" s="232"/>
      <c r="F63" s="40">
        <f t="shared" ref="F63:L63" si="13">SUM(F60:F62)</f>
        <v>284000</v>
      </c>
      <c r="G63" s="40">
        <f t="shared" si="13"/>
        <v>8150.8</v>
      </c>
      <c r="H63" s="40">
        <f t="shared" si="13"/>
        <v>8633.6</v>
      </c>
      <c r="I63" s="40">
        <f t="shared" si="13"/>
        <v>32552.579999999998</v>
      </c>
      <c r="J63" s="40">
        <f t="shared" si="13"/>
        <v>8175</v>
      </c>
      <c r="K63" s="40">
        <f t="shared" si="13"/>
        <v>57511.979999999996</v>
      </c>
      <c r="L63" s="40">
        <f t="shared" si="13"/>
        <v>226488.02</v>
      </c>
    </row>
    <row r="64" spans="1:12" s="42" customFormat="1" ht="30" customHeight="1" thickBot="1" x14ac:dyDescent="0.3">
      <c r="A64" s="47"/>
      <c r="B64" s="45"/>
      <c r="C64" s="47"/>
      <c r="D64" s="46"/>
      <c r="E64" s="45"/>
      <c r="J64" s="41"/>
      <c r="L64" s="41"/>
    </row>
    <row r="65" spans="1:12" s="95" customFormat="1" ht="37.15" customHeight="1" thickBot="1" x14ac:dyDescent="0.3">
      <c r="A65" s="236" t="s">
        <v>201</v>
      </c>
      <c r="B65" s="237"/>
      <c r="C65" s="237"/>
      <c r="D65" s="237"/>
      <c r="E65" s="237"/>
      <c r="F65" s="237"/>
      <c r="G65" s="237"/>
      <c r="H65" s="237"/>
      <c r="I65" s="237"/>
      <c r="J65" s="237"/>
      <c r="K65" s="237"/>
      <c r="L65" s="238"/>
    </row>
    <row r="66" spans="1:12" s="56" customFormat="1" ht="30" customHeight="1" x14ac:dyDescent="0.25">
      <c r="A66" s="83">
        <f>+A62+1</f>
        <v>33</v>
      </c>
      <c r="B66" s="126" t="s">
        <v>271</v>
      </c>
      <c r="C66" s="136" t="s">
        <v>470</v>
      </c>
      <c r="D66" s="122" t="s">
        <v>272</v>
      </c>
      <c r="E66" s="121" t="s">
        <v>135</v>
      </c>
      <c r="F66" s="120">
        <v>126500</v>
      </c>
      <c r="G66" s="90">
        <f t="shared" ref="G66:G71" si="14">F66*2.87%</f>
        <v>3630.55</v>
      </c>
      <c r="H66" s="90">
        <f t="shared" ref="H66:H71" si="15">+F66*3.04%</f>
        <v>3845.6</v>
      </c>
      <c r="I66" s="123">
        <v>18338.900000000001</v>
      </c>
      <c r="J66" s="92">
        <v>25</v>
      </c>
      <c r="K66" s="85">
        <f t="shared" ref="K66:K71" si="16">SUM(G66:J66)</f>
        <v>25840.050000000003</v>
      </c>
      <c r="L66" s="86">
        <f t="shared" ref="L66:L71" si="17">+F66-K66</f>
        <v>100659.95</v>
      </c>
    </row>
    <row r="67" spans="1:12" s="94" customFormat="1" ht="30" customHeight="1" x14ac:dyDescent="0.25">
      <c r="A67" s="136">
        <f>+A66+1</f>
        <v>34</v>
      </c>
      <c r="B67" s="121" t="s">
        <v>67</v>
      </c>
      <c r="C67" s="39" t="s">
        <v>469</v>
      </c>
      <c r="D67" s="122" t="s">
        <v>57</v>
      </c>
      <c r="E67" s="121" t="s">
        <v>135</v>
      </c>
      <c r="F67" s="123">
        <v>102000</v>
      </c>
      <c r="G67" s="123">
        <f t="shared" si="14"/>
        <v>2927.4</v>
      </c>
      <c r="H67" s="123">
        <f t="shared" si="15"/>
        <v>3100.8</v>
      </c>
      <c r="I67" s="90">
        <v>12575.82</v>
      </c>
      <c r="J67" s="92">
        <v>10025</v>
      </c>
      <c r="K67" s="85">
        <f t="shared" si="16"/>
        <v>28629.02</v>
      </c>
      <c r="L67" s="86">
        <f t="shared" si="17"/>
        <v>73370.98</v>
      </c>
    </row>
    <row r="68" spans="1:12" s="87" customFormat="1" ht="30" customHeight="1" x14ac:dyDescent="0.25">
      <c r="A68" s="136">
        <f>+A67+1</f>
        <v>35</v>
      </c>
      <c r="B68" s="121" t="s">
        <v>61</v>
      </c>
      <c r="C68" s="39" t="s">
        <v>470</v>
      </c>
      <c r="D68" s="121" t="s">
        <v>57</v>
      </c>
      <c r="E68" s="121" t="s">
        <v>135</v>
      </c>
      <c r="F68" s="123">
        <v>90000</v>
      </c>
      <c r="G68" s="123">
        <f t="shared" si="14"/>
        <v>2583</v>
      </c>
      <c r="H68" s="123">
        <f t="shared" si="15"/>
        <v>2736</v>
      </c>
      <c r="I68" s="123">
        <v>9375.0747916666678</v>
      </c>
      <c r="J68" s="92">
        <v>2237.4499999999998</v>
      </c>
      <c r="K68" s="85">
        <f t="shared" si="16"/>
        <v>16931.524791666667</v>
      </c>
      <c r="L68" s="86">
        <f t="shared" si="17"/>
        <v>73068.47520833333</v>
      </c>
    </row>
    <row r="69" spans="1:12" s="94" customFormat="1" ht="30" customHeight="1" x14ac:dyDescent="0.25">
      <c r="A69" s="136">
        <f>+A68+1</f>
        <v>36</v>
      </c>
      <c r="B69" s="121" t="s">
        <v>62</v>
      </c>
      <c r="C69" s="39" t="s">
        <v>469</v>
      </c>
      <c r="D69" s="140" t="s">
        <v>57</v>
      </c>
      <c r="E69" s="121" t="s">
        <v>134</v>
      </c>
      <c r="F69" s="123">
        <v>90000</v>
      </c>
      <c r="G69" s="123">
        <f t="shared" si="14"/>
        <v>2583</v>
      </c>
      <c r="H69" s="123">
        <f t="shared" si="15"/>
        <v>2736</v>
      </c>
      <c r="I69" s="123">
        <v>9375.0747916666678</v>
      </c>
      <c r="J69" s="92">
        <v>3537.45</v>
      </c>
      <c r="K69" s="85">
        <f t="shared" si="16"/>
        <v>18231.524791666667</v>
      </c>
      <c r="L69" s="86">
        <f t="shared" si="17"/>
        <v>71768.47520833333</v>
      </c>
    </row>
    <row r="70" spans="1:12" s="56" customFormat="1" ht="30" customHeight="1" x14ac:dyDescent="0.25">
      <c r="A70" s="136">
        <f>+A69+1</f>
        <v>37</v>
      </c>
      <c r="B70" s="121" t="s">
        <v>75</v>
      </c>
      <c r="C70" s="39" t="s">
        <v>470</v>
      </c>
      <c r="D70" s="122" t="s">
        <v>57</v>
      </c>
      <c r="E70" s="121" t="s">
        <v>135</v>
      </c>
      <c r="F70" s="123">
        <v>90000</v>
      </c>
      <c r="G70" s="123">
        <f t="shared" si="14"/>
        <v>2583</v>
      </c>
      <c r="H70" s="123">
        <f t="shared" si="15"/>
        <v>2736</v>
      </c>
      <c r="I70" s="123">
        <v>9753.1872916666671</v>
      </c>
      <c r="J70" s="92">
        <v>1125</v>
      </c>
      <c r="K70" s="85">
        <f t="shared" si="16"/>
        <v>16197.187291666667</v>
      </c>
      <c r="L70" s="86">
        <f t="shared" si="17"/>
        <v>73802.812708333338</v>
      </c>
    </row>
    <row r="71" spans="1:12" s="42" customFormat="1" ht="25.5" customHeight="1" x14ac:dyDescent="0.25">
      <c r="A71" s="136">
        <f>+A70+1</f>
        <v>38</v>
      </c>
      <c r="B71" s="121" t="s">
        <v>273</v>
      </c>
      <c r="C71" s="39" t="s">
        <v>469</v>
      </c>
      <c r="D71" s="122" t="s">
        <v>57</v>
      </c>
      <c r="E71" s="121" t="s">
        <v>134</v>
      </c>
      <c r="F71" s="123">
        <v>80000</v>
      </c>
      <c r="G71" s="123">
        <f t="shared" si="14"/>
        <v>2296</v>
      </c>
      <c r="H71" s="123">
        <f t="shared" si="15"/>
        <v>2432</v>
      </c>
      <c r="I71" s="56">
        <v>6645.2698333333346</v>
      </c>
      <c r="J71" s="92">
        <v>5049.8999999999996</v>
      </c>
      <c r="K71" s="85">
        <f t="shared" si="16"/>
        <v>16423.169833333333</v>
      </c>
      <c r="L71" s="86">
        <f t="shared" si="17"/>
        <v>63576.830166666667</v>
      </c>
    </row>
    <row r="72" spans="1:12" s="42" customFormat="1" ht="30" customHeight="1" thickBot="1" x14ac:dyDescent="0.3">
      <c r="A72" s="230" t="s">
        <v>138</v>
      </c>
      <c r="B72" s="231"/>
      <c r="C72" s="231"/>
      <c r="D72" s="231"/>
      <c r="E72" s="232"/>
      <c r="F72" s="40">
        <f t="shared" ref="F72:L72" si="18">SUM(F66:F71)</f>
        <v>578500</v>
      </c>
      <c r="G72" s="40">
        <f t="shared" si="18"/>
        <v>16602.95</v>
      </c>
      <c r="H72" s="40">
        <f t="shared" si="18"/>
        <v>17586.400000000001</v>
      </c>
      <c r="I72" s="40">
        <f t="shared" si="18"/>
        <v>66063.326708333334</v>
      </c>
      <c r="J72" s="40">
        <f t="shared" si="18"/>
        <v>21999.800000000003</v>
      </c>
      <c r="K72" s="40">
        <f t="shared" si="18"/>
        <v>122252.47670833334</v>
      </c>
      <c r="L72" s="40">
        <f t="shared" si="18"/>
        <v>456247.52329166664</v>
      </c>
    </row>
    <row r="73" spans="1:12" s="56" customFormat="1" ht="30" customHeight="1" thickBot="1" x14ac:dyDescent="0.3">
      <c r="A73" s="236" t="s">
        <v>175</v>
      </c>
      <c r="B73" s="237"/>
      <c r="C73" s="237"/>
      <c r="D73" s="237"/>
      <c r="E73" s="237"/>
      <c r="F73" s="237"/>
      <c r="G73" s="237"/>
      <c r="H73" s="237"/>
      <c r="I73" s="237"/>
      <c r="J73" s="237"/>
      <c r="K73" s="237"/>
      <c r="L73" s="238"/>
    </row>
    <row r="74" spans="1:12" s="56" customFormat="1" ht="30" customHeight="1" x14ac:dyDescent="0.25">
      <c r="A74" s="83">
        <f>+A71+1</f>
        <v>39</v>
      </c>
      <c r="B74" s="84" t="s">
        <v>69</v>
      </c>
      <c r="C74" s="83" t="s">
        <v>470</v>
      </c>
      <c r="D74" s="93" t="s">
        <v>202</v>
      </c>
      <c r="E74" s="89" t="s">
        <v>135</v>
      </c>
      <c r="F74" s="85">
        <v>138000</v>
      </c>
      <c r="G74" s="90">
        <f>F74*2.87%</f>
        <v>3960.6</v>
      </c>
      <c r="H74" s="90">
        <f>+F74*3.04%</f>
        <v>4195.2</v>
      </c>
      <c r="I74" s="120">
        <v>21043.987291666665</v>
      </c>
      <c r="J74" s="92">
        <v>13387.63</v>
      </c>
      <c r="K74" s="120">
        <f>SUM(G74:J74)</f>
        <v>42587.417291666665</v>
      </c>
      <c r="L74" s="124">
        <f>+F74-K74</f>
        <v>95412.582708333328</v>
      </c>
    </row>
    <row r="75" spans="1:12" s="42" customFormat="1" ht="30" customHeight="1" x14ac:dyDescent="0.25">
      <c r="A75" s="88">
        <f>+A74+1</f>
        <v>40</v>
      </c>
      <c r="B75" s="121" t="s">
        <v>68</v>
      </c>
      <c r="C75" s="39" t="s">
        <v>470</v>
      </c>
      <c r="D75" s="122" t="s">
        <v>106</v>
      </c>
      <c r="E75" s="121" t="s">
        <v>134</v>
      </c>
      <c r="F75" s="123">
        <v>60000</v>
      </c>
      <c r="G75" s="123">
        <f>F75*2.87%</f>
        <v>1722</v>
      </c>
      <c r="H75" s="90">
        <f>+F75*3.04%</f>
        <v>1824</v>
      </c>
      <c r="I75" s="90">
        <v>3486.6498333333329</v>
      </c>
      <c r="J75" s="86">
        <v>125</v>
      </c>
      <c r="K75" s="85">
        <f>SUM(G75:J75)</f>
        <v>7157.6498333333329</v>
      </c>
      <c r="L75" s="86">
        <f>+F75-K75</f>
        <v>52842.350166666671</v>
      </c>
    </row>
    <row r="76" spans="1:12" s="43" customFormat="1" ht="30" customHeight="1" x14ac:dyDescent="0.25">
      <c r="A76" s="230" t="s">
        <v>138</v>
      </c>
      <c r="B76" s="231"/>
      <c r="C76" s="231"/>
      <c r="D76" s="231"/>
      <c r="E76" s="232"/>
      <c r="F76" s="40">
        <f t="shared" ref="F76:L76" si="19">SUM(F74:F75)</f>
        <v>198000</v>
      </c>
      <c r="G76" s="40">
        <f t="shared" si="19"/>
        <v>5682.6</v>
      </c>
      <c r="H76" s="40">
        <f t="shared" si="19"/>
        <v>6019.2</v>
      </c>
      <c r="I76" s="40">
        <f t="shared" si="19"/>
        <v>24530.637124999997</v>
      </c>
      <c r="J76" s="40">
        <f t="shared" si="19"/>
        <v>13512.63</v>
      </c>
      <c r="K76" s="40">
        <f t="shared" si="19"/>
        <v>49745.067125000001</v>
      </c>
      <c r="L76" s="40">
        <f t="shared" si="19"/>
        <v>148254.932875</v>
      </c>
    </row>
    <row r="77" spans="1:12" s="42" customFormat="1" ht="30" customHeight="1" thickBot="1" x14ac:dyDescent="0.3">
      <c r="A77" s="47"/>
      <c r="B77" s="45"/>
      <c r="C77" s="47"/>
      <c r="D77" s="45"/>
      <c r="E77" s="45"/>
      <c r="J77" s="41"/>
      <c r="L77" s="41"/>
    </row>
    <row r="78" spans="1:12" s="42" customFormat="1" ht="30" customHeight="1" thickBot="1" x14ac:dyDescent="0.3">
      <c r="A78" s="236" t="s">
        <v>176</v>
      </c>
      <c r="B78" s="237"/>
      <c r="C78" s="237"/>
      <c r="D78" s="237"/>
      <c r="E78" s="237"/>
      <c r="F78" s="237"/>
      <c r="G78" s="237"/>
      <c r="H78" s="237"/>
      <c r="I78" s="237"/>
      <c r="J78" s="237"/>
      <c r="K78" s="237"/>
      <c r="L78" s="238"/>
    </row>
    <row r="79" spans="1:12" s="42" customFormat="1" ht="30" customHeight="1" x14ac:dyDescent="0.25">
      <c r="A79" s="88">
        <f>+A75+1</f>
        <v>41</v>
      </c>
      <c r="B79" s="121" t="s">
        <v>301</v>
      </c>
      <c r="C79" s="39" t="s">
        <v>470</v>
      </c>
      <c r="D79" s="121" t="s">
        <v>57</v>
      </c>
      <c r="E79" s="121" t="s">
        <v>134</v>
      </c>
      <c r="F79" s="123">
        <v>90000</v>
      </c>
      <c r="G79" s="123">
        <f>F79*2.87%</f>
        <v>2583</v>
      </c>
      <c r="H79" s="123">
        <f>+F79*3.04%</f>
        <v>2736</v>
      </c>
      <c r="I79" s="123">
        <v>9753.1872916666671</v>
      </c>
      <c r="J79" s="92">
        <v>2685.76</v>
      </c>
      <c r="K79" s="85">
        <f>SUM(G79:J79)</f>
        <v>17757.947291666667</v>
      </c>
      <c r="L79" s="86">
        <f>+F79-K79</f>
        <v>72242.052708333329</v>
      </c>
    </row>
    <row r="80" spans="1:12" s="42" customFormat="1" ht="30" customHeight="1" x14ac:dyDescent="0.25">
      <c r="A80" s="88">
        <f>A79+1</f>
        <v>42</v>
      </c>
      <c r="B80" s="121" t="s">
        <v>529</v>
      </c>
      <c r="C80" s="39" t="s">
        <v>469</v>
      </c>
      <c r="D80" s="121" t="s">
        <v>57</v>
      </c>
      <c r="E80" s="121" t="s">
        <v>134</v>
      </c>
      <c r="F80" s="123">
        <v>70000</v>
      </c>
      <c r="G80" s="85">
        <f>F80*2.87%</f>
        <v>2009</v>
      </c>
      <c r="H80" s="85">
        <f>+F80*3.04%</f>
        <v>2128</v>
      </c>
      <c r="I80" s="86">
        <v>5368.45</v>
      </c>
      <c r="J80" s="86">
        <v>25</v>
      </c>
      <c r="K80" s="85">
        <f>SUM(G80:J80)</f>
        <v>9530.4500000000007</v>
      </c>
      <c r="L80" s="86">
        <f>+F80-K80</f>
        <v>60469.55</v>
      </c>
    </row>
    <row r="81" spans="1:12" s="42" customFormat="1" ht="25.5" customHeight="1" x14ac:dyDescent="0.25">
      <c r="A81" s="230" t="s">
        <v>138</v>
      </c>
      <c r="B81" s="231"/>
      <c r="C81" s="231"/>
      <c r="D81" s="231"/>
      <c r="E81" s="232"/>
      <c r="F81" s="40">
        <f t="shared" ref="F81:L81" si="20">SUM(F79:F80)</f>
        <v>160000</v>
      </c>
      <c r="G81" s="40">
        <f t="shared" si="20"/>
        <v>4592</v>
      </c>
      <c r="H81" s="40">
        <f t="shared" si="20"/>
        <v>4864</v>
      </c>
      <c r="I81" s="40">
        <f t="shared" si="20"/>
        <v>15121.637291666666</v>
      </c>
      <c r="J81" s="40">
        <f t="shared" si="20"/>
        <v>2710.76</v>
      </c>
      <c r="K81" s="40">
        <f t="shared" si="20"/>
        <v>27288.397291666668</v>
      </c>
      <c r="L81" s="40">
        <f t="shared" si="20"/>
        <v>132711.60270833335</v>
      </c>
    </row>
    <row r="82" spans="1:12" s="42" customFormat="1" ht="30" customHeight="1" thickBot="1" x14ac:dyDescent="0.3">
      <c r="A82" s="47"/>
      <c r="B82" s="45"/>
      <c r="C82" s="47"/>
      <c r="D82" s="46"/>
      <c r="E82" s="45"/>
      <c r="J82" s="41"/>
      <c r="L82" s="41"/>
    </row>
    <row r="83" spans="1:12" s="34" customFormat="1" ht="30" customHeight="1" thickBot="1" x14ac:dyDescent="0.3">
      <c r="A83" s="236" t="s">
        <v>177</v>
      </c>
      <c r="B83" s="237"/>
      <c r="C83" s="237"/>
      <c r="D83" s="237"/>
      <c r="E83" s="237"/>
      <c r="F83" s="237"/>
      <c r="G83" s="237"/>
      <c r="H83" s="237"/>
      <c r="I83" s="237"/>
      <c r="J83" s="237"/>
      <c r="K83" s="237"/>
      <c r="L83" s="238"/>
    </row>
    <row r="84" spans="1:12" s="56" customFormat="1" ht="30" customHeight="1" x14ac:dyDescent="0.25">
      <c r="A84" s="83">
        <f>A80+1</f>
        <v>43</v>
      </c>
      <c r="B84" s="185" t="s">
        <v>85</v>
      </c>
      <c r="C84" s="186" t="s">
        <v>470</v>
      </c>
      <c r="D84" s="121" t="s">
        <v>57</v>
      </c>
      <c r="E84" s="121" t="s">
        <v>134</v>
      </c>
      <c r="F84" s="187">
        <v>90000</v>
      </c>
      <c r="G84" s="123">
        <f>F84*2.87%</f>
        <v>2583</v>
      </c>
      <c r="H84" s="90">
        <f>+F84*3.04%</f>
        <v>2736</v>
      </c>
      <c r="I84" s="90">
        <v>9375.0747916666678</v>
      </c>
      <c r="J84" s="92">
        <v>1537.45</v>
      </c>
      <c r="K84" s="85">
        <f>SUM(G84:J84)</f>
        <v>16231.524791666669</v>
      </c>
      <c r="L84" s="86">
        <f>+F84-K84</f>
        <v>73768.47520833333</v>
      </c>
    </row>
    <row r="85" spans="1:12" s="56" customFormat="1" ht="30" customHeight="1" x14ac:dyDescent="0.25">
      <c r="A85" s="88">
        <f>+A84+1</f>
        <v>44</v>
      </c>
      <c r="B85" s="121" t="s">
        <v>178</v>
      </c>
      <c r="C85" s="39" t="s">
        <v>470</v>
      </c>
      <c r="D85" s="122" t="s">
        <v>57</v>
      </c>
      <c r="E85" s="121" t="s">
        <v>135</v>
      </c>
      <c r="F85" s="123">
        <v>90000</v>
      </c>
      <c r="G85" s="123">
        <f>F85*2.87%</f>
        <v>2583</v>
      </c>
      <c r="H85" s="90">
        <f>+F85*3.04%</f>
        <v>2736</v>
      </c>
      <c r="I85" s="90">
        <v>9375.0747916666678</v>
      </c>
      <c r="J85" s="92">
        <v>9309.4500000000007</v>
      </c>
      <c r="K85" s="85">
        <f>SUM(G85:J85)</f>
        <v>24003.52479166667</v>
      </c>
      <c r="L85" s="86">
        <f>+F85-K85</f>
        <v>65996.47520833333</v>
      </c>
    </row>
    <row r="86" spans="1:12" s="42" customFormat="1" ht="30" customHeight="1" x14ac:dyDescent="0.25">
      <c r="A86" s="88">
        <f>A85+1</f>
        <v>45</v>
      </c>
      <c r="B86" s="89" t="s">
        <v>291</v>
      </c>
      <c r="C86" s="88" t="s">
        <v>470</v>
      </c>
      <c r="D86" s="93" t="s">
        <v>57</v>
      </c>
      <c r="E86" s="89" t="s">
        <v>134</v>
      </c>
      <c r="F86" s="90">
        <v>90000</v>
      </c>
      <c r="G86" s="90">
        <f>F86*2.87%</f>
        <v>2583</v>
      </c>
      <c r="H86" s="90">
        <f>+F86*3.04%</f>
        <v>2736</v>
      </c>
      <c r="I86" s="90">
        <v>9753.1872916666671</v>
      </c>
      <c r="J86" s="92">
        <v>7191.31</v>
      </c>
      <c r="K86" s="85">
        <f>SUM(G86:J86)</f>
        <v>22263.497291666667</v>
      </c>
      <c r="L86" s="86">
        <f>+F86-K86</f>
        <v>67736.502708333341</v>
      </c>
    </row>
    <row r="87" spans="1:12" s="42" customFormat="1" ht="30" customHeight="1" x14ac:dyDescent="0.25">
      <c r="A87" s="230" t="s">
        <v>138</v>
      </c>
      <c r="B87" s="231"/>
      <c r="C87" s="231"/>
      <c r="D87" s="231"/>
      <c r="E87" s="232"/>
      <c r="F87" s="40">
        <f t="shared" ref="F87:L87" si="21">SUM(F84:F86)</f>
        <v>270000</v>
      </c>
      <c r="G87" s="40">
        <f t="shared" si="21"/>
        <v>7749</v>
      </c>
      <c r="H87" s="40">
        <f t="shared" si="21"/>
        <v>8208</v>
      </c>
      <c r="I87" s="40">
        <f t="shared" si="21"/>
        <v>28503.336875000001</v>
      </c>
      <c r="J87" s="40">
        <f t="shared" si="21"/>
        <v>18038.210000000003</v>
      </c>
      <c r="K87" s="40">
        <f t="shared" si="21"/>
        <v>62498.546875000007</v>
      </c>
      <c r="L87" s="40">
        <f t="shared" si="21"/>
        <v>207501.453125</v>
      </c>
    </row>
    <row r="88" spans="1:12" s="42" customFormat="1" ht="30" customHeight="1" thickBot="1" x14ac:dyDescent="0.3">
      <c r="A88" s="47"/>
      <c r="B88" s="45"/>
      <c r="C88" s="47"/>
      <c r="D88" s="46"/>
      <c r="E88" s="45"/>
      <c r="J88" s="41"/>
      <c r="L88" s="41"/>
    </row>
    <row r="89" spans="1:12" s="95" customFormat="1" ht="30" customHeight="1" thickBot="1" x14ac:dyDescent="0.3">
      <c r="A89" s="236" t="s">
        <v>179</v>
      </c>
      <c r="B89" s="237"/>
      <c r="C89" s="237"/>
      <c r="D89" s="237"/>
      <c r="E89" s="237"/>
      <c r="F89" s="237"/>
      <c r="G89" s="237"/>
      <c r="H89" s="237"/>
      <c r="I89" s="237"/>
      <c r="J89" s="237"/>
      <c r="K89" s="237"/>
      <c r="L89" s="238"/>
    </row>
    <row r="90" spans="1:12" s="56" customFormat="1" ht="30" customHeight="1" x14ac:dyDescent="0.25">
      <c r="A90" s="83">
        <f>+A86+1</f>
        <v>46</v>
      </c>
      <c r="B90" s="121" t="s">
        <v>278</v>
      </c>
      <c r="C90" s="39" t="s">
        <v>470</v>
      </c>
      <c r="D90" s="122" t="s">
        <v>57</v>
      </c>
      <c r="E90" s="121" t="s">
        <v>134</v>
      </c>
      <c r="F90" s="123">
        <v>90000</v>
      </c>
      <c r="G90" s="123">
        <f>F90*2.87%</f>
        <v>2583</v>
      </c>
      <c r="H90" s="123">
        <f>+F90*3.04%</f>
        <v>2736</v>
      </c>
      <c r="I90" s="90">
        <v>9753.1872916666671</v>
      </c>
      <c r="J90" s="92">
        <v>10771.75</v>
      </c>
      <c r="K90" s="85">
        <f>SUM(G90:J90)</f>
        <v>25843.937291666669</v>
      </c>
      <c r="L90" s="86">
        <f>+F90-K90</f>
        <v>64156.062708333331</v>
      </c>
    </row>
    <row r="91" spans="1:12" s="94" customFormat="1" ht="30" customHeight="1" x14ac:dyDescent="0.25">
      <c r="A91" s="88">
        <f>+A90+1</f>
        <v>47</v>
      </c>
      <c r="B91" s="89" t="s">
        <v>276</v>
      </c>
      <c r="C91" s="88" t="s">
        <v>470</v>
      </c>
      <c r="D91" s="93" t="s">
        <v>57</v>
      </c>
      <c r="E91" s="89" t="s">
        <v>134</v>
      </c>
      <c r="F91" s="90">
        <v>85000</v>
      </c>
      <c r="G91" s="90">
        <v>2439.5</v>
      </c>
      <c r="H91" s="90">
        <v>2584</v>
      </c>
      <c r="I91" s="90">
        <v>8577.0622916666671</v>
      </c>
      <c r="J91" s="92">
        <v>1911.92</v>
      </c>
      <c r="K91" s="85">
        <f>SUM(G91:J91)</f>
        <v>15512.482291666667</v>
      </c>
      <c r="L91" s="86">
        <f>+F91-K91</f>
        <v>69487.517708333326</v>
      </c>
    </row>
    <row r="92" spans="1:12" s="42" customFormat="1" ht="30" customHeight="1" x14ac:dyDescent="0.25">
      <c r="A92" s="83">
        <f>+A91+1</f>
        <v>48</v>
      </c>
      <c r="B92" s="121" t="s">
        <v>88</v>
      </c>
      <c r="C92" s="39" t="s">
        <v>469</v>
      </c>
      <c r="D92" s="122" t="s">
        <v>57</v>
      </c>
      <c r="E92" s="121" t="s">
        <v>134</v>
      </c>
      <c r="F92" s="123">
        <v>80000</v>
      </c>
      <c r="G92" s="123">
        <f>F92*2.87%</f>
        <v>2296</v>
      </c>
      <c r="H92" s="123">
        <f>+F92*3.04%</f>
        <v>2432</v>
      </c>
      <c r="I92" s="123">
        <v>7400.9372916666662</v>
      </c>
      <c r="J92" s="92">
        <v>25</v>
      </c>
      <c r="K92" s="85">
        <f>SUM(G92:J92)</f>
        <v>12153.937291666665</v>
      </c>
      <c r="L92" s="86">
        <f>+F92-K92</f>
        <v>67846.062708333338</v>
      </c>
    </row>
    <row r="93" spans="1:12" ht="30" customHeight="1" x14ac:dyDescent="0.25">
      <c r="A93" s="83">
        <f>+A92+1</f>
        <v>49</v>
      </c>
      <c r="B93" s="121" t="s">
        <v>101</v>
      </c>
      <c r="C93" s="39" t="s">
        <v>470</v>
      </c>
      <c r="D93" s="122" t="s">
        <v>57</v>
      </c>
      <c r="E93" s="121" t="s">
        <v>135</v>
      </c>
      <c r="F93" s="187">
        <v>80000</v>
      </c>
      <c r="G93" s="123">
        <f>F93*2.87%</f>
        <v>2296</v>
      </c>
      <c r="H93" s="123">
        <f>+F93*3.04%</f>
        <v>2432</v>
      </c>
      <c r="I93" s="90">
        <v>7022.8247916666687</v>
      </c>
      <c r="J93" s="92">
        <v>10573.8</v>
      </c>
      <c r="K93" s="85">
        <f>SUM(G93:J93)</f>
        <v>22324.624791666669</v>
      </c>
      <c r="L93" s="86">
        <f>+F93-K93</f>
        <v>57675.375208333331</v>
      </c>
    </row>
    <row r="94" spans="1:12" s="42" customFormat="1" ht="30" customHeight="1" x14ac:dyDescent="0.25">
      <c r="A94" s="230" t="s">
        <v>138</v>
      </c>
      <c r="B94" s="231"/>
      <c r="C94" s="231"/>
      <c r="D94" s="231"/>
      <c r="E94" s="232"/>
      <c r="F94" s="40">
        <f>SUM(F90:F93)</f>
        <v>335000</v>
      </c>
      <c r="G94" s="40">
        <f t="shared" ref="G94:L94" si="22">SUM(G90:G93)</f>
        <v>9614.5</v>
      </c>
      <c r="H94" s="40">
        <f t="shared" si="22"/>
        <v>10184</v>
      </c>
      <c r="I94" s="40">
        <f t="shared" si="22"/>
        <v>32754.011666666669</v>
      </c>
      <c r="J94" s="40">
        <f t="shared" si="22"/>
        <v>23282.47</v>
      </c>
      <c r="K94" s="40">
        <f t="shared" si="22"/>
        <v>75834.981666666659</v>
      </c>
      <c r="L94" s="40">
        <f t="shared" si="22"/>
        <v>259165.01833333334</v>
      </c>
    </row>
    <row r="95" spans="1:12" s="56" customFormat="1" ht="30" customHeight="1" thickBot="1" x14ac:dyDescent="0.3">
      <c r="A95" s="4"/>
      <c r="B95" s="25"/>
      <c r="C95" s="4"/>
      <c r="D95" s="25"/>
      <c r="E95" s="25"/>
      <c r="F95" s="2"/>
      <c r="G95" s="1"/>
      <c r="H95" s="1"/>
      <c r="I95" s="1"/>
      <c r="J95" s="1"/>
      <c r="K95" s="1"/>
      <c r="L95" s="1"/>
    </row>
    <row r="96" spans="1:12" s="56" customFormat="1" ht="30" customHeight="1" thickBot="1" x14ac:dyDescent="0.3">
      <c r="A96" s="236" t="s">
        <v>180</v>
      </c>
      <c r="B96" s="237"/>
      <c r="C96" s="237"/>
      <c r="D96" s="237"/>
      <c r="E96" s="237"/>
      <c r="F96" s="237"/>
      <c r="G96" s="237"/>
      <c r="H96" s="237"/>
      <c r="I96" s="237"/>
      <c r="J96" s="237"/>
      <c r="K96" s="237"/>
      <c r="L96" s="238"/>
    </row>
    <row r="97" spans="1:12" s="42" customFormat="1" ht="30" customHeight="1" x14ac:dyDescent="0.25">
      <c r="A97" s="88">
        <f>+A93+1</f>
        <v>50</v>
      </c>
      <c r="B97" s="89" t="s">
        <v>58</v>
      </c>
      <c r="C97" s="88" t="s">
        <v>470</v>
      </c>
      <c r="D97" s="93" t="s">
        <v>57</v>
      </c>
      <c r="E97" s="89" t="s">
        <v>134</v>
      </c>
      <c r="F97" s="90">
        <v>102000</v>
      </c>
      <c r="G97" s="90">
        <f>F97*2.87%</f>
        <v>2927.4</v>
      </c>
      <c r="H97" s="90">
        <f>+F97*3.04%</f>
        <v>3100.8</v>
      </c>
      <c r="I97" s="90">
        <v>12575.82</v>
      </c>
      <c r="J97" s="92">
        <v>25</v>
      </c>
      <c r="K97" s="85">
        <f>SUM(G97:J97)</f>
        <v>18629.02</v>
      </c>
      <c r="L97" s="86">
        <f>+F97-K97</f>
        <v>83370.98</v>
      </c>
    </row>
    <row r="98" spans="1:12" s="56" customFormat="1" ht="30" customHeight="1" thickBot="1" x14ac:dyDescent="0.3">
      <c r="A98" s="230" t="s">
        <v>138</v>
      </c>
      <c r="B98" s="231"/>
      <c r="C98" s="231"/>
      <c r="D98" s="231"/>
      <c r="E98" s="232"/>
      <c r="F98" s="40">
        <f t="shared" ref="F98:L98" si="23">SUM(F97:F97)</f>
        <v>102000</v>
      </c>
      <c r="G98" s="40">
        <f t="shared" si="23"/>
        <v>2927.4</v>
      </c>
      <c r="H98" s="40">
        <f t="shared" si="23"/>
        <v>3100.8</v>
      </c>
      <c r="I98" s="40">
        <f t="shared" si="23"/>
        <v>12575.82</v>
      </c>
      <c r="J98" s="40">
        <f t="shared" si="23"/>
        <v>25</v>
      </c>
      <c r="K98" s="40">
        <f t="shared" si="23"/>
        <v>18629.02</v>
      </c>
      <c r="L98" s="40">
        <f t="shared" si="23"/>
        <v>83370.98</v>
      </c>
    </row>
    <row r="99" spans="1:12" s="56" customFormat="1" ht="30" customHeight="1" thickBot="1" x14ac:dyDescent="0.3">
      <c r="A99" s="236" t="s">
        <v>181</v>
      </c>
      <c r="B99" s="237"/>
      <c r="C99" s="237"/>
      <c r="D99" s="237"/>
      <c r="E99" s="237"/>
      <c r="F99" s="237"/>
      <c r="G99" s="237"/>
      <c r="H99" s="237"/>
      <c r="I99" s="237"/>
      <c r="J99" s="237"/>
      <c r="K99" s="237"/>
      <c r="L99" s="238"/>
    </row>
    <row r="100" spans="1:12" s="42" customFormat="1" ht="30" customHeight="1" x14ac:dyDescent="0.25">
      <c r="A100" s="83">
        <f>A97+1</f>
        <v>51</v>
      </c>
      <c r="B100" s="84" t="s">
        <v>72</v>
      </c>
      <c r="C100" s="83" t="s">
        <v>470</v>
      </c>
      <c r="D100" s="96" t="s">
        <v>204</v>
      </c>
      <c r="E100" s="89" t="s">
        <v>135</v>
      </c>
      <c r="F100" s="85">
        <v>155250</v>
      </c>
      <c r="G100" s="85">
        <v>4455.6750000000002</v>
      </c>
      <c r="H100" s="85">
        <v>4719.6000000000004</v>
      </c>
      <c r="I100" s="123">
        <v>24723.506041666664</v>
      </c>
      <c r="J100" s="92">
        <v>1637.45</v>
      </c>
      <c r="K100" s="85">
        <f>SUM(G100:J100)</f>
        <v>35536.231041666659</v>
      </c>
      <c r="L100" s="86">
        <f>+F100-K100</f>
        <v>119713.76895833334</v>
      </c>
    </row>
    <row r="101" spans="1:12" customFormat="1" ht="30" customHeight="1" x14ac:dyDescent="0.25">
      <c r="A101" s="88">
        <f>A100+1</f>
        <v>52</v>
      </c>
      <c r="B101" s="121" t="s">
        <v>280</v>
      </c>
      <c r="C101" s="39" t="s">
        <v>470</v>
      </c>
      <c r="D101" s="121" t="s">
        <v>73</v>
      </c>
      <c r="E101" s="121" t="s">
        <v>135</v>
      </c>
      <c r="F101" s="123">
        <v>60000</v>
      </c>
      <c r="G101" s="90">
        <f>F101*2.87%</f>
        <v>1722</v>
      </c>
      <c r="H101" s="90">
        <f>+F101*3.04%</f>
        <v>1824</v>
      </c>
      <c r="I101" s="90">
        <v>3486.6498333333329</v>
      </c>
      <c r="J101" s="86">
        <v>25</v>
      </c>
      <c r="K101" s="85">
        <f>SUM(G101:J101)</f>
        <v>7057.6498333333329</v>
      </c>
      <c r="L101" s="86">
        <f>+F101-K101</f>
        <v>52942.350166666671</v>
      </c>
    </row>
    <row r="102" spans="1:12" s="42" customFormat="1" ht="30" customHeight="1" x14ac:dyDescent="0.25">
      <c r="A102" s="230" t="s">
        <v>138</v>
      </c>
      <c r="B102" s="231"/>
      <c r="C102" s="231"/>
      <c r="D102" s="231"/>
      <c r="E102" s="232"/>
      <c r="F102" s="40">
        <f t="shared" ref="F102:L102" si="24">SUM(F100:F101)</f>
        <v>215250</v>
      </c>
      <c r="G102" s="40">
        <f t="shared" si="24"/>
        <v>6177.6750000000002</v>
      </c>
      <c r="H102" s="40">
        <f t="shared" si="24"/>
        <v>6543.6</v>
      </c>
      <c r="I102" s="40">
        <f t="shared" si="24"/>
        <v>28210.155874999997</v>
      </c>
      <c r="J102" s="40">
        <f t="shared" si="24"/>
        <v>1662.45</v>
      </c>
      <c r="K102" s="40">
        <f t="shared" si="24"/>
        <v>42593.880874999988</v>
      </c>
      <c r="L102" s="40">
        <f t="shared" si="24"/>
        <v>172656.11912500003</v>
      </c>
    </row>
    <row r="103" spans="1:12" s="94" customFormat="1" ht="30" customHeight="1" thickBot="1" x14ac:dyDescent="0.3">
      <c r="A103"/>
      <c r="B103"/>
      <c r="C103" s="152"/>
      <c r="D103"/>
      <c r="E103"/>
      <c r="F103"/>
      <c r="G103"/>
      <c r="H103"/>
      <c r="I103"/>
      <c r="J103"/>
      <c r="K103"/>
      <c r="L103"/>
    </row>
    <row r="104" spans="1:12" s="42" customFormat="1" ht="30" customHeight="1" thickBot="1" x14ac:dyDescent="0.3">
      <c r="A104" s="236" t="s">
        <v>182</v>
      </c>
      <c r="B104" s="237"/>
      <c r="C104" s="237"/>
      <c r="D104" s="237"/>
      <c r="E104" s="237"/>
      <c r="F104" s="237"/>
      <c r="G104" s="237"/>
      <c r="H104" s="237"/>
      <c r="I104" s="237"/>
      <c r="J104" s="237"/>
      <c r="K104" s="237"/>
      <c r="L104" s="238"/>
    </row>
    <row r="105" spans="1:12" ht="30" customHeight="1" x14ac:dyDescent="0.25">
      <c r="A105" s="88">
        <f>+A101+1</f>
        <v>53</v>
      </c>
      <c r="B105" s="121" t="s">
        <v>281</v>
      </c>
      <c r="C105" s="39" t="s">
        <v>470</v>
      </c>
      <c r="D105" s="122" t="s">
        <v>57</v>
      </c>
      <c r="E105" s="121" t="s">
        <v>134</v>
      </c>
      <c r="F105" s="123">
        <v>90000</v>
      </c>
      <c r="G105" s="123">
        <f>F105*2.87%</f>
        <v>2583</v>
      </c>
      <c r="H105" s="123">
        <f>+F105*3.04%</f>
        <v>2736</v>
      </c>
      <c r="I105" s="123">
        <v>8996.9622916666685</v>
      </c>
      <c r="J105" s="92">
        <v>8149.9</v>
      </c>
      <c r="K105" s="85">
        <f>SUM(G105:J105)</f>
        <v>22465.862291666668</v>
      </c>
      <c r="L105" s="86">
        <f>+F105-K105</f>
        <v>67534.137708333335</v>
      </c>
    </row>
    <row r="106" spans="1:12" s="42" customFormat="1" ht="30" customHeight="1" x14ac:dyDescent="0.25">
      <c r="A106" s="230" t="s">
        <v>138</v>
      </c>
      <c r="B106" s="231"/>
      <c r="C106" s="231"/>
      <c r="D106" s="231"/>
      <c r="E106" s="232"/>
      <c r="F106" s="40">
        <f t="shared" ref="F106:L106" si="25">SUM(F105:F105)</f>
        <v>90000</v>
      </c>
      <c r="G106" s="40">
        <f t="shared" si="25"/>
        <v>2583</v>
      </c>
      <c r="H106" s="40">
        <f t="shared" si="25"/>
        <v>2736</v>
      </c>
      <c r="I106" s="40">
        <f t="shared" si="25"/>
        <v>8996.9622916666685</v>
      </c>
      <c r="J106" s="40">
        <f t="shared" si="25"/>
        <v>8149.9</v>
      </c>
      <c r="K106" s="40">
        <f t="shared" si="25"/>
        <v>22465.862291666668</v>
      </c>
      <c r="L106" s="40">
        <f t="shared" si="25"/>
        <v>67534.137708333335</v>
      </c>
    </row>
    <row r="107" spans="1:12" s="56" customFormat="1" ht="30" customHeight="1" thickBot="1" x14ac:dyDescent="0.3">
      <c r="A107" s="4"/>
      <c r="B107" s="25"/>
      <c r="C107" s="4"/>
      <c r="D107" s="25"/>
      <c r="E107" s="25"/>
      <c r="F107" s="2"/>
      <c r="G107" s="1"/>
      <c r="H107" s="1"/>
      <c r="I107" s="1"/>
      <c r="J107" s="1"/>
      <c r="K107" s="1"/>
      <c r="L107" s="1"/>
    </row>
    <row r="108" spans="1:12" s="56" customFormat="1" ht="30" customHeight="1" thickBot="1" x14ac:dyDescent="0.3">
      <c r="A108" s="236" t="s">
        <v>183</v>
      </c>
      <c r="B108" s="237"/>
      <c r="C108" s="237"/>
      <c r="D108" s="237"/>
      <c r="E108" s="237"/>
      <c r="F108" s="237"/>
      <c r="G108" s="237"/>
      <c r="H108" s="237"/>
      <c r="I108" s="237"/>
      <c r="J108" s="237"/>
      <c r="K108" s="237"/>
      <c r="L108" s="238"/>
    </row>
    <row r="109" spans="1:12" s="56" customFormat="1" ht="30" customHeight="1" x14ac:dyDescent="0.25">
      <c r="A109" s="83">
        <f>+A105+1</f>
        <v>54</v>
      </c>
      <c r="B109" s="126" t="s">
        <v>282</v>
      </c>
      <c r="C109" s="136" t="s">
        <v>470</v>
      </c>
      <c r="D109" s="137" t="s">
        <v>283</v>
      </c>
      <c r="E109" s="126" t="s">
        <v>134</v>
      </c>
      <c r="F109" s="120">
        <v>155000</v>
      </c>
      <c r="G109" s="123">
        <f t="shared" ref="G109:G114" si="26">F109*2.87%</f>
        <v>4448.5</v>
      </c>
      <c r="H109" s="123">
        <f t="shared" ref="H109:H114" si="27">+F109*3.04%</f>
        <v>4712</v>
      </c>
      <c r="I109" s="85">
        <v>25042.812291666665</v>
      </c>
      <c r="J109" s="92">
        <v>125</v>
      </c>
      <c r="K109" s="85">
        <f t="shared" ref="K109:K114" si="28">SUM(G109:J109)</f>
        <v>34328.312291666662</v>
      </c>
      <c r="L109" s="86">
        <f t="shared" ref="L109:L114" si="29">+F109-K109</f>
        <v>120671.68770833334</v>
      </c>
    </row>
    <row r="110" spans="1:12" s="56" customFormat="1" ht="30" customHeight="1" x14ac:dyDescent="0.25">
      <c r="A110" s="88">
        <f>+A109+1</f>
        <v>55</v>
      </c>
      <c r="B110" s="121" t="s">
        <v>284</v>
      </c>
      <c r="C110" s="39" t="s">
        <v>470</v>
      </c>
      <c r="D110" s="122" t="s">
        <v>57</v>
      </c>
      <c r="E110" s="121" t="s">
        <v>135</v>
      </c>
      <c r="F110" s="123">
        <v>93500</v>
      </c>
      <c r="G110" s="123">
        <f t="shared" si="26"/>
        <v>2683.45</v>
      </c>
      <c r="H110" s="123">
        <f t="shared" si="27"/>
        <v>2842.4</v>
      </c>
      <c r="I110" s="90">
        <v>10576.474791666662</v>
      </c>
      <c r="J110" s="92">
        <v>25</v>
      </c>
      <c r="K110" s="85">
        <f t="shared" si="28"/>
        <v>16127.324791666662</v>
      </c>
      <c r="L110" s="86">
        <f t="shared" si="29"/>
        <v>77372.675208333341</v>
      </c>
    </row>
    <row r="111" spans="1:12" s="56" customFormat="1" ht="30" customHeight="1" x14ac:dyDescent="0.25">
      <c r="A111" s="83">
        <f>+A110+1</f>
        <v>56</v>
      </c>
      <c r="B111" s="121" t="s">
        <v>285</v>
      </c>
      <c r="C111" s="39" t="s">
        <v>470</v>
      </c>
      <c r="D111" s="122" t="s">
        <v>57</v>
      </c>
      <c r="E111" s="121" t="s">
        <v>134</v>
      </c>
      <c r="F111" s="123">
        <v>90000</v>
      </c>
      <c r="G111" s="123">
        <f t="shared" si="26"/>
        <v>2583</v>
      </c>
      <c r="H111" s="123">
        <f t="shared" si="27"/>
        <v>2736</v>
      </c>
      <c r="I111" s="123">
        <v>9753.1872916666671</v>
      </c>
      <c r="J111" s="92">
        <v>125</v>
      </c>
      <c r="K111" s="85">
        <f t="shared" si="28"/>
        <v>15197.187291666667</v>
      </c>
      <c r="L111" s="86">
        <f t="shared" si="29"/>
        <v>74802.812708333338</v>
      </c>
    </row>
    <row r="112" spans="1:12" s="56" customFormat="1" ht="30" customHeight="1" x14ac:dyDescent="0.25">
      <c r="A112" s="88">
        <f t="shared" ref="A112:A114" si="30">+A111+1</f>
        <v>57</v>
      </c>
      <c r="B112" s="89" t="s">
        <v>279</v>
      </c>
      <c r="C112" s="88" t="s">
        <v>469</v>
      </c>
      <c r="D112" s="93" t="s">
        <v>57</v>
      </c>
      <c r="E112" s="89" t="s">
        <v>134</v>
      </c>
      <c r="F112" s="90">
        <v>90000</v>
      </c>
      <c r="G112" s="90">
        <f t="shared" si="26"/>
        <v>2583</v>
      </c>
      <c r="H112" s="90">
        <f t="shared" si="27"/>
        <v>2736</v>
      </c>
      <c r="I112" s="90">
        <v>9753.1872916666671</v>
      </c>
      <c r="J112" s="92">
        <v>9311.43</v>
      </c>
      <c r="K112" s="85">
        <f t="shared" si="28"/>
        <v>24383.617291666669</v>
      </c>
      <c r="L112" s="86">
        <f t="shared" si="29"/>
        <v>65616.382708333331</v>
      </c>
    </row>
    <row r="113" spans="1:12" s="50" customFormat="1" ht="30" customHeight="1" x14ac:dyDescent="0.25">
      <c r="A113" s="83">
        <f t="shared" si="30"/>
        <v>58</v>
      </c>
      <c r="B113" s="121" t="s">
        <v>76</v>
      </c>
      <c r="C113" s="39" t="s">
        <v>469</v>
      </c>
      <c r="D113" s="122" t="s">
        <v>57</v>
      </c>
      <c r="E113" s="121" t="s">
        <v>134</v>
      </c>
      <c r="F113" s="123">
        <v>80000</v>
      </c>
      <c r="G113" s="123">
        <f t="shared" si="26"/>
        <v>2296</v>
      </c>
      <c r="H113" s="123">
        <f t="shared" si="27"/>
        <v>2432</v>
      </c>
      <c r="I113" s="139">
        <v>7022.8247916666687</v>
      </c>
      <c r="J113" s="92">
        <v>19268.02</v>
      </c>
      <c r="K113" s="85">
        <f t="shared" si="28"/>
        <v>31018.84479166667</v>
      </c>
      <c r="L113" s="86">
        <f t="shared" si="29"/>
        <v>48981.15520833333</v>
      </c>
    </row>
    <row r="114" spans="1:12" s="42" customFormat="1" ht="30" customHeight="1" x14ac:dyDescent="0.25">
      <c r="A114" s="88">
        <f t="shared" si="30"/>
        <v>59</v>
      </c>
      <c r="B114" s="121" t="s">
        <v>154</v>
      </c>
      <c r="C114" s="39" t="s">
        <v>470</v>
      </c>
      <c r="D114" s="122" t="s">
        <v>57</v>
      </c>
      <c r="E114" s="121" t="s">
        <v>134</v>
      </c>
      <c r="F114" s="123">
        <v>80000</v>
      </c>
      <c r="G114" s="123">
        <f t="shared" si="26"/>
        <v>2296</v>
      </c>
      <c r="H114" s="123">
        <f t="shared" si="27"/>
        <v>2432</v>
      </c>
      <c r="I114" s="123">
        <v>7400.9372916666662</v>
      </c>
      <c r="J114" s="92">
        <v>25</v>
      </c>
      <c r="K114" s="85">
        <f t="shared" si="28"/>
        <v>12153.937291666665</v>
      </c>
      <c r="L114" s="86">
        <f t="shared" si="29"/>
        <v>67846.062708333338</v>
      </c>
    </row>
    <row r="115" spans="1:12" s="42" customFormat="1" ht="30" customHeight="1" x14ac:dyDescent="0.25">
      <c r="A115" s="39"/>
      <c r="B115" s="49"/>
      <c r="C115" s="154"/>
      <c r="D115" s="250" t="s">
        <v>138</v>
      </c>
      <c r="E115" s="251"/>
      <c r="F115" s="40">
        <f t="shared" ref="F115:L115" si="31">SUM(F109:F114)</f>
        <v>588500</v>
      </c>
      <c r="G115" s="40">
        <f t="shared" si="31"/>
        <v>16889.95</v>
      </c>
      <c r="H115" s="40">
        <f t="shared" si="31"/>
        <v>17890.400000000001</v>
      </c>
      <c r="I115" s="40">
        <f t="shared" si="31"/>
        <v>69549.423750000002</v>
      </c>
      <c r="J115" s="40">
        <f t="shared" si="31"/>
        <v>28879.45</v>
      </c>
      <c r="K115" s="40">
        <f t="shared" si="31"/>
        <v>133209.22374999998</v>
      </c>
      <c r="L115" s="40">
        <f t="shared" si="31"/>
        <v>455290.77625</v>
      </c>
    </row>
    <row r="116" spans="1:12" s="56" customFormat="1" ht="30" customHeight="1" thickBot="1" x14ac:dyDescent="0.3">
      <c r="A116" s="47"/>
      <c r="B116" s="45"/>
      <c r="C116" s="47"/>
      <c r="D116" s="46"/>
      <c r="E116" s="45"/>
      <c r="F116" s="42"/>
      <c r="G116" s="42"/>
      <c r="H116" s="42"/>
      <c r="I116" s="42"/>
      <c r="J116" s="41"/>
      <c r="K116" s="42"/>
      <c r="L116" s="41"/>
    </row>
    <row r="117" spans="1:12" s="50" customFormat="1" ht="30" customHeight="1" thickBot="1" x14ac:dyDescent="0.3">
      <c r="A117" s="236" t="s">
        <v>184</v>
      </c>
      <c r="B117" s="237"/>
      <c r="C117" s="237"/>
      <c r="D117" s="237"/>
      <c r="E117" s="237"/>
      <c r="F117" s="237"/>
      <c r="G117" s="237"/>
      <c r="H117" s="237"/>
      <c r="I117" s="237"/>
      <c r="J117" s="237"/>
      <c r="K117" s="237"/>
      <c r="L117" s="238"/>
    </row>
    <row r="118" spans="1:12" s="42" customFormat="1" ht="30" customHeight="1" x14ac:dyDescent="0.25">
      <c r="A118" s="88">
        <f>+A114+1</f>
        <v>60</v>
      </c>
      <c r="B118" s="121" t="s">
        <v>77</v>
      </c>
      <c r="C118" s="39" t="s">
        <v>470</v>
      </c>
      <c r="D118" s="122" t="s">
        <v>106</v>
      </c>
      <c r="E118" s="121" t="s">
        <v>135</v>
      </c>
      <c r="F118" s="123">
        <v>60000</v>
      </c>
      <c r="G118" s="123">
        <f>F118*2.87%</f>
        <v>1722</v>
      </c>
      <c r="H118" s="90">
        <f>+F118*3.04%</f>
        <v>1824</v>
      </c>
      <c r="I118" s="90">
        <v>2881.669833333332</v>
      </c>
      <c r="J118" s="92">
        <v>3936.82</v>
      </c>
      <c r="K118" s="85">
        <f>SUM(G118:J118)</f>
        <v>10364.489833333331</v>
      </c>
      <c r="L118" s="86">
        <f>+F118-K118</f>
        <v>49635.510166666667</v>
      </c>
    </row>
    <row r="119" spans="1:12" s="42" customFormat="1" ht="30" customHeight="1" x14ac:dyDescent="0.25">
      <c r="A119" s="230" t="s">
        <v>138</v>
      </c>
      <c r="B119" s="231"/>
      <c r="C119" s="231"/>
      <c r="D119" s="231"/>
      <c r="E119" s="232"/>
      <c r="F119" s="40">
        <f t="shared" ref="F119:L119" si="32">SUM(F118:F118)</f>
        <v>60000</v>
      </c>
      <c r="G119" s="40">
        <f t="shared" si="32"/>
        <v>1722</v>
      </c>
      <c r="H119" s="40">
        <f t="shared" si="32"/>
        <v>1824</v>
      </c>
      <c r="I119" s="40">
        <f t="shared" si="32"/>
        <v>2881.669833333332</v>
      </c>
      <c r="J119" s="40">
        <f t="shared" si="32"/>
        <v>3936.82</v>
      </c>
      <c r="K119" s="40">
        <f t="shared" si="32"/>
        <v>10364.489833333331</v>
      </c>
      <c r="L119" s="40">
        <f t="shared" si="32"/>
        <v>49635.510166666667</v>
      </c>
    </row>
    <row r="120" spans="1:12" s="56" customFormat="1" ht="30" customHeight="1" thickBot="1" x14ac:dyDescent="0.3">
      <c r="A120" s="44"/>
      <c r="B120" s="51"/>
      <c r="C120" s="155"/>
      <c r="D120" s="51"/>
      <c r="E120" s="51"/>
      <c r="F120" s="52"/>
      <c r="G120" s="42"/>
      <c r="H120" s="42"/>
      <c r="I120" s="42"/>
      <c r="J120" s="42"/>
      <c r="K120" s="42"/>
      <c r="L120" s="42"/>
    </row>
    <row r="121" spans="1:12" s="94" customFormat="1" ht="30" customHeight="1" thickBot="1" x14ac:dyDescent="0.3">
      <c r="A121" s="236" t="s">
        <v>185</v>
      </c>
      <c r="B121" s="237"/>
      <c r="C121" s="237"/>
      <c r="D121" s="237"/>
      <c r="E121" s="237"/>
      <c r="F121" s="237"/>
      <c r="G121" s="237"/>
      <c r="H121" s="237"/>
      <c r="I121" s="237"/>
      <c r="J121" s="237"/>
      <c r="K121" s="237"/>
      <c r="L121" s="238"/>
    </row>
    <row r="122" spans="1:12" s="56" customFormat="1" ht="30" customHeight="1" x14ac:dyDescent="0.25">
      <c r="A122" s="88">
        <f>+A118+1</f>
        <v>61</v>
      </c>
      <c r="B122" s="121" t="s">
        <v>287</v>
      </c>
      <c r="C122" s="39" t="s">
        <v>470</v>
      </c>
      <c r="D122" s="122" t="s">
        <v>57</v>
      </c>
      <c r="E122" s="121" t="s">
        <v>135</v>
      </c>
      <c r="F122" s="123">
        <v>90000</v>
      </c>
      <c r="G122" s="90">
        <f>F122*2.87%</f>
        <v>2583</v>
      </c>
      <c r="H122" s="90">
        <f>+F122*3.04%</f>
        <v>2736</v>
      </c>
      <c r="I122" s="90">
        <v>9753.1872916666671</v>
      </c>
      <c r="J122" s="92">
        <v>11557.81</v>
      </c>
      <c r="K122" s="85">
        <f>SUM(G122:J122)</f>
        <v>26629.997291666667</v>
      </c>
      <c r="L122" s="86">
        <f>+F122-K122</f>
        <v>63370.002708333333</v>
      </c>
    </row>
    <row r="123" spans="1:12" s="42" customFormat="1" ht="30" customHeight="1" x14ac:dyDescent="0.25">
      <c r="A123" s="88">
        <f>+A122+1</f>
        <v>62</v>
      </c>
      <c r="B123" s="126" t="s">
        <v>71</v>
      </c>
      <c r="C123" s="136" t="s">
        <v>470</v>
      </c>
      <c r="D123" s="122" t="s">
        <v>57</v>
      </c>
      <c r="E123" s="121" t="s">
        <v>134</v>
      </c>
      <c r="F123" s="120">
        <v>80000</v>
      </c>
      <c r="G123" s="85">
        <f>F123*2.87%</f>
        <v>2296</v>
      </c>
      <c r="H123" s="85">
        <f>+F123*3.04%</f>
        <v>2432</v>
      </c>
      <c r="I123" s="123">
        <v>7400.9372916666662</v>
      </c>
      <c r="J123" s="92">
        <v>7360.85</v>
      </c>
      <c r="K123" s="85">
        <f>SUM(G123:J123)</f>
        <v>19489.787291666667</v>
      </c>
      <c r="L123" s="86">
        <f>+F123-K123</f>
        <v>60510.212708333333</v>
      </c>
    </row>
    <row r="124" spans="1:12" s="50" customFormat="1" ht="24" customHeight="1" x14ac:dyDescent="0.25">
      <c r="A124" s="88">
        <f>+A123+1</f>
        <v>63</v>
      </c>
      <c r="B124" s="121" t="s">
        <v>288</v>
      </c>
      <c r="C124" s="39" t="s">
        <v>469</v>
      </c>
      <c r="D124" s="122" t="s">
        <v>57</v>
      </c>
      <c r="E124" s="121" t="s">
        <v>134</v>
      </c>
      <c r="F124" s="123">
        <v>80000</v>
      </c>
      <c r="G124" s="90">
        <f>F124*2.87%</f>
        <v>2296</v>
      </c>
      <c r="H124" s="90">
        <f>+F124*3.04%</f>
        <v>2432</v>
      </c>
      <c r="I124" s="123">
        <v>7400.9372916666662</v>
      </c>
      <c r="J124" s="92">
        <v>25</v>
      </c>
      <c r="K124" s="85">
        <f>SUM(G124:J124)</f>
        <v>12153.937291666665</v>
      </c>
      <c r="L124" s="86">
        <f>+F124-K124</f>
        <v>67846.062708333338</v>
      </c>
    </row>
    <row r="125" spans="1:12" s="42" customFormat="1" ht="30" customHeight="1" x14ac:dyDescent="0.25">
      <c r="A125" s="88">
        <f>+A124+1</f>
        <v>64</v>
      </c>
      <c r="B125" s="121" t="s">
        <v>296</v>
      </c>
      <c r="C125" s="39" t="s">
        <v>469</v>
      </c>
      <c r="D125" s="122" t="s">
        <v>57</v>
      </c>
      <c r="E125" s="121" t="s">
        <v>134</v>
      </c>
      <c r="F125" s="123">
        <v>80000</v>
      </c>
      <c r="G125" s="90">
        <f>F125*2.87%</f>
        <v>2296</v>
      </c>
      <c r="H125" s="90">
        <f>+F125*3.04%</f>
        <v>2432</v>
      </c>
      <c r="I125" s="123">
        <v>7400.9372916666662</v>
      </c>
      <c r="J125" s="92">
        <v>25</v>
      </c>
      <c r="K125" s="85">
        <f>SUM(G125:J125)</f>
        <v>12153.937291666665</v>
      </c>
      <c r="L125" s="86">
        <f>+F125-K125</f>
        <v>67846.062708333338</v>
      </c>
    </row>
    <row r="126" spans="1:12" s="56" customFormat="1" ht="30" customHeight="1" thickBot="1" x14ac:dyDescent="0.3">
      <c r="A126" s="230" t="s">
        <v>138</v>
      </c>
      <c r="B126" s="231"/>
      <c r="C126" s="231"/>
      <c r="D126" s="231"/>
      <c r="E126" s="232"/>
      <c r="F126" s="40">
        <f t="shared" ref="F126:L126" si="33">SUM(F122:F125)</f>
        <v>330000</v>
      </c>
      <c r="G126" s="40">
        <f t="shared" si="33"/>
        <v>9471</v>
      </c>
      <c r="H126" s="40">
        <f t="shared" si="33"/>
        <v>10032</v>
      </c>
      <c r="I126" s="40">
        <f t="shared" si="33"/>
        <v>31955.999166666665</v>
      </c>
      <c r="J126" s="40">
        <f t="shared" si="33"/>
        <v>18968.66</v>
      </c>
      <c r="K126" s="40">
        <f t="shared" si="33"/>
        <v>70427.659166666665</v>
      </c>
      <c r="L126" s="40">
        <f t="shared" si="33"/>
        <v>259572.34083333335</v>
      </c>
    </row>
    <row r="127" spans="1:12" s="56" customFormat="1" ht="30" customHeight="1" thickBot="1" x14ac:dyDescent="0.3">
      <c r="A127" s="236" t="s">
        <v>186</v>
      </c>
      <c r="B127" s="237"/>
      <c r="C127" s="237"/>
      <c r="D127" s="237"/>
      <c r="E127" s="237"/>
      <c r="F127" s="237"/>
      <c r="G127" s="237"/>
      <c r="H127" s="237"/>
      <c r="I127" s="237"/>
      <c r="J127" s="237"/>
      <c r="K127" s="237"/>
      <c r="L127" s="238"/>
    </row>
    <row r="128" spans="1:12" s="56" customFormat="1" ht="30" customHeight="1" x14ac:dyDescent="0.25">
      <c r="A128" s="39">
        <f>A125+1</f>
        <v>65</v>
      </c>
      <c r="B128" s="121" t="s">
        <v>206</v>
      </c>
      <c r="C128" s="39" t="s">
        <v>470</v>
      </c>
      <c r="D128" s="122" t="s">
        <v>57</v>
      </c>
      <c r="E128" s="121" t="s">
        <v>135</v>
      </c>
      <c r="F128" s="123">
        <v>90000</v>
      </c>
      <c r="G128" s="123">
        <f>F128*2.87%</f>
        <v>2583</v>
      </c>
      <c r="H128" s="90">
        <f>+F128*3.04%</f>
        <v>2736</v>
      </c>
      <c r="I128" s="90">
        <v>9753.1872916666671</v>
      </c>
      <c r="J128" s="92">
        <v>4721.7700000000004</v>
      </c>
      <c r="K128" s="85">
        <f>SUM(G128:J128)</f>
        <v>19793.957291666666</v>
      </c>
      <c r="L128" s="86">
        <f>+F128-K128</f>
        <v>70206.042708333334</v>
      </c>
    </row>
    <row r="129" spans="1:12" s="56" customFormat="1" ht="30" customHeight="1" x14ac:dyDescent="0.25">
      <c r="A129" s="39">
        <f>+A128+1</f>
        <v>66</v>
      </c>
      <c r="B129" s="121" t="s">
        <v>571</v>
      </c>
      <c r="C129" s="39" t="s">
        <v>469</v>
      </c>
      <c r="D129" s="122" t="s">
        <v>57</v>
      </c>
      <c r="E129" s="121" t="s">
        <v>135</v>
      </c>
      <c r="F129" s="123">
        <v>90000</v>
      </c>
      <c r="G129" s="123">
        <f>F129*2.87%</f>
        <v>2583</v>
      </c>
      <c r="H129" s="90">
        <f>+F129*3.04%</f>
        <v>2736</v>
      </c>
      <c r="I129" s="123">
        <v>9753.1872916666671</v>
      </c>
      <c r="J129" s="92">
        <v>18622.96</v>
      </c>
      <c r="K129" s="85">
        <f>SUM(G129:J129)</f>
        <v>33695.147291666668</v>
      </c>
      <c r="L129" s="86">
        <f>+F129-K129</f>
        <v>56304.852708333332</v>
      </c>
    </row>
    <row r="130" spans="1:12" s="50" customFormat="1" ht="30" customHeight="1" x14ac:dyDescent="0.25">
      <c r="A130" s="39">
        <f>+A129+1</f>
        <v>67</v>
      </c>
      <c r="B130" s="121" t="s">
        <v>290</v>
      </c>
      <c r="C130" s="39" t="s">
        <v>470</v>
      </c>
      <c r="D130" s="122" t="s">
        <v>57</v>
      </c>
      <c r="E130" s="121" t="s">
        <v>135</v>
      </c>
      <c r="F130" s="123">
        <v>85000</v>
      </c>
      <c r="G130" s="123">
        <f>F130*2.87%</f>
        <v>2439.5</v>
      </c>
      <c r="H130" s="90">
        <f>+F130*3.04%</f>
        <v>2584</v>
      </c>
      <c r="I130" s="90">
        <v>8577.0622916666671</v>
      </c>
      <c r="J130" s="92">
        <v>911.92</v>
      </c>
      <c r="K130" s="85">
        <f>SUM(G130:J130)</f>
        <v>14512.482291666667</v>
      </c>
      <c r="L130" s="86">
        <f>+F130-K130</f>
        <v>70487.517708333326</v>
      </c>
    </row>
    <row r="131" spans="1:12" ht="30" customHeight="1" x14ac:dyDescent="0.25">
      <c r="A131" s="39">
        <f>+A130+1</f>
        <v>68</v>
      </c>
      <c r="B131" s="121" t="s">
        <v>214</v>
      </c>
      <c r="C131" s="39" t="s">
        <v>469</v>
      </c>
      <c r="D131" s="122" t="s">
        <v>57</v>
      </c>
      <c r="E131" s="121" t="s">
        <v>135</v>
      </c>
      <c r="F131" s="123">
        <v>80000</v>
      </c>
      <c r="G131" s="90">
        <v>2296</v>
      </c>
      <c r="H131" s="90">
        <v>2432</v>
      </c>
      <c r="I131" s="90">
        <v>7022.8247916666687</v>
      </c>
      <c r="J131" s="92">
        <v>16918.240000000002</v>
      </c>
      <c r="K131" s="85">
        <f>SUM(G131:J131)</f>
        <v>28669.064791666671</v>
      </c>
      <c r="L131" s="86">
        <f>+F131-K131</f>
        <v>51330.935208333329</v>
      </c>
    </row>
    <row r="132" spans="1:12" s="42" customFormat="1" ht="30" customHeight="1" x14ac:dyDescent="0.25">
      <c r="A132" s="230" t="s">
        <v>138</v>
      </c>
      <c r="B132" s="231"/>
      <c r="C132" s="231"/>
      <c r="D132" s="231"/>
      <c r="E132" s="232"/>
      <c r="F132" s="40">
        <f t="shared" ref="F132:L132" si="34">SUM(F128:F131)</f>
        <v>345000</v>
      </c>
      <c r="G132" s="40">
        <f t="shared" si="34"/>
        <v>9901.5</v>
      </c>
      <c r="H132" s="40">
        <f t="shared" si="34"/>
        <v>10488</v>
      </c>
      <c r="I132" s="40">
        <f t="shared" si="34"/>
        <v>35106.261666666665</v>
      </c>
      <c r="J132" s="40">
        <f t="shared" si="34"/>
        <v>41174.89</v>
      </c>
      <c r="K132" s="40">
        <f t="shared" si="34"/>
        <v>96670.651666666672</v>
      </c>
      <c r="L132" s="40">
        <f t="shared" si="34"/>
        <v>248329.34833333333</v>
      </c>
    </row>
    <row r="133" spans="1:12" s="42" customFormat="1" ht="30" customHeight="1" thickBot="1" x14ac:dyDescent="0.3">
      <c r="A133" s="4"/>
      <c r="B133" s="25"/>
      <c r="C133" s="4"/>
      <c r="D133" s="25"/>
      <c r="E133" s="25"/>
      <c r="F133" s="2"/>
      <c r="G133" s="1"/>
      <c r="H133" s="1"/>
      <c r="I133" s="1"/>
      <c r="J133" s="1"/>
      <c r="K133" s="1"/>
      <c r="L133" s="1"/>
    </row>
    <row r="134" spans="1:12" s="56" customFormat="1" ht="30" customHeight="1" thickBot="1" x14ac:dyDescent="0.3">
      <c r="A134" s="236" t="s">
        <v>187</v>
      </c>
      <c r="B134" s="237"/>
      <c r="C134" s="237"/>
      <c r="D134" s="237"/>
      <c r="E134" s="237"/>
      <c r="F134" s="237"/>
      <c r="G134" s="237"/>
      <c r="H134" s="237"/>
      <c r="I134" s="237"/>
      <c r="J134" s="237"/>
      <c r="K134" s="237"/>
      <c r="L134" s="238"/>
    </row>
    <row r="135" spans="1:12" s="50" customFormat="1" ht="30" customHeight="1" x14ac:dyDescent="0.25">
      <c r="A135" s="88">
        <f>+A131+1</f>
        <v>69</v>
      </c>
      <c r="B135" s="89" t="s">
        <v>114</v>
      </c>
      <c r="C135" s="88" t="s">
        <v>470</v>
      </c>
      <c r="D135" s="93" t="s">
        <v>57</v>
      </c>
      <c r="E135" s="89" t="s">
        <v>134</v>
      </c>
      <c r="F135" s="90">
        <v>90000</v>
      </c>
      <c r="G135" s="90">
        <f t="shared" ref="G135:G140" si="35">F135*2.87%</f>
        <v>2583</v>
      </c>
      <c r="H135" s="90">
        <f t="shared" ref="H135:H140" si="36">+F135*3.04%</f>
        <v>2736</v>
      </c>
      <c r="I135" s="90">
        <v>9753.1872916666671</v>
      </c>
      <c r="J135" s="92">
        <v>25</v>
      </c>
      <c r="K135" s="85">
        <f t="shared" ref="K135" si="37">SUM(G135:J135)</f>
        <v>15097.187291666667</v>
      </c>
      <c r="L135" s="86">
        <f t="shared" ref="L135" si="38">+F135-K135</f>
        <v>74902.812708333338</v>
      </c>
    </row>
    <row r="136" spans="1:12" s="56" customFormat="1" ht="30" customHeight="1" x14ac:dyDescent="0.25">
      <c r="A136" s="88">
        <f>+A135+1</f>
        <v>70</v>
      </c>
      <c r="B136" s="121" t="s">
        <v>66</v>
      </c>
      <c r="C136" s="39" t="s">
        <v>470</v>
      </c>
      <c r="D136" s="122" t="s">
        <v>57</v>
      </c>
      <c r="E136" s="121" t="s">
        <v>135</v>
      </c>
      <c r="F136" s="123">
        <v>90000</v>
      </c>
      <c r="G136" s="123">
        <f t="shared" si="35"/>
        <v>2583</v>
      </c>
      <c r="H136" s="90">
        <f t="shared" si="36"/>
        <v>2736</v>
      </c>
      <c r="I136" s="123">
        <v>8996.9622916666685</v>
      </c>
      <c r="J136" s="92">
        <v>3149.9</v>
      </c>
      <c r="K136" s="85">
        <f>SUM(G136:J136)</f>
        <v>17465.862291666668</v>
      </c>
      <c r="L136" s="86">
        <f>+F136-K136</f>
        <v>72534.137708333335</v>
      </c>
    </row>
    <row r="137" spans="1:12" s="56" customFormat="1" ht="30" customHeight="1" x14ac:dyDescent="0.25">
      <c r="A137" s="39">
        <f>+A136+1</f>
        <v>71</v>
      </c>
      <c r="B137" s="121" t="s">
        <v>5</v>
      </c>
      <c r="C137" s="39" t="s">
        <v>470</v>
      </c>
      <c r="D137" s="122" t="s">
        <v>57</v>
      </c>
      <c r="E137" s="121" t="s">
        <v>135</v>
      </c>
      <c r="F137" s="123">
        <v>90000</v>
      </c>
      <c r="G137" s="123">
        <f t="shared" si="35"/>
        <v>2583</v>
      </c>
      <c r="H137" s="90">
        <f t="shared" si="36"/>
        <v>2736</v>
      </c>
      <c r="I137" s="90">
        <v>9753.1872916666671</v>
      </c>
      <c r="J137" s="86">
        <v>11891.85</v>
      </c>
      <c r="K137" s="85">
        <f>SUM(G137:J137)</f>
        <v>26964.037291666667</v>
      </c>
      <c r="L137" s="86">
        <f>+F137-K137</f>
        <v>63035.962708333333</v>
      </c>
    </row>
    <row r="138" spans="1:12" s="56" customFormat="1" ht="30" customHeight="1" x14ac:dyDescent="0.25">
      <c r="A138" s="88">
        <f>+A137+1</f>
        <v>72</v>
      </c>
      <c r="B138" s="121" t="s">
        <v>292</v>
      </c>
      <c r="C138" s="39" t="s">
        <v>470</v>
      </c>
      <c r="D138" s="122" t="s">
        <v>57</v>
      </c>
      <c r="E138" s="121" t="s">
        <v>134</v>
      </c>
      <c r="F138" s="123">
        <v>80000</v>
      </c>
      <c r="G138" s="123">
        <f t="shared" si="35"/>
        <v>2296</v>
      </c>
      <c r="H138" s="90">
        <f t="shared" si="36"/>
        <v>2432</v>
      </c>
      <c r="I138" s="90">
        <v>7400.9372916666662</v>
      </c>
      <c r="J138" s="92">
        <v>25</v>
      </c>
      <c r="K138" s="85">
        <f>SUM(G138:J138)</f>
        <v>12153.937291666665</v>
      </c>
      <c r="L138" s="86">
        <f>+F138-K138</f>
        <v>67846.062708333338</v>
      </c>
    </row>
    <row r="139" spans="1:12" ht="30" customHeight="1" x14ac:dyDescent="0.25">
      <c r="A139" s="88">
        <f>+A138+1</f>
        <v>73</v>
      </c>
      <c r="B139" s="121" t="s">
        <v>293</v>
      </c>
      <c r="C139" s="39" t="s">
        <v>469</v>
      </c>
      <c r="D139" s="122" t="s">
        <v>57</v>
      </c>
      <c r="E139" s="121" t="s">
        <v>134</v>
      </c>
      <c r="F139" s="123">
        <v>80000</v>
      </c>
      <c r="G139" s="123">
        <f t="shared" si="35"/>
        <v>2296</v>
      </c>
      <c r="H139" s="90">
        <f t="shared" si="36"/>
        <v>2432</v>
      </c>
      <c r="I139" s="90">
        <v>7400.9372916666662</v>
      </c>
      <c r="J139" s="92">
        <v>25</v>
      </c>
      <c r="K139" s="85">
        <f>SUM(G139:J139)</f>
        <v>12153.937291666665</v>
      </c>
      <c r="L139" s="86">
        <f>+F139-K139</f>
        <v>67846.062708333338</v>
      </c>
    </row>
    <row r="140" spans="1:12" s="42" customFormat="1" ht="30" customHeight="1" x14ac:dyDescent="0.25">
      <c r="A140" s="88">
        <f>+A139+1</f>
        <v>74</v>
      </c>
      <c r="B140" s="121" t="s">
        <v>294</v>
      </c>
      <c r="C140" s="39" t="s">
        <v>470</v>
      </c>
      <c r="D140" s="122" t="s">
        <v>57</v>
      </c>
      <c r="E140" s="121" t="s">
        <v>135</v>
      </c>
      <c r="F140" s="123">
        <v>80000</v>
      </c>
      <c r="G140" s="123">
        <f t="shared" si="35"/>
        <v>2296</v>
      </c>
      <c r="H140" s="90">
        <f t="shared" si="36"/>
        <v>2432</v>
      </c>
      <c r="I140" s="123">
        <v>7400.9372916666662</v>
      </c>
      <c r="J140" s="92">
        <v>25</v>
      </c>
      <c r="K140" s="85">
        <f>SUM(G140:J140)</f>
        <v>12153.937291666665</v>
      </c>
      <c r="L140" s="86">
        <f>+F140-K140</f>
        <v>67846.062708333338</v>
      </c>
    </row>
    <row r="141" spans="1:12" s="56" customFormat="1" ht="30" customHeight="1" x14ac:dyDescent="0.25">
      <c r="A141" s="230" t="s">
        <v>138</v>
      </c>
      <c r="B141" s="231"/>
      <c r="C141" s="231"/>
      <c r="D141" s="231"/>
      <c r="E141" s="232"/>
      <c r="F141" s="40">
        <f t="shared" ref="F141:L141" si="39">SUM(F135:F140)</f>
        <v>510000</v>
      </c>
      <c r="G141" s="40">
        <f t="shared" si="39"/>
        <v>14637</v>
      </c>
      <c r="H141" s="40">
        <f t="shared" si="39"/>
        <v>15504</v>
      </c>
      <c r="I141" s="40">
        <f t="shared" si="39"/>
        <v>50706.148750000008</v>
      </c>
      <c r="J141" s="40">
        <f t="shared" si="39"/>
        <v>15141.75</v>
      </c>
      <c r="K141" s="40">
        <f t="shared" si="39"/>
        <v>95988.898749999993</v>
      </c>
      <c r="L141" s="40">
        <f t="shared" si="39"/>
        <v>414011.10125000007</v>
      </c>
    </row>
    <row r="142" spans="1:12" s="95" customFormat="1" ht="30" customHeight="1" thickBot="1" x14ac:dyDescent="0.3">
      <c r="A142" s="4"/>
      <c r="B142" s="25"/>
      <c r="C142" s="4"/>
      <c r="D142" s="25"/>
      <c r="E142" s="25"/>
      <c r="F142" s="2"/>
      <c r="G142" s="1"/>
      <c r="H142" s="1"/>
      <c r="I142" s="1"/>
      <c r="J142" s="1"/>
      <c r="K142" s="1"/>
      <c r="L142" s="1"/>
    </row>
    <row r="143" spans="1:12" s="50" customFormat="1" ht="30" customHeight="1" thickBot="1" x14ac:dyDescent="0.3">
      <c r="A143" s="236" t="s">
        <v>188</v>
      </c>
      <c r="B143" s="237"/>
      <c r="C143" s="237"/>
      <c r="D143" s="237"/>
      <c r="E143" s="237"/>
      <c r="F143" s="237"/>
      <c r="G143" s="237"/>
      <c r="H143" s="237"/>
      <c r="I143" s="237"/>
      <c r="J143" s="237"/>
      <c r="K143" s="237"/>
      <c r="L143" s="238"/>
    </row>
    <row r="144" spans="1:12" ht="30" customHeight="1" x14ac:dyDescent="0.25">
      <c r="A144" s="88">
        <f>+A140+1</f>
        <v>75</v>
      </c>
      <c r="B144" s="89" t="s">
        <v>295</v>
      </c>
      <c r="C144" s="88" t="s">
        <v>470</v>
      </c>
      <c r="D144" s="93" t="s">
        <v>57</v>
      </c>
      <c r="E144" s="89" t="s">
        <v>135</v>
      </c>
      <c r="F144" s="90">
        <v>90000</v>
      </c>
      <c r="G144" s="90">
        <f>F144*2.87%</f>
        <v>2583</v>
      </c>
      <c r="H144" s="90">
        <f>+F144*3.04%</f>
        <v>2736</v>
      </c>
      <c r="I144" s="90">
        <v>9375.0747916666678</v>
      </c>
      <c r="J144" s="92">
        <v>1537.45</v>
      </c>
      <c r="K144" s="85">
        <f>SUM(G144:J144)</f>
        <v>16231.524791666669</v>
      </c>
      <c r="L144" s="86">
        <f>+F144-K144</f>
        <v>73768.47520833333</v>
      </c>
    </row>
    <row r="145" spans="1:12" s="42" customFormat="1" ht="30" customHeight="1" x14ac:dyDescent="0.25">
      <c r="A145" s="88">
        <f>+A144+1</f>
        <v>76</v>
      </c>
      <c r="B145" s="121" t="s">
        <v>207</v>
      </c>
      <c r="C145" s="39" t="s">
        <v>469</v>
      </c>
      <c r="D145" s="121" t="s">
        <v>57</v>
      </c>
      <c r="E145" s="121" t="s">
        <v>134</v>
      </c>
      <c r="F145" s="123">
        <v>90000</v>
      </c>
      <c r="G145" s="90">
        <f>F145*2.87%</f>
        <v>2583</v>
      </c>
      <c r="H145" s="90">
        <f>+F145*3.04%</f>
        <v>2736</v>
      </c>
      <c r="I145" s="123">
        <v>9753.1872916666671</v>
      </c>
      <c r="J145" s="92">
        <v>25</v>
      </c>
      <c r="K145" s="85">
        <f>SUM(G145:J145)</f>
        <v>15097.187291666667</v>
      </c>
      <c r="L145" s="86">
        <f>+F145-K145</f>
        <v>74902.812708333338</v>
      </c>
    </row>
    <row r="146" spans="1:12" s="56" customFormat="1" ht="30" customHeight="1" x14ac:dyDescent="0.25">
      <c r="A146" s="230" t="s">
        <v>138</v>
      </c>
      <c r="B146" s="231"/>
      <c r="C146" s="231"/>
      <c r="D146" s="231"/>
      <c r="E146" s="232"/>
      <c r="F146" s="40">
        <f t="shared" ref="F146:L146" si="40">SUM(F144:F145)</f>
        <v>180000</v>
      </c>
      <c r="G146" s="40">
        <f t="shared" si="40"/>
        <v>5166</v>
      </c>
      <c r="H146" s="40">
        <f t="shared" si="40"/>
        <v>5472</v>
      </c>
      <c r="I146" s="40">
        <f t="shared" si="40"/>
        <v>19128.262083333335</v>
      </c>
      <c r="J146" s="40">
        <f t="shared" si="40"/>
        <v>1562.45</v>
      </c>
      <c r="K146" s="40">
        <f t="shared" si="40"/>
        <v>31328.712083333336</v>
      </c>
      <c r="L146" s="40">
        <f t="shared" si="40"/>
        <v>148671.28791666665</v>
      </c>
    </row>
    <row r="147" spans="1:12" s="56" customFormat="1" ht="30" customHeight="1" thickBot="1" x14ac:dyDescent="0.3">
      <c r="A147" s="4"/>
      <c r="B147" s="25"/>
      <c r="C147" s="4"/>
      <c r="D147" s="25"/>
      <c r="E147" s="25"/>
      <c r="F147" s="2"/>
      <c r="G147" s="1"/>
      <c r="H147" s="1"/>
      <c r="I147" s="1"/>
      <c r="J147" s="1"/>
      <c r="K147" s="1"/>
      <c r="L147" s="1"/>
    </row>
    <row r="148" spans="1:12" s="56" customFormat="1" ht="30" customHeight="1" thickBot="1" x14ac:dyDescent="0.3">
      <c r="A148" s="236" t="s">
        <v>189</v>
      </c>
      <c r="B148" s="237"/>
      <c r="C148" s="237"/>
      <c r="D148" s="237"/>
      <c r="E148" s="237"/>
      <c r="F148" s="237"/>
      <c r="G148" s="237"/>
      <c r="H148" s="237"/>
      <c r="I148" s="237"/>
      <c r="J148" s="237"/>
      <c r="K148" s="237"/>
      <c r="L148" s="238"/>
    </row>
    <row r="149" spans="1:12" s="56" customFormat="1" ht="30" customHeight="1" x14ac:dyDescent="0.25">
      <c r="A149" s="83">
        <f>+A145+1</f>
        <v>77</v>
      </c>
      <c r="B149" s="126" t="s">
        <v>297</v>
      </c>
      <c r="C149" s="136" t="s">
        <v>469</v>
      </c>
      <c r="D149" s="137" t="s">
        <v>298</v>
      </c>
      <c r="E149" s="121" t="s">
        <v>135</v>
      </c>
      <c r="F149" s="120">
        <v>126500</v>
      </c>
      <c r="G149" s="90">
        <v>3630.55</v>
      </c>
      <c r="H149" s="90">
        <v>3845.6</v>
      </c>
      <c r="I149" s="90">
        <v>17960.787291666664</v>
      </c>
      <c r="J149" s="92">
        <v>1637.45</v>
      </c>
      <c r="K149" s="85">
        <f>SUM(G149:J149)</f>
        <v>27074.387291666662</v>
      </c>
      <c r="L149" s="86">
        <f t="shared" ref="L149:L153" si="41">+F149-K149</f>
        <v>99425.612708333341</v>
      </c>
    </row>
    <row r="150" spans="1:12" s="56" customFormat="1" ht="30" customHeight="1" x14ac:dyDescent="0.25">
      <c r="A150" s="88">
        <f>A149+1</f>
        <v>78</v>
      </c>
      <c r="B150" s="121" t="s">
        <v>299</v>
      </c>
      <c r="C150" s="39" t="s">
        <v>470</v>
      </c>
      <c r="D150" s="122" t="s">
        <v>57</v>
      </c>
      <c r="E150" s="121" t="s">
        <v>135</v>
      </c>
      <c r="F150" s="123">
        <v>90000</v>
      </c>
      <c r="G150" s="123">
        <f>F150*2.87%</f>
        <v>2583</v>
      </c>
      <c r="H150" s="90">
        <f>+F150*3.04%</f>
        <v>2736</v>
      </c>
      <c r="I150" s="90">
        <v>9753.1200000000008</v>
      </c>
      <c r="J150" s="92">
        <v>25</v>
      </c>
      <c r="K150" s="85">
        <f t="shared" ref="K150:K153" si="42">SUM(G150:J150)</f>
        <v>15097.12</v>
      </c>
      <c r="L150" s="86">
        <f t="shared" si="41"/>
        <v>74902.880000000005</v>
      </c>
    </row>
    <row r="151" spans="1:12" s="50" customFormat="1" ht="30" customHeight="1" x14ac:dyDescent="0.25">
      <c r="A151" s="88">
        <f>+A150+1</f>
        <v>79</v>
      </c>
      <c r="B151" s="121" t="s">
        <v>300</v>
      </c>
      <c r="C151" s="39" t="s">
        <v>470</v>
      </c>
      <c r="D151" s="122" t="s">
        <v>57</v>
      </c>
      <c r="E151" s="121" t="s">
        <v>135</v>
      </c>
      <c r="F151" s="123">
        <v>90000</v>
      </c>
      <c r="G151" s="123">
        <f>F151*2.87%</f>
        <v>2583</v>
      </c>
      <c r="H151" s="90">
        <f>+F151*3.04%</f>
        <v>2736</v>
      </c>
      <c r="I151" s="90">
        <v>9753.1872916666671</v>
      </c>
      <c r="J151" s="92">
        <v>25</v>
      </c>
      <c r="K151" s="85">
        <f t="shared" si="42"/>
        <v>15097.187291666667</v>
      </c>
      <c r="L151" s="86">
        <f t="shared" si="41"/>
        <v>74902.812708333338</v>
      </c>
    </row>
    <row r="152" spans="1:12" ht="29.25" customHeight="1" x14ac:dyDescent="0.25">
      <c r="A152" s="83">
        <f>+A151+1</f>
        <v>80</v>
      </c>
      <c r="B152" s="121" t="s">
        <v>155</v>
      </c>
      <c r="C152" s="39" t="s">
        <v>470</v>
      </c>
      <c r="D152" s="122" t="s">
        <v>57</v>
      </c>
      <c r="E152" s="121" t="s">
        <v>135</v>
      </c>
      <c r="F152" s="123">
        <v>80000</v>
      </c>
      <c r="G152" s="123">
        <f>F152*2.87%</f>
        <v>2296</v>
      </c>
      <c r="H152" s="90">
        <f>+F152*3.04%</f>
        <v>2432</v>
      </c>
      <c r="I152" s="90">
        <v>7400.87</v>
      </c>
      <c r="J152" s="92">
        <v>1025</v>
      </c>
      <c r="K152" s="85">
        <f t="shared" si="42"/>
        <v>13153.869999999999</v>
      </c>
      <c r="L152" s="86">
        <f t="shared" si="41"/>
        <v>66846.13</v>
      </c>
    </row>
    <row r="153" spans="1:12" ht="29.25" customHeight="1" x14ac:dyDescent="0.25">
      <c r="A153" s="88">
        <f>+A152+1</f>
        <v>81</v>
      </c>
      <c r="B153" s="121" t="s">
        <v>78</v>
      </c>
      <c r="C153" s="39" t="s">
        <v>469</v>
      </c>
      <c r="D153" s="122" t="s">
        <v>57</v>
      </c>
      <c r="E153" s="121" t="s">
        <v>135</v>
      </c>
      <c r="F153" s="123">
        <v>80000</v>
      </c>
      <c r="G153" s="123">
        <f>F153*2.87%</f>
        <v>2296</v>
      </c>
      <c r="H153" s="90">
        <f>+F153*3.04%</f>
        <v>2432</v>
      </c>
      <c r="I153" s="123">
        <v>7022.8247916666687</v>
      </c>
      <c r="J153" s="92">
        <v>1537.45</v>
      </c>
      <c r="K153" s="85">
        <f t="shared" si="42"/>
        <v>13288.27479166667</v>
      </c>
      <c r="L153" s="86">
        <f t="shared" si="41"/>
        <v>66711.72520833333</v>
      </c>
    </row>
    <row r="154" spans="1:12" s="56" customFormat="1" ht="30" customHeight="1" x14ac:dyDescent="0.25">
      <c r="A154" s="230" t="s">
        <v>138</v>
      </c>
      <c r="B154" s="231"/>
      <c r="C154" s="231"/>
      <c r="D154" s="231"/>
      <c r="E154" s="232"/>
      <c r="F154" s="40">
        <f t="shared" ref="F154:J154" si="43">SUM(F149:F153)</f>
        <v>466500</v>
      </c>
      <c r="G154" s="40">
        <f t="shared" si="43"/>
        <v>13388.55</v>
      </c>
      <c r="H154" s="40">
        <f t="shared" si="43"/>
        <v>14181.6</v>
      </c>
      <c r="I154" s="40">
        <f>SUM(I149:I153)</f>
        <v>51890.789375</v>
      </c>
      <c r="J154" s="40">
        <f t="shared" si="43"/>
        <v>4249.8999999999996</v>
      </c>
      <c r="K154" s="40">
        <f>SUM(K149:K153)</f>
        <v>83710.839374999996</v>
      </c>
      <c r="L154" s="40">
        <f>SUM(L149:L153)</f>
        <v>382789.16062500002</v>
      </c>
    </row>
    <row r="155" spans="1:12" s="50" customFormat="1" ht="47.45" customHeight="1" thickBot="1" x14ac:dyDescent="0.3">
      <c r="A155" s="53"/>
      <c r="B155" s="53"/>
      <c r="C155" s="53"/>
      <c r="D155" s="53"/>
      <c r="E155" s="53"/>
      <c r="F155" s="43"/>
      <c r="G155" s="43"/>
      <c r="H155" s="43"/>
      <c r="I155" s="43"/>
      <c r="J155" s="43"/>
      <c r="K155" s="43"/>
      <c r="L155" s="43"/>
    </row>
    <row r="156" spans="1:12" s="50" customFormat="1" ht="37.5" customHeight="1" thickBot="1" x14ac:dyDescent="0.3">
      <c r="A156" s="233" t="s">
        <v>190</v>
      </c>
      <c r="B156" s="234"/>
      <c r="C156" s="234"/>
      <c r="D156" s="234"/>
      <c r="E156" s="234"/>
      <c r="F156" s="234"/>
      <c r="G156" s="234"/>
      <c r="H156" s="234"/>
      <c r="I156" s="234"/>
      <c r="J156" s="234"/>
      <c r="K156" s="234"/>
      <c r="L156" s="235"/>
    </row>
    <row r="157" spans="1:12" customFormat="1" ht="27" customHeight="1" x14ac:dyDescent="0.25">
      <c r="A157" s="88">
        <f>+A153+1</f>
        <v>82</v>
      </c>
      <c r="B157" s="121" t="s">
        <v>79</v>
      </c>
      <c r="C157" s="39" t="s">
        <v>470</v>
      </c>
      <c r="D157" s="122" t="s">
        <v>220</v>
      </c>
      <c r="E157" s="121" t="s">
        <v>135</v>
      </c>
      <c r="F157" s="123">
        <v>148500</v>
      </c>
      <c r="G157" s="90">
        <v>4261.95</v>
      </c>
      <c r="H157" s="90">
        <v>4514.3999999999996</v>
      </c>
      <c r="I157" s="90">
        <v>23513.849791666664</v>
      </c>
      <c r="J157" s="92">
        <v>7527.87</v>
      </c>
      <c r="K157" s="85">
        <f>SUM(G157:J157)</f>
        <v>39818.069791666661</v>
      </c>
      <c r="L157" s="92">
        <f>+F157-K157</f>
        <v>108681.93020833333</v>
      </c>
    </row>
    <row r="158" spans="1:12" s="42" customFormat="1" ht="30" customHeight="1" x14ac:dyDescent="0.25">
      <c r="A158" s="39">
        <f>+A157+1</f>
        <v>83</v>
      </c>
      <c r="B158" s="121" t="s">
        <v>513</v>
      </c>
      <c r="C158" s="39" t="s">
        <v>470</v>
      </c>
      <c r="D158" s="122" t="s">
        <v>73</v>
      </c>
      <c r="E158" s="121" t="s">
        <v>252</v>
      </c>
      <c r="F158" s="123">
        <v>35000</v>
      </c>
      <c r="G158" s="123">
        <f>F158*2.87%</f>
        <v>1004.5</v>
      </c>
      <c r="H158" s="90">
        <f>+F158*3.04%</f>
        <v>1064</v>
      </c>
      <c r="I158" s="90"/>
      <c r="J158" s="92">
        <v>25</v>
      </c>
      <c r="K158" s="85">
        <f>SUM(G158:J158)</f>
        <v>2093.5</v>
      </c>
      <c r="L158" s="92">
        <f>+F158-K158</f>
        <v>32906.5</v>
      </c>
    </row>
    <row r="159" spans="1:12" s="56" customFormat="1" ht="30" customHeight="1" x14ac:dyDescent="0.25">
      <c r="A159" s="230" t="s">
        <v>138</v>
      </c>
      <c r="B159" s="231"/>
      <c r="C159" s="231"/>
      <c r="D159" s="231"/>
      <c r="E159" s="232"/>
      <c r="F159" s="40">
        <f>SUM(F157:F158)</f>
        <v>183500</v>
      </c>
      <c r="G159" s="40">
        <f t="shared" ref="G159:L159" si="44">SUM(G157:G158)</f>
        <v>5266.45</v>
      </c>
      <c r="H159" s="40">
        <f t="shared" si="44"/>
        <v>5578.4</v>
      </c>
      <c r="I159" s="40">
        <f t="shared" si="44"/>
        <v>23513.849791666664</v>
      </c>
      <c r="J159" s="40">
        <f t="shared" si="44"/>
        <v>7552.87</v>
      </c>
      <c r="K159" s="40">
        <f t="shared" si="44"/>
        <v>41911.569791666661</v>
      </c>
      <c r="L159" s="40">
        <f t="shared" si="44"/>
        <v>141588.43020833333</v>
      </c>
    </row>
    <row r="160" spans="1:12" s="56" customFormat="1" ht="30" customHeight="1" thickBot="1" x14ac:dyDescent="0.3">
      <c r="A160"/>
      <c r="B160"/>
      <c r="C160" s="152"/>
      <c r="D160"/>
      <c r="E160"/>
      <c r="F160"/>
      <c r="G160"/>
      <c r="H160"/>
      <c r="I160"/>
      <c r="J160"/>
      <c r="K160"/>
      <c r="L160"/>
    </row>
    <row r="161" spans="1:12" s="56" customFormat="1" ht="30" customHeight="1" thickBot="1" x14ac:dyDescent="0.3">
      <c r="A161" s="236" t="s">
        <v>191</v>
      </c>
      <c r="B161" s="237"/>
      <c r="C161" s="237"/>
      <c r="D161" s="237"/>
      <c r="E161" s="237"/>
      <c r="F161" s="237"/>
      <c r="G161" s="237"/>
      <c r="H161" s="237"/>
      <c r="I161" s="237"/>
      <c r="J161" s="237"/>
      <c r="K161" s="237"/>
      <c r="L161" s="238"/>
    </row>
    <row r="162" spans="1:12" s="56" customFormat="1" ht="30" customHeight="1" x14ac:dyDescent="0.25">
      <c r="A162" s="88">
        <f>+A158+1</f>
        <v>84</v>
      </c>
      <c r="B162" s="89" t="s">
        <v>59</v>
      </c>
      <c r="C162" s="88" t="s">
        <v>470</v>
      </c>
      <c r="D162" s="89" t="s">
        <v>57</v>
      </c>
      <c r="E162" s="89" t="s">
        <v>135</v>
      </c>
      <c r="F162" s="90">
        <v>102000</v>
      </c>
      <c r="G162" s="90">
        <f>F162*2.87%</f>
        <v>2927.4</v>
      </c>
      <c r="H162" s="90">
        <f>+F162*3.04%</f>
        <v>3100.8</v>
      </c>
      <c r="I162" s="123">
        <v>12575.887291666668</v>
      </c>
      <c r="J162" s="92">
        <v>25</v>
      </c>
      <c r="K162" s="85">
        <f>SUM(G162:J162)</f>
        <v>18629.08729166667</v>
      </c>
      <c r="L162" s="86">
        <f>+F162-K162</f>
        <v>83370.91270833333</v>
      </c>
    </row>
    <row r="163" spans="1:12" s="34" customFormat="1" ht="30" customHeight="1" x14ac:dyDescent="0.25">
      <c r="A163" s="88">
        <f>+A162+1</f>
        <v>85</v>
      </c>
      <c r="B163" s="121" t="s">
        <v>208</v>
      </c>
      <c r="C163" s="39" t="s">
        <v>470</v>
      </c>
      <c r="D163" s="122" t="s">
        <v>57</v>
      </c>
      <c r="E163" s="121" t="s">
        <v>135</v>
      </c>
      <c r="F163" s="123">
        <v>100000</v>
      </c>
      <c r="G163" s="123">
        <f>F163*2.87%</f>
        <v>2870</v>
      </c>
      <c r="H163" s="90">
        <f>+F163*3.04%</f>
        <v>3040</v>
      </c>
      <c r="I163" s="90">
        <v>11349.21229166667</v>
      </c>
      <c r="J163" s="92">
        <v>3049.9</v>
      </c>
      <c r="K163" s="85">
        <f>SUM(G163:J163)</f>
        <v>20309.112291666672</v>
      </c>
      <c r="L163" s="86">
        <f>+F163-K163</f>
        <v>79690.887708333321</v>
      </c>
    </row>
    <row r="164" spans="1:12" s="42" customFormat="1" ht="30" customHeight="1" x14ac:dyDescent="0.25">
      <c r="A164" s="88">
        <f>+A163+1</f>
        <v>86</v>
      </c>
      <c r="B164" s="121" t="s">
        <v>302</v>
      </c>
      <c r="C164" s="39" t="s">
        <v>470</v>
      </c>
      <c r="D164" s="122" t="s">
        <v>57</v>
      </c>
      <c r="E164" s="121" t="s">
        <v>135</v>
      </c>
      <c r="F164" s="123">
        <v>95000</v>
      </c>
      <c r="G164" s="123">
        <f>F164*2.87%</f>
        <v>2726.5</v>
      </c>
      <c r="H164" s="90">
        <f>+F164*3.04%</f>
        <v>2888</v>
      </c>
      <c r="I164" s="90">
        <v>10929.312291666667</v>
      </c>
      <c r="J164" s="92">
        <v>25</v>
      </c>
      <c r="K164" s="85">
        <f>SUM(G164:J164)</f>
        <v>16568.812291666669</v>
      </c>
      <c r="L164" s="86">
        <f>+F164-K164</f>
        <v>78431.187708333338</v>
      </c>
    </row>
    <row r="165" spans="1:12" s="42" customFormat="1" ht="30" customHeight="1" x14ac:dyDescent="0.25">
      <c r="A165" s="88">
        <f>+A164+1</f>
        <v>87</v>
      </c>
      <c r="B165" s="121" t="s">
        <v>303</v>
      </c>
      <c r="C165" s="39" t="s">
        <v>469</v>
      </c>
      <c r="D165" s="122" t="s">
        <v>57</v>
      </c>
      <c r="E165" s="121" t="s">
        <v>135</v>
      </c>
      <c r="F165" s="123">
        <v>90000</v>
      </c>
      <c r="G165" s="123">
        <f>F165*2.87%</f>
        <v>2583</v>
      </c>
      <c r="H165" s="90">
        <f>F165*3.04%</f>
        <v>2736</v>
      </c>
      <c r="I165" s="123">
        <v>9753.1872916666671</v>
      </c>
      <c r="J165" s="92">
        <v>25</v>
      </c>
      <c r="K165" s="85">
        <f>SUM(G165:J165)</f>
        <v>15097.187291666667</v>
      </c>
      <c r="L165" s="86">
        <f>+F165-K165</f>
        <v>74902.812708333338</v>
      </c>
    </row>
    <row r="166" spans="1:12" s="42" customFormat="1" ht="30" customHeight="1" x14ac:dyDescent="0.25">
      <c r="A166" s="83">
        <f>+A165+1</f>
        <v>88</v>
      </c>
      <c r="B166" s="121" t="s">
        <v>53</v>
      </c>
      <c r="C166" s="39" t="s">
        <v>469</v>
      </c>
      <c r="D166" s="121" t="s">
        <v>57</v>
      </c>
      <c r="E166" s="121" t="s">
        <v>134</v>
      </c>
      <c r="F166" s="123">
        <v>80000</v>
      </c>
      <c r="G166" s="123">
        <f>F166*2.87%</f>
        <v>2296</v>
      </c>
      <c r="H166" s="90">
        <f>+F166*3.04%</f>
        <v>2432</v>
      </c>
      <c r="I166" s="123">
        <v>7022.8247916666687</v>
      </c>
      <c r="J166" s="92">
        <v>1637.45</v>
      </c>
      <c r="K166" s="85">
        <f>SUM(G166:J166)</f>
        <v>13388.27479166667</v>
      </c>
      <c r="L166" s="86">
        <f>+F166-K166</f>
        <v>66611.72520833333</v>
      </c>
    </row>
    <row r="167" spans="1:12" s="42" customFormat="1" ht="30" customHeight="1" x14ac:dyDescent="0.25">
      <c r="A167" s="230" t="s">
        <v>138</v>
      </c>
      <c r="B167" s="231"/>
      <c r="C167" s="231"/>
      <c r="D167" s="231"/>
      <c r="E167" s="232"/>
      <c r="F167" s="40">
        <f>SUM(F162:F166)</f>
        <v>467000</v>
      </c>
      <c r="G167" s="40">
        <f t="shared" ref="G167:L167" si="45">SUM(G162:G166)</f>
        <v>13402.9</v>
      </c>
      <c r="H167" s="40">
        <f t="shared" si="45"/>
        <v>14196.8</v>
      </c>
      <c r="I167" s="40">
        <f t="shared" si="45"/>
        <v>51630.42395833334</v>
      </c>
      <c r="J167" s="40">
        <f t="shared" si="45"/>
        <v>4762.3500000000004</v>
      </c>
      <c r="K167" s="40">
        <f t="shared" si="45"/>
        <v>83992.473958333343</v>
      </c>
      <c r="L167" s="40">
        <f t="shared" si="45"/>
        <v>383007.52604166669</v>
      </c>
    </row>
    <row r="168" spans="1:12" s="56" customFormat="1" ht="30" customHeight="1" thickBot="1" x14ac:dyDescent="0.3">
      <c r="A168" s="42"/>
      <c r="B168" s="42"/>
      <c r="C168" s="44"/>
      <c r="D168" s="42"/>
      <c r="E168" s="42"/>
      <c r="F168" s="42"/>
      <c r="G168" s="42"/>
      <c r="H168" s="42"/>
      <c r="I168" s="42"/>
      <c r="J168" s="42"/>
      <c r="K168" s="42"/>
      <c r="L168" s="42"/>
    </row>
    <row r="169" spans="1:12" s="42" customFormat="1" ht="30" customHeight="1" thickBot="1" x14ac:dyDescent="0.3">
      <c r="A169" s="233" t="s">
        <v>316</v>
      </c>
      <c r="B169" s="234"/>
      <c r="C169" s="234"/>
      <c r="D169" s="234"/>
      <c r="E169" s="234"/>
      <c r="F169" s="234"/>
      <c r="G169" s="234"/>
      <c r="H169" s="234"/>
      <c r="I169" s="234"/>
      <c r="J169" s="234"/>
      <c r="K169" s="234"/>
      <c r="L169" s="235"/>
    </row>
    <row r="170" spans="1:12" s="42" customFormat="1" ht="30" customHeight="1" thickBot="1" x14ac:dyDescent="0.3">
      <c r="A170" s="233" t="s">
        <v>317</v>
      </c>
      <c r="B170" s="234"/>
      <c r="C170" s="234"/>
      <c r="D170" s="234"/>
      <c r="E170" s="234"/>
      <c r="F170" s="234"/>
      <c r="G170" s="234"/>
      <c r="H170" s="234"/>
      <c r="I170" s="234"/>
      <c r="J170" s="234"/>
      <c r="K170" s="234"/>
      <c r="L170" s="235"/>
    </row>
    <row r="171" spans="1:12" s="50" customFormat="1" ht="24" customHeight="1" x14ac:dyDescent="0.25">
      <c r="A171" s="88">
        <f>A166+1</f>
        <v>89</v>
      </c>
      <c r="B171" s="121" t="s">
        <v>305</v>
      </c>
      <c r="C171" s="39" t="s">
        <v>470</v>
      </c>
      <c r="D171" s="140" t="s">
        <v>304</v>
      </c>
      <c r="E171" s="121" t="s">
        <v>134</v>
      </c>
      <c r="F171" s="123">
        <v>90000</v>
      </c>
      <c r="G171" s="123">
        <f>F171*2.87%</f>
        <v>2583</v>
      </c>
      <c r="H171" s="90">
        <f>+F171*3.04%</f>
        <v>2736</v>
      </c>
      <c r="I171" s="123">
        <v>9753.1200000000008</v>
      </c>
      <c r="J171" s="92">
        <v>25</v>
      </c>
      <c r="K171" s="85">
        <f>SUM(G171:J171)</f>
        <v>15097.12</v>
      </c>
      <c r="L171" s="92">
        <f>+F171-K171</f>
        <v>74902.880000000005</v>
      </c>
    </row>
    <row r="172" spans="1:12" s="56" customFormat="1" ht="30" customHeight="1" x14ac:dyDescent="0.25">
      <c r="A172" s="230" t="s">
        <v>138</v>
      </c>
      <c r="B172" s="231"/>
      <c r="C172" s="231"/>
      <c r="D172" s="231"/>
      <c r="E172" s="232"/>
      <c r="F172" s="40">
        <f t="shared" ref="F172:L172" si="46">SUM(F171:F171)</f>
        <v>90000</v>
      </c>
      <c r="G172" s="40">
        <f t="shared" si="46"/>
        <v>2583</v>
      </c>
      <c r="H172" s="40">
        <f t="shared" si="46"/>
        <v>2736</v>
      </c>
      <c r="I172" s="40">
        <f t="shared" si="46"/>
        <v>9753.1200000000008</v>
      </c>
      <c r="J172" s="40">
        <f t="shared" si="46"/>
        <v>25</v>
      </c>
      <c r="K172" s="40">
        <f t="shared" si="46"/>
        <v>15097.12</v>
      </c>
      <c r="L172" s="40">
        <f t="shared" si="46"/>
        <v>74902.880000000005</v>
      </c>
    </row>
    <row r="173" spans="1:12" s="42" customFormat="1" ht="30" customHeight="1" thickBot="1" x14ac:dyDescent="0.3">
      <c r="C173" s="44"/>
    </row>
    <row r="174" spans="1:12" s="42" customFormat="1" ht="24" customHeight="1" thickBot="1" x14ac:dyDescent="0.3">
      <c r="A174" s="233" t="s">
        <v>102</v>
      </c>
      <c r="B174" s="234"/>
      <c r="C174" s="234"/>
      <c r="D174" s="234"/>
      <c r="E174" s="234"/>
      <c r="F174" s="234"/>
      <c r="G174" s="234"/>
      <c r="H174" s="234"/>
      <c r="I174" s="234"/>
      <c r="J174" s="234"/>
      <c r="K174" s="234"/>
      <c r="L174" s="235"/>
    </row>
    <row r="175" spans="1:12" s="56" customFormat="1" ht="39" customHeight="1" x14ac:dyDescent="0.25">
      <c r="A175" s="88">
        <f>+A171+1</f>
        <v>90</v>
      </c>
      <c r="B175" s="121" t="s">
        <v>84</v>
      </c>
      <c r="C175" s="39" t="s">
        <v>469</v>
      </c>
      <c r="D175" s="140" t="s">
        <v>610</v>
      </c>
      <c r="E175" s="121" t="s">
        <v>134</v>
      </c>
      <c r="F175" s="120">
        <v>80000</v>
      </c>
      <c r="G175" s="85">
        <f>F175*2.87%</f>
        <v>2296</v>
      </c>
      <c r="H175" s="85">
        <f>+F175*3.04%</f>
        <v>2432</v>
      </c>
      <c r="I175" s="123">
        <v>7400.87</v>
      </c>
      <c r="J175" s="92">
        <v>125</v>
      </c>
      <c r="K175" s="85">
        <f>SUM(G175:J175)</f>
        <v>12253.869999999999</v>
      </c>
      <c r="L175" s="92">
        <f>+F175-K175</f>
        <v>67746.13</v>
      </c>
    </row>
    <row r="176" spans="1:12" s="56" customFormat="1" ht="30" customHeight="1" thickBot="1" x14ac:dyDescent="0.3">
      <c r="A176" s="230" t="s">
        <v>138</v>
      </c>
      <c r="B176" s="231"/>
      <c r="C176" s="231"/>
      <c r="D176" s="231"/>
      <c r="E176" s="232"/>
      <c r="F176" s="40">
        <f t="shared" ref="F176:L176" si="47">SUM(F175:F175)</f>
        <v>80000</v>
      </c>
      <c r="G176" s="40">
        <f t="shared" si="47"/>
        <v>2296</v>
      </c>
      <c r="H176" s="40">
        <f t="shared" si="47"/>
        <v>2432</v>
      </c>
      <c r="I176" s="40">
        <f t="shared" si="47"/>
        <v>7400.87</v>
      </c>
      <c r="J176" s="40">
        <f t="shared" si="47"/>
        <v>125</v>
      </c>
      <c r="K176" s="40">
        <f t="shared" si="47"/>
        <v>12253.869999999999</v>
      </c>
      <c r="L176" s="40">
        <f t="shared" si="47"/>
        <v>67746.13</v>
      </c>
    </row>
    <row r="177" spans="1:12" s="56" customFormat="1" ht="30" customHeight="1" thickBot="1" x14ac:dyDescent="0.3">
      <c r="A177" s="233" t="s">
        <v>103</v>
      </c>
      <c r="B177" s="234"/>
      <c r="C177" s="234"/>
      <c r="D177" s="234"/>
      <c r="E177" s="234"/>
      <c r="F177" s="234"/>
      <c r="G177" s="234"/>
      <c r="H177" s="234"/>
      <c r="I177" s="234"/>
      <c r="J177" s="234"/>
      <c r="K177" s="234"/>
      <c r="L177" s="235"/>
    </row>
    <row r="178" spans="1:12" s="42" customFormat="1" ht="30" customHeight="1" x14ac:dyDescent="0.25">
      <c r="A178" s="83">
        <f>+A175+1</f>
        <v>91</v>
      </c>
      <c r="B178" s="126" t="s">
        <v>306</v>
      </c>
      <c r="C178" s="136" t="s">
        <v>470</v>
      </c>
      <c r="D178" s="137" t="s">
        <v>519</v>
      </c>
      <c r="E178" s="121" t="s">
        <v>135</v>
      </c>
      <c r="F178" s="120">
        <v>170500</v>
      </c>
      <c r="G178" s="90">
        <v>4893.3500000000004</v>
      </c>
      <c r="H178" s="90">
        <v>4943.8</v>
      </c>
      <c r="I178" s="123">
        <v>28370.537291666664</v>
      </c>
      <c r="J178" s="92">
        <v>1537.45</v>
      </c>
      <c r="K178" s="85">
        <f>SUM(G178:J178)</f>
        <v>39745.137291666659</v>
      </c>
      <c r="L178" s="92">
        <f>+F178-K178</f>
        <v>130754.86270833334</v>
      </c>
    </row>
    <row r="179" spans="1:12" s="42" customFormat="1" ht="25.5" customHeight="1" x14ac:dyDescent="0.25">
      <c r="A179" s="83">
        <f>+A178+1</f>
        <v>92</v>
      </c>
      <c r="B179" s="126" t="s">
        <v>14</v>
      </c>
      <c r="C179" s="136" t="s">
        <v>470</v>
      </c>
      <c r="D179" s="164" t="s">
        <v>119</v>
      </c>
      <c r="E179" s="126" t="s">
        <v>216</v>
      </c>
      <c r="F179" s="120">
        <v>135000</v>
      </c>
      <c r="G179" s="120">
        <f>F179*2.87%</f>
        <v>3874.5</v>
      </c>
      <c r="H179" s="120">
        <f>+F179*3.04%</f>
        <v>4104</v>
      </c>
      <c r="I179" s="120">
        <v>20338.312291666665</v>
      </c>
      <c r="J179" s="124">
        <v>25</v>
      </c>
      <c r="K179" s="120">
        <f>SUM(G179:J179)</f>
        <v>28341.812291666665</v>
      </c>
      <c r="L179" s="124">
        <f>+F179-K179</f>
        <v>106658.18770833334</v>
      </c>
    </row>
    <row r="180" spans="1:12" s="56" customFormat="1" ht="30" customHeight="1" x14ac:dyDescent="0.25">
      <c r="A180" s="230" t="s">
        <v>138</v>
      </c>
      <c r="B180" s="231"/>
      <c r="C180" s="231"/>
      <c r="D180" s="231"/>
      <c r="E180" s="232"/>
      <c r="F180" s="40">
        <f>SUM(F178:F179)</f>
        <v>305500</v>
      </c>
      <c r="G180" s="40">
        <f t="shared" ref="G180:L180" si="48">SUM(G178:G179)</f>
        <v>8767.85</v>
      </c>
      <c r="H180" s="40">
        <f t="shared" si="48"/>
        <v>9047.7999999999993</v>
      </c>
      <c r="I180" s="40">
        <f t="shared" si="48"/>
        <v>48708.849583333329</v>
      </c>
      <c r="J180" s="40">
        <f t="shared" si="48"/>
        <v>1562.45</v>
      </c>
      <c r="K180" s="40">
        <f t="shared" si="48"/>
        <v>68086.94958333332</v>
      </c>
      <c r="L180" s="40">
        <f t="shared" si="48"/>
        <v>237413.05041666667</v>
      </c>
    </row>
    <row r="181" spans="1:12" s="56" customFormat="1" ht="30" customHeight="1" thickBot="1" x14ac:dyDescent="0.3">
      <c r="A181" s="53"/>
      <c r="B181" s="53"/>
      <c r="C181" s="53"/>
      <c r="D181" s="53"/>
      <c r="E181" s="53"/>
      <c r="F181"/>
      <c r="G181"/>
      <c r="H181"/>
      <c r="I181"/>
      <c r="J181"/>
      <c r="K181"/>
      <c r="L181"/>
    </row>
    <row r="182" spans="1:12" s="56" customFormat="1" ht="30" customHeight="1" thickBot="1" x14ac:dyDescent="0.3">
      <c r="A182" s="233" t="s">
        <v>315</v>
      </c>
      <c r="B182" s="234"/>
      <c r="C182" s="234"/>
      <c r="D182" s="234"/>
      <c r="E182" s="234"/>
      <c r="F182" s="234"/>
      <c r="G182" s="234"/>
      <c r="H182" s="234"/>
      <c r="I182" s="234"/>
      <c r="J182" s="234"/>
      <c r="K182" s="234"/>
      <c r="L182" s="235"/>
    </row>
    <row r="183" spans="1:12" s="56" customFormat="1" ht="30" customHeight="1" x14ac:dyDescent="0.25">
      <c r="A183" s="83">
        <f>+A179+1</f>
        <v>93</v>
      </c>
      <c r="B183" s="121" t="s">
        <v>15</v>
      </c>
      <c r="C183" s="136" t="s">
        <v>470</v>
      </c>
      <c r="D183" s="137" t="s">
        <v>643</v>
      </c>
      <c r="E183" s="121" t="s">
        <v>134</v>
      </c>
      <c r="F183" s="123">
        <v>110000</v>
      </c>
      <c r="G183" s="123">
        <f>F183*2.87%</f>
        <v>3157</v>
      </c>
      <c r="H183" s="90">
        <f>+F183*3.04%</f>
        <v>3344</v>
      </c>
      <c r="I183" s="123">
        <v>14457.687291666667</v>
      </c>
      <c r="J183" s="86">
        <v>25</v>
      </c>
      <c r="K183" s="85">
        <f>SUM(G183:J183)</f>
        <v>20983.687291666669</v>
      </c>
      <c r="L183" s="86">
        <f>+F183-K183</f>
        <v>89016.312708333338</v>
      </c>
    </row>
    <row r="184" spans="1:12" s="42" customFormat="1" ht="30" customHeight="1" x14ac:dyDescent="0.25">
      <c r="A184" s="83">
        <f>+A183+1</f>
        <v>94</v>
      </c>
      <c r="B184" s="89" t="s">
        <v>65</v>
      </c>
      <c r="C184" s="88" t="s">
        <v>470</v>
      </c>
      <c r="D184" s="93" t="s">
        <v>641</v>
      </c>
      <c r="E184" s="89" t="s">
        <v>134</v>
      </c>
      <c r="F184" s="90">
        <v>115000</v>
      </c>
      <c r="G184" s="90">
        <f>F184*2.87%</f>
        <v>3300.5</v>
      </c>
      <c r="H184" s="90">
        <f>+F184*3.04%</f>
        <v>3496</v>
      </c>
      <c r="I184" s="90">
        <v>15255.7</v>
      </c>
      <c r="J184" s="92">
        <v>1537.45</v>
      </c>
      <c r="K184" s="85">
        <f>SUM(G184:J184)</f>
        <v>23589.65</v>
      </c>
      <c r="L184" s="86">
        <f>+F184-K184</f>
        <v>91410.35</v>
      </c>
    </row>
    <row r="185" spans="1:12" s="42" customFormat="1" ht="33" customHeight="1" x14ac:dyDescent="0.25">
      <c r="A185" s="83">
        <f t="shared" ref="A185:A187" si="49">+A184+1</f>
        <v>95</v>
      </c>
      <c r="B185" s="89" t="s">
        <v>275</v>
      </c>
      <c r="C185" s="88" t="s">
        <v>470</v>
      </c>
      <c r="D185" s="93" t="s">
        <v>57</v>
      </c>
      <c r="E185" s="89" t="s">
        <v>134</v>
      </c>
      <c r="F185" s="90">
        <v>85000</v>
      </c>
      <c r="G185" s="90">
        <f>F185*2.87%</f>
        <v>2439.5</v>
      </c>
      <c r="H185" s="90">
        <f>+F185*3.04%</f>
        <v>2584</v>
      </c>
      <c r="I185" s="90">
        <v>8577.0622916666671</v>
      </c>
      <c r="J185" s="92">
        <v>3120</v>
      </c>
      <c r="K185" s="85">
        <f>SUM(G185:J185)</f>
        <v>16720.562291666669</v>
      </c>
      <c r="L185" s="86">
        <f>+F185-K185</f>
        <v>68279.437708333338</v>
      </c>
    </row>
    <row r="186" spans="1:12" s="56" customFormat="1" ht="30" customHeight="1" x14ac:dyDescent="0.25">
      <c r="A186" s="83">
        <f t="shared" si="49"/>
        <v>96</v>
      </c>
      <c r="B186" s="190" t="s">
        <v>311</v>
      </c>
      <c r="C186" s="191" t="s">
        <v>470</v>
      </c>
      <c r="D186" s="122" t="s">
        <v>310</v>
      </c>
      <c r="E186" s="192" t="s">
        <v>135</v>
      </c>
      <c r="F186" s="123">
        <v>80000</v>
      </c>
      <c r="G186" s="123">
        <f>F186*2.87%</f>
        <v>2296</v>
      </c>
      <c r="H186" s="90">
        <f>+F186*3.04%</f>
        <v>2432</v>
      </c>
      <c r="I186" s="90">
        <v>7400.9372916666662</v>
      </c>
      <c r="J186" s="92">
        <v>25</v>
      </c>
      <c r="K186" s="85">
        <f>SUM(G186:J186)</f>
        <v>12153.937291666665</v>
      </c>
      <c r="L186" s="86">
        <f>+F186-K186</f>
        <v>67846.062708333338</v>
      </c>
    </row>
    <row r="187" spans="1:12" s="42" customFormat="1" ht="27" customHeight="1" x14ac:dyDescent="0.25">
      <c r="A187" s="83">
        <f t="shared" si="49"/>
        <v>97</v>
      </c>
      <c r="B187" s="121" t="s">
        <v>308</v>
      </c>
      <c r="C187" s="39" t="s">
        <v>470</v>
      </c>
      <c r="D187" s="121" t="s">
        <v>73</v>
      </c>
      <c r="E187" s="121" t="s">
        <v>135</v>
      </c>
      <c r="F187" s="123">
        <v>50000</v>
      </c>
      <c r="G187" s="90">
        <f>F187*2.87%</f>
        <v>1435</v>
      </c>
      <c r="H187" s="90">
        <f>+F187*3.04%</f>
        <v>1520</v>
      </c>
      <c r="I187" s="90">
        <v>1627.132375000001</v>
      </c>
      <c r="J187" s="86">
        <f>11430.76+100+25+1512.45</f>
        <v>13068.210000000001</v>
      </c>
      <c r="K187" s="85">
        <f>SUM(G187:J187)</f>
        <v>17650.342375</v>
      </c>
      <c r="L187" s="92">
        <f>+F187-K187</f>
        <v>32349.657625</v>
      </c>
    </row>
    <row r="188" spans="1:12" s="56" customFormat="1" ht="30" customHeight="1" x14ac:dyDescent="0.25">
      <c r="A188" s="230" t="s">
        <v>138</v>
      </c>
      <c r="B188" s="231"/>
      <c r="C188" s="231"/>
      <c r="D188" s="231"/>
      <c r="E188" s="232"/>
      <c r="F188" s="40">
        <f>SUM(F183:F187)</f>
        <v>440000</v>
      </c>
      <c r="G188" s="40">
        <f t="shared" ref="G188:K188" si="50">SUM(G183:G187)</f>
        <v>12628</v>
      </c>
      <c r="H188" s="40">
        <f t="shared" si="50"/>
        <v>13376</v>
      </c>
      <c r="I188" s="40">
        <f t="shared" si="50"/>
        <v>47318.519250000005</v>
      </c>
      <c r="J188" s="40">
        <f t="shared" si="50"/>
        <v>17775.66</v>
      </c>
      <c r="K188" s="40">
        <f t="shared" si="50"/>
        <v>91098.179250000016</v>
      </c>
      <c r="L188" s="40">
        <f>SUM(L183:L187)</f>
        <v>348901.82075000001</v>
      </c>
    </row>
    <row r="189" spans="1:12" s="95" customFormat="1" ht="30" customHeight="1" thickBot="1" x14ac:dyDescent="0.3">
      <c r="A189" s="44"/>
      <c r="B189" s="51"/>
      <c r="C189" s="155"/>
      <c r="D189" s="51"/>
      <c r="E189" s="51"/>
      <c r="F189" s="52"/>
      <c r="G189" s="42"/>
      <c r="H189" s="42"/>
      <c r="I189" s="42"/>
      <c r="J189" s="42"/>
      <c r="K189" s="42"/>
      <c r="L189" s="42"/>
    </row>
    <row r="190" spans="1:12" s="56" customFormat="1" ht="30" customHeight="1" thickBot="1" x14ac:dyDescent="0.3">
      <c r="A190" s="233" t="s">
        <v>104</v>
      </c>
      <c r="B190" s="234"/>
      <c r="C190" s="234"/>
      <c r="D190" s="234"/>
      <c r="E190" s="234"/>
      <c r="F190" s="234"/>
      <c r="G190" s="234"/>
      <c r="H190" s="234"/>
      <c r="I190" s="234"/>
      <c r="J190" s="234"/>
      <c r="K190" s="234"/>
      <c r="L190" s="235"/>
    </row>
    <row r="191" spans="1:12" s="95" customFormat="1" ht="30" customHeight="1" x14ac:dyDescent="0.25">
      <c r="A191" s="88">
        <f>+A186+1</f>
        <v>97</v>
      </c>
      <c r="B191" s="121" t="s">
        <v>82</v>
      </c>
      <c r="C191" s="39" t="s">
        <v>469</v>
      </c>
      <c r="D191" s="122" t="s">
        <v>312</v>
      </c>
      <c r="E191" s="121" t="s">
        <v>135</v>
      </c>
      <c r="F191" s="123">
        <v>90000</v>
      </c>
      <c r="G191" s="90">
        <f t="shared" ref="G191:G195" si="51">F191*2.87%</f>
        <v>2583</v>
      </c>
      <c r="H191" s="90">
        <f t="shared" ref="H191:H195" si="52">+F191*3.04%</f>
        <v>2736</v>
      </c>
      <c r="I191" s="123">
        <v>9375.0747916666678</v>
      </c>
      <c r="J191" s="92">
        <v>1537.45</v>
      </c>
      <c r="K191" s="85">
        <f t="shared" ref="K191:K195" si="53">SUM(G191:J191)</f>
        <v>16231.524791666669</v>
      </c>
      <c r="L191" s="86">
        <f t="shared" ref="L191:L195" si="54">+F191-K191</f>
        <v>73768.47520833333</v>
      </c>
    </row>
    <row r="192" spans="1:12" s="42" customFormat="1" ht="30" customHeight="1" x14ac:dyDescent="0.25">
      <c r="A192" s="88">
        <f t="shared" ref="A192:A196" si="55">+A191+1</f>
        <v>98</v>
      </c>
      <c r="B192" s="126" t="s">
        <v>81</v>
      </c>
      <c r="C192" s="136" t="s">
        <v>470</v>
      </c>
      <c r="D192" s="137" t="s">
        <v>312</v>
      </c>
      <c r="E192" s="126" t="s">
        <v>134</v>
      </c>
      <c r="F192" s="123">
        <v>90000</v>
      </c>
      <c r="G192" s="90">
        <f t="shared" si="51"/>
        <v>2583</v>
      </c>
      <c r="H192" s="90">
        <f t="shared" si="52"/>
        <v>2736</v>
      </c>
      <c r="I192" s="123">
        <v>9753.1872916666671</v>
      </c>
      <c r="J192" s="86">
        <v>3025</v>
      </c>
      <c r="K192" s="85">
        <f t="shared" si="53"/>
        <v>18097.187291666669</v>
      </c>
      <c r="L192" s="86">
        <f t="shared" si="54"/>
        <v>71902.812708333338</v>
      </c>
    </row>
    <row r="193" spans="1:12" s="56" customFormat="1" ht="30" customHeight="1" x14ac:dyDescent="0.25">
      <c r="A193" s="88">
        <f t="shared" si="55"/>
        <v>99</v>
      </c>
      <c r="B193" s="121" t="s">
        <v>96</v>
      </c>
      <c r="C193" s="39" t="s">
        <v>470</v>
      </c>
      <c r="D193" s="122" t="s">
        <v>312</v>
      </c>
      <c r="E193" s="121" t="s">
        <v>134</v>
      </c>
      <c r="F193" s="123">
        <v>80000</v>
      </c>
      <c r="G193" s="90">
        <f t="shared" si="51"/>
        <v>2296</v>
      </c>
      <c r="H193" s="90">
        <f t="shared" si="52"/>
        <v>2432</v>
      </c>
      <c r="I193" s="123">
        <v>7400.9372916666662</v>
      </c>
      <c r="J193" s="92">
        <v>25</v>
      </c>
      <c r="K193" s="85">
        <f t="shared" si="53"/>
        <v>12153.937291666665</v>
      </c>
      <c r="L193" s="86">
        <f t="shared" si="54"/>
        <v>67846.062708333338</v>
      </c>
    </row>
    <row r="194" spans="1:12" s="42" customFormat="1" ht="31.5" customHeight="1" x14ac:dyDescent="0.25">
      <c r="A194" s="88">
        <f>+A193+1</f>
        <v>100</v>
      </c>
      <c r="B194" s="121" t="s">
        <v>80</v>
      </c>
      <c r="C194" s="39" t="s">
        <v>470</v>
      </c>
      <c r="D194" s="122" t="s">
        <v>312</v>
      </c>
      <c r="E194" s="121" t="s">
        <v>134</v>
      </c>
      <c r="F194" s="123">
        <v>90000</v>
      </c>
      <c r="G194" s="90">
        <f t="shared" si="51"/>
        <v>2583</v>
      </c>
      <c r="H194" s="90">
        <f t="shared" si="52"/>
        <v>2736</v>
      </c>
      <c r="I194" s="123">
        <v>9753.1872916666671</v>
      </c>
      <c r="J194" s="92">
        <v>2025</v>
      </c>
      <c r="K194" s="85">
        <f t="shared" si="53"/>
        <v>17097.187291666669</v>
      </c>
      <c r="L194" s="86">
        <f t="shared" si="54"/>
        <v>72902.812708333338</v>
      </c>
    </row>
    <row r="195" spans="1:12" s="42" customFormat="1" ht="33" customHeight="1" x14ac:dyDescent="0.25">
      <c r="A195" s="88">
        <f t="shared" si="55"/>
        <v>101</v>
      </c>
      <c r="B195" s="121" t="s">
        <v>286</v>
      </c>
      <c r="C195" s="39" t="s">
        <v>470</v>
      </c>
      <c r="D195" s="122" t="s">
        <v>312</v>
      </c>
      <c r="E195" s="121" t="s">
        <v>134</v>
      </c>
      <c r="F195" s="123">
        <v>80000</v>
      </c>
      <c r="G195" s="90">
        <f t="shared" si="51"/>
        <v>2296</v>
      </c>
      <c r="H195" s="90">
        <f t="shared" si="52"/>
        <v>2432</v>
      </c>
      <c r="I195" s="123">
        <v>7400.9372916666662</v>
      </c>
      <c r="J195" s="92">
        <v>25</v>
      </c>
      <c r="K195" s="85">
        <f t="shared" si="53"/>
        <v>12153.937291666665</v>
      </c>
      <c r="L195" s="86">
        <f t="shared" si="54"/>
        <v>67846.062708333338</v>
      </c>
    </row>
    <row r="196" spans="1:12" s="56" customFormat="1" ht="30" customHeight="1" x14ac:dyDescent="0.25">
      <c r="A196" s="83">
        <f t="shared" si="55"/>
        <v>102</v>
      </c>
      <c r="B196" s="188" t="s">
        <v>309</v>
      </c>
      <c r="C196" s="189" t="s">
        <v>470</v>
      </c>
      <c r="D196" s="122" t="s">
        <v>312</v>
      </c>
      <c r="E196" s="121" t="s">
        <v>134</v>
      </c>
      <c r="F196" s="123">
        <v>80000</v>
      </c>
      <c r="G196" s="123">
        <f>F196*2.87%</f>
        <v>2296</v>
      </c>
      <c r="H196" s="90">
        <f>+F196*3.04%</f>
        <v>2432</v>
      </c>
      <c r="I196" s="125">
        <v>6645.2698333333346</v>
      </c>
      <c r="J196" s="92">
        <v>3049.9</v>
      </c>
      <c r="K196" s="85">
        <f>SUM(G196:J196)</f>
        <v>14423.169833333335</v>
      </c>
      <c r="L196" s="86">
        <f>+F196-K196</f>
        <v>65576.830166666667</v>
      </c>
    </row>
    <row r="197" spans="1:12" s="42" customFormat="1" ht="30" customHeight="1" x14ac:dyDescent="0.25">
      <c r="A197" s="136">
        <v>105</v>
      </c>
      <c r="B197" s="121" t="s">
        <v>151</v>
      </c>
      <c r="C197" s="39" t="s">
        <v>470</v>
      </c>
      <c r="D197" s="121" t="s">
        <v>73</v>
      </c>
      <c r="E197" s="121" t="s">
        <v>252</v>
      </c>
      <c r="F197" s="123">
        <v>45000</v>
      </c>
      <c r="G197" s="123">
        <f>F197*2.87%</f>
        <v>1291.5</v>
      </c>
      <c r="H197" s="123">
        <f>+F197*3.04%</f>
        <v>1368</v>
      </c>
      <c r="I197" s="123">
        <v>1148.33</v>
      </c>
      <c r="J197" s="124">
        <v>25</v>
      </c>
      <c r="K197" s="120">
        <f>SUM(G197:J197)</f>
        <v>3832.83</v>
      </c>
      <c r="L197" s="124">
        <f>+F197-K197</f>
        <v>41167.17</v>
      </c>
    </row>
    <row r="198" spans="1:12" s="42" customFormat="1" ht="37.5" customHeight="1" x14ac:dyDescent="0.25">
      <c r="A198" s="230" t="s">
        <v>138</v>
      </c>
      <c r="B198" s="231"/>
      <c r="C198" s="231"/>
      <c r="D198" s="231"/>
      <c r="E198" s="232"/>
      <c r="F198" s="40">
        <f>SUM(F191:F197)</f>
        <v>555000</v>
      </c>
      <c r="G198" s="40">
        <f t="shared" ref="G198:L198" si="56">SUM(G191:G197)</f>
        <v>15928.5</v>
      </c>
      <c r="H198" s="40">
        <f t="shared" si="56"/>
        <v>16872</v>
      </c>
      <c r="I198" s="40">
        <f t="shared" si="56"/>
        <v>51476.923791666668</v>
      </c>
      <c r="J198" s="40">
        <f t="shared" si="56"/>
        <v>9712.35</v>
      </c>
      <c r="K198" s="40">
        <f t="shared" si="56"/>
        <v>93989.773791666681</v>
      </c>
      <c r="L198" s="40">
        <f t="shared" si="56"/>
        <v>461010.22620833333</v>
      </c>
    </row>
    <row r="199" spans="1:12" s="42" customFormat="1" ht="28.5" customHeight="1" thickBot="1" x14ac:dyDescent="0.3">
      <c r="A199" s="53"/>
      <c r="B199" s="53"/>
      <c r="C199" s="53"/>
      <c r="D199" s="53"/>
      <c r="E199" s="53"/>
      <c r="F199"/>
      <c r="G199"/>
      <c r="H199"/>
      <c r="I199"/>
      <c r="J199"/>
      <c r="K199"/>
      <c r="L199"/>
    </row>
    <row r="200" spans="1:12" s="42" customFormat="1" ht="30" customHeight="1" thickBot="1" x14ac:dyDescent="0.3">
      <c r="A200" s="233" t="s">
        <v>224</v>
      </c>
      <c r="B200" s="234"/>
      <c r="C200" s="234"/>
      <c r="D200" s="234"/>
      <c r="E200" s="234"/>
      <c r="F200" s="234"/>
      <c r="G200" s="234"/>
      <c r="H200" s="234"/>
      <c r="I200" s="234"/>
      <c r="J200" s="234"/>
      <c r="K200" s="234"/>
      <c r="L200" s="235"/>
    </row>
    <row r="201" spans="1:12" s="56" customFormat="1" ht="30" customHeight="1" x14ac:dyDescent="0.25">
      <c r="A201" s="136">
        <f>+A196+1</f>
        <v>103</v>
      </c>
      <c r="B201" s="126" t="s">
        <v>200</v>
      </c>
      <c r="C201" s="136" t="s">
        <v>470</v>
      </c>
      <c r="D201" s="126" t="s">
        <v>314</v>
      </c>
      <c r="E201" s="126" t="s">
        <v>134</v>
      </c>
      <c r="F201" s="150">
        <v>42000</v>
      </c>
      <c r="G201" s="85">
        <f>F201*2.87%</f>
        <v>1205.4000000000001</v>
      </c>
      <c r="H201" s="85">
        <f>+F201*3.04%</f>
        <v>1276.8</v>
      </c>
      <c r="I201" s="151">
        <v>724.92</v>
      </c>
      <c r="J201" s="86">
        <v>11290.95</v>
      </c>
      <c r="K201" s="85">
        <f>SUM(G201:J201)</f>
        <v>14498.07</v>
      </c>
      <c r="L201" s="86">
        <f>+F201-K201</f>
        <v>27501.93</v>
      </c>
    </row>
    <row r="202" spans="1:12" s="42" customFormat="1" ht="30" customHeight="1" x14ac:dyDescent="0.25">
      <c r="A202" s="230" t="s">
        <v>138</v>
      </c>
      <c r="B202" s="231"/>
      <c r="C202" s="231"/>
      <c r="D202" s="231"/>
      <c r="E202" s="232"/>
      <c r="F202" s="40">
        <f t="shared" ref="F202:L202" si="57">+F201</f>
        <v>42000</v>
      </c>
      <c r="G202" s="40">
        <f t="shared" si="57"/>
        <v>1205.4000000000001</v>
      </c>
      <c r="H202" s="40">
        <f t="shared" si="57"/>
        <v>1276.8</v>
      </c>
      <c r="I202" s="40">
        <f t="shared" si="57"/>
        <v>724.92</v>
      </c>
      <c r="J202" s="40">
        <f t="shared" si="57"/>
        <v>11290.95</v>
      </c>
      <c r="K202" s="40">
        <f t="shared" si="57"/>
        <v>14498.07</v>
      </c>
      <c r="L202" s="40">
        <f t="shared" si="57"/>
        <v>27501.93</v>
      </c>
    </row>
    <row r="203" spans="1:12" s="42" customFormat="1" ht="30" customHeight="1" thickBot="1" x14ac:dyDescent="0.3">
      <c r="A203" s="53"/>
      <c r="B203" s="53"/>
      <c r="C203" s="53"/>
      <c r="D203" s="53"/>
      <c r="E203" s="53"/>
      <c r="F203" s="67"/>
      <c r="G203"/>
      <c r="H203"/>
      <c r="I203"/>
      <c r="J203"/>
      <c r="K203"/>
      <c r="L203"/>
    </row>
    <row r="204" spans="1:12" s="56" customFormat="1" ht="30" customHeight="1" thickBot="1" x14ac:dyDescent="0.3">
      <c r="A204" s="233" t="s">
        <v>318</v>
      </c>
      <c r="B204" s="234"/>
      <c r="C204" s="234"/>
      <c r="D204" s="234"/>
      <c r="E204" s="234"/>
      <c r="F204" s="234"/>
      <c r="G204" s="234"/>
      <c r="H204" s="234"/>
      <c r="I204" s="234"/>
      <c r="J204" s="234"/>
      <c r="K204" s="234"/>
      <c r="L204" s="235"/>
    </row>
    <row r="205" spans="1:12" s="87" customFormat="1" ht="30" customHeight="1" x14ac:dyDescent="0.25">
      <c r="A205" s="83">
        <f>+A201+1</f>
        <v>104</v>
      </c>
      <c r="B205" s="126" t="s">
        <v>11</v>
      </c>
      <c r="C205" s="136" t="s">
        <v>470</v>
      </c>
      <c r="D205" s="137" t="s">
        <v>124</v>
      </c>
      <c r="E205" s="126" t="s">
        <v>134</v>
      </c>
      <c r="F205" s="120">
        <v>190000</v>
      </c>
      <c r="G205" s="120">
        <f>F205*2.87%</f>
        <v>5453</v>
      </c>
      <c r="H205" s="85">
        <f>162625*3.04%</f>
        <v>4943.8</v>
      </c>
      <c r="I205" s="85">
        <v>33483.67</v>
      </c>
      <c r="J205" s="86">
        <v>25</v>
      </c>
      <c r="K205" s="85">
        <f>SUM(G205:J205)</f>
        <v>43905.47</v>
      </c>
      <c r="L205" s="86">
        <f>+F205-K205</f>
        <v>146094.53</v>
      </c>
    </row>
    <row r="206" spans="1:12" s="42" customFormat="1" ht="30" customHeight="1" thickBot="1" x14ac:dyDescent="0.3">
      <c r="A206" s="230" t="s">
        <v>138</v>
      </c>
      <c r="B206" s="231"/>
      <c r="C206" s="231"/>
      <c r="D206" s="231"/>
      <c r="E206" s="232"/>
      <c r="F206" s="40">
        <f t="shared" ref="F206:L206" si="58">+F205</f>
        <v>190000</v>
      </c>
      <c r="G206" s="40">
        <f t="shared" si="58"/>
        <v>5453</v>
      </c>
      <c r="H206" s="40">
        <f t="shared" si="58"/>
        <v>4943.8</v>
      </c>
      <c r="I206" s="40">
        <f t="shared" si="58"/>
        <v>33483.67</v>
      </c>
      <c r="J206" s="40">
        <f t="shared" si="58"/>
        <v>25</v>
      </c>
      <c r="K206" s="40">
        <f t="shared" si="58"/>
        <v>43905.47</v>
      </c>
      <c r="L206" s="40">
        <f t="shared" si="58"/>
        <v>146094.53</v>
      </c>
    </row>
    <row r="207" spans="1:12" s="42" customFormat="1" ht="30" customHeight="1" thickBot="1" x14ac:dyDescent="0.3">
      <c r="A207" s="239" t="s">
        <v>319</v>
      </c>
      <c r="B207" s="240"/>
      <c r="C207" s="240"/>
      <c r="D207" s="240"/>
      <c r="E207" s="240"/>
      <c r="F207" s="240"/>
      <c r="G207" s="240"/>
      <c r="H207" s="240"/>
      <c r="I207" s="240"/>
      <c r="J207" s="240"/>
      <c r="K207" s="240"/>
      <c r="L207" s="241"/>
    </row>
    <row r="208" spans="1:12" s="50" customFormat="1" ht="30" customHeight="1" x14ac:dyDescent="0.25">
      <c r="A208" s="83">
        <f>+A205+1</f>
        <v>105</v>
      </c>
      <c r="B208" s="126" t="s">
        <v>12</v>
      </c>
      <c r="C208" s="136" t="s">
        <v>470</v>
      </c>
      <c r="D208" s="164" t="s">
        <v>125</v>
      </c>
      <c r="E208" s="121" t="s">
        <v>134</v>
      </c>
      <c r="F208" s="120">
        <v>135000</v>
      </c>
      <c r="G208" s="85">
        <f>F208*2.87%</f>
        <v>3874.5</v>
      </c>
      <c r="H208" s="85">
        <f>+F208*3.04%</f>
        <v>4104</v>
      </c>
      <c r="I208" s="123">
        <v>20338.240000000002</v>
      </c>
      <c r="J208" s="86">
        <v>2025</v>
      </c>
      <c r="K208" s="85">
        <f>SUM(G208:J208)</f>
        <v>30341.74</v>
      </c>
      <c r="L208" s="86">
        <f>+F208-K208</f>
        <v>104658.26</v>
      </c>
    </row>
    <row r="209" spans="1:12" s="43" customFormat="1" ht="30" customHeight="1" x14ac:dyDescent="0.25">
      <c r="A209" s="88">
        <f>+A208+1</f>
        <v>106</v>
      </c>
      <c r="B209" s="121" t="s">
        <v>320</v>
      </c>
      <c r="C209" s="39" t="s">
        <v>469</v>
      </c>
      <c r="D209" s="121" t="s">
        <v>126</v>
      </c>
      <c r="E209" s="121" t="s">
        <v>135</v>
      </c>
      <c r="F209" s="123">
        <v>70000</v>
      </c>
      <c r="G209" s="90">
        <f>F209*2.87%</f>
        <v>2009</v>
      </c>
      <c r="H209" s="90">
        <f>+F209*3.04%</f>
        <v>2128</v>
      </c>
      <c r="I209" s="85">
        <v>5368.48</v>
      </c>
      <c r="J209" s="86">
        <v>3546.99</v>
      </c>
      <c r="K209" s="85">
        <f>SUM(G209:J209)</f>
        <v>13052.47</v>
      </c>
      <c r="L209" s="86">
        <f>+F209-K209</f>
        <v>56947.53</v>
      </c>
    </row>
    <row r="210" spans="1:12" s="56" customFormat="1" ht="30" customHeight="1" x14ac:dyDescent="0.25">
      <c r="A210" s="83">
        <f>+A209+1</f>
        <v>107</v>
      </c>
      <c r="B210" s="121" t="s">
        <v>382</v>
      </c>
      <c r="C210" s="39" t="s">
        <v>470</v>
      </c>
      <c r="D210" s="121" t="s">
        <v>587</v>
      </c>
      <c r="E210" s="121" t="s">
        <v>134</v>
      </c>
      <c r="F210" s="123">
        <v>45000</v>
      </c>
      <c r="G210" s="90">
        <f>F210*2.87%</f>
        <v>1291.5</v>
      </c>
      <c r="H210" s="90">
        <f>+F210*3.04%</f>
        <v>1368</v>
      </c>
      <c r="I210" s="90">
        <v>1148.33</v>
      </c>
      <c r="J210" s="86">
        <v>25</v>
      </c>
      <c r="K210" s="120">
        <f>SUM(G210:J210)</f>
        <v>3832.83</v>
      </c>
      <c r="L210" s="92">
        <f>+F210-K210</f>
        <v>41167.17</v>
      </c>
    </row>
    <row r="211" spans="1:12" s="42" customFormat="1" ht="30" customHeight="1" x14ac:dyDescent="0.25">
      <c r="A211" s="230" t="s">
        <v>138</v>
      </c>
      <c r="B211" s="231"/>
      <c r="C211" s="231"/>
      <c r="D211" s="231"/>
      <c r="E211" s="232"/>
      <c r="F211" s="40">
        <f t="shared" ref="F211:L211" si="59">SUM(F208:F210)</f>
        <v>250000</v>
      </c>
      <c r="G211" s="40">
        <f t="shared" si="59"/>
        <v>7175</v>
      </c>
      <c r="H211" s="40">
        <f t="shared" si="59"/>
        <v>7600</v>
      </c>
      <c r="I211" s="40">
        <f t="shared" si="59"/>
        <v>26855.050000000003</v>
      </c>
      <c r="J211" s="40">
        <f t="shared" si="59"/>
        <v>5596.99</v>
      </c>
      <c r="K211" s="40">
        <f t="shared" si="59"/>
        <v>47227.040000000001</v>
      </c>
      <c r="L211" s="40">
        <f t="shared" si="59"/>
        <v>202772.95999999996</v>
      </c>
    </row>
    <row r="212" spans="1:12" s="42" customFormat="1" ht="30" customHeight="1" thickBot="1" x14ac:dyDescent="0.3">
      <c r="A212" s="47"/>
      <c r="B212" s="45"/>
      <c r="C212" s="47"/>
      <c r="D212" s="46"/>
      <c r="E212" s="46"/>
      <c r="G212" s="35"/>
      <c r="H212" s="35"/>
      <c r="I212" s="35"/>
      <c r="J212" s="35"/>
      <c r="K212" s="35"/>
      <c r="L212" s="35"/>
    </row>
    <row r="213" spans="1:12" s="42" customFormat="1" ht="30" customHeight="1" thickBot="1" x14ac:dyDescent="0.3">
      <c r="A213" s="239" t="s">
        <v>321</v>
      </c>
      <c r="B213" s="240"/>
      <c r="C213" s="240"/>
      <c r="D213" s="240"/>
      <c r="E213" s="240"/>
      <c r="F213" s="240"/>
      <c r="G213" s="240"/>
      <c r="H213" s="240"/>
      <c r="I213" s="240"/>
      <c r="J213" s="240"/>
      <c r="K213" s="240"/>
      <c r="L213" s="241"/>
    </row>
    <row r="214" spans="1:12" s="56" customFormat="1" ht="30" customHeight="1" x14ac:dyDescent="0.25">
      <c r="A214" s="88">
        <f>+A210+1</f>
        <v>108</v>
      </c>
      <c r="B214" s="121" t="s">
        <v>322</v>
      </c>
      <c r="C214" s="39" t="s">
        <v>469</v>
      </c>
      <c r="D214" s="121" t="s">
        <v>105</v>
      </c>
      <c r="E214" s="121" t="s">
        <v>216</v>
      </c>
      <c r="F214" s="123">
        <v>100000</v>
      </c>
      <c r="G214" s="123">
        <f>F214*2.87%</f>
        <v>2870</v>
      </c>
      <c r="H214" s="123">
        <f>+F214*3.04%</f>
        <v>3040</v>
      </c>
      <c r="I214" s="123">
        <v>12105.37</v>
      </c>
      <c r="J214" s="86">
        <v>25</v>
      </c>
      <c r="K214" s="85">
        <f>SUM(G214:J214)</f>
        <v>18040.370000000003</v>
      </c>
      <c r="L214" s="86">
        <f>+F214-K214</f>
        <v>81959.63</v>
      </c>
    </row>
    <row r="215" spans="1:12" s="95" customFormat="1" ht="30" customHeight="1" x14ac:dyDescent="0.25">
      <c r="A215" s="230" t="s">
        <v>138</v>
      </c>
      <c r="B215" s="231"/>
      <c r="C215" s="231"/>
      <c r="D215" s="231"/>
      <c r="E215" s="232"/>
      <c r="F215" s="40">
        <f t="shared" ref="F215:L215" si="60">SUM(F214)</f>
        <v>100000</v>
      </c>
      <c r="G215" s="40">
        <f t="shared" si="60"/>
        <v>2870</v>
      </c>
      <c r="H215" s="40">
        <f t="shared" si="60"/>
        <v>3040</v>
      </c>
      <c r="I215" s="40">
        <f t="shared" si="60"/>
        <v>12105.37</v>
      </c>
      <c r="J215" s="40">
        <f t="shared" si="60"/>
        <v>25</v>
      </c>
      <c r="K215" s="40">
        <f t="shared" si="60"/>
        <v>18040.370000000003</v>
      </c>
      <c r="L215" s="40">
        <f t="shared" si="60"/>
        <v>81959.63</v>
      </c>
    </row>
    <row r="216" spans="1:12" s="95" customFormat="1" ht="30" customHeight="1" thickBot="1" x14ac:dyDescent="0.3">
      <c r="A216" s="53"/>
      <c r="B216" s="53"/>
      <c r="C216" s="53"/>
      <c r="D216" s="53"/>
      <c r="E216" s="53"/>
      <c r="F216" s="43"/>
      <c r="G216" s="43"/>
      <c r="H216" s="43"/>
      <c r="I216" s="43"/>
      <c r="J216" s="43"/>
      <c r="K216" s="43"/>
      <c r="L216" s="43"/>
    </row>
    <row r="217" spans="1:12" s="42" customFormat="1" ht="30" customHeight="1" thickBot="1" x14ac:dyDescent="0.3">
      <c r="A217" s="239" t="s">
        <v>501</v>
      </c>
      <c r="B217" s="240"/>
      <c r="C217" s="240"/>
      <c r="D217" s="240"/>
      <c r="E217" s="240"/>
      <c r="F217" s="240"/>
      <c r="G217" s="240"/>
      <c r="H217" s="240"/>
      <c r="I217" s="240"/>
      <c r="J217" s="240"/>
      <c r="K217" s="240"/>
      <c r="L217" s="241"/>
    </row>
    <row r="218" spans="1:12" s="42" customFormat="1" ht="30" customHeight="1" x14ac:dyDescent="0.25">
      <c r="A218" s="88">
        <f>+A214+1</f>
        <v>109</v>
      </c>
      <c r="B218" s="121" t="s">
        <v>13</v>
      </c>
      <c r="C218" s="39" t="s">
        <v>469</v>
      </c>
      <c r="D218" s="140" t="s">
        <v>105</v>
      </c>
      <c r="E218" s="121" t="s">
        <v>216</v>
      </c>
      <c r="F218" s="123">
        <v>85000</v>
      </c>
      <c r="G218" s="90">
        <v>2439.5</v>
      </c>
      <c r="H218" s="90">
        <v>2584</v>
      </c>
      <c r="I218" s="123">
        <v>8198.9497916666678</v>
      </c>
      <c r="J218" s="86">
        <v>5532.45</v>
      </c>
      <c r="K218" s="85">
        <f>SUM(G218:J218)</f>
        <v>18754.899791666667</v>
      </c>
      <c r="L218" s="86">
        <f>+F218-K218</f>
        <v>66245.10020833333</v>
      </c>
    </row>
    <row r="219" spans="1:12" s="87" customFormat="1" ht="30" customHeight="1" x14ac:dyDescent="0.25">
      <c r="A219" s="230" t="s">
        <v>138</v>
      </c>
      <c r="B219" s="231"/>
      <c r="C219" s="231"/>
      <c r="D219" s="231"/>
      <c r="E219" s="232"/>
      <c r="F219" s="40">
        <f t="shared" ref="F219:L219" si="61">SUM(F218)</f>
        <v>85000</v>
      </c>
      <c r="G219" s="40">
        <f t="shared" si="61"/>
        <v>2439.5</v>
      </c>
      <c r="H219" s="40">
        <f t="shared" si="61"/>
        <v>2584</v>
      </c>
      <c r="I219" s="40">
        <f t="shared" si="61"/>
        <v>8198.9497916666678</v>
      </c>
      <c r="J219" s="40">
        <f t="shared" si="61"/>
        <v>5532.45</v>
      </c>
      <c r="K219" s="40">
        <f t="shared" si="61"/>
        <v>18754.899791666667</v>
      </c>
      <c r="L219" s="40">
        <f t="shared" si="61"/>
        <v>66245.10020833333</v>
      </c>
    </row>
    <row r="220" spans="1:12" s="42" customFormat="1" ht="30" customHeight="1" thickBot="1" x14ac:dyDescent="0.3">
      <c r="C220" s="44"/>
    </row>
    <row r="221" spans="1:12" s="42" customFormat="1" ht="30" customHeight="1" thickBot="1" x14ac:dyDescent="0.3">
      <c r="A221" s="233" t="s">
        <v>324</v>
      </c>
      <c r="B221" s="234"/>
      <c r="C221" s="234"/>
      <c r="D221" s="234"/>
      <c r="E221" s="234"/>
      <c r="F221" s="234"/>
      <c r="G221" s="234"/>
      <c r="H221" s="234"/>
      <c r="I221" s="234"/>
      <c r="J221" s="234"/>
      <c r="K221" s="234"/>
      <c r="L221" s="235"/>
    </row>
    <row r="222" spans="1:12" s="42" customFormat="1" ht="30" customHeight="1" x14ac:dyDescent="0.25">
      <c r="A222" s="83">
        <f>+A218+1</f>
        <v>110</v>
      </c>
      <c r="B222" s="126" t="s">
        <v>325</v>
      </c>
      <c r="C222" s="136" t="s">
        <v>470</v>
      </c>
      <c r="D222" s="164" t="s">
        <v>326</v>
      </c>
      <c r="E222" s="121" t="s">
        <v>134</v>
      </c>
      <c r="F222" s="120">
        <v>135000</v>
      </c>
      <c r="G222" s="85">
        <f>F222*2.87%</f>
        <v>3874.5</v>
      </c>
      <c r="H222" s="85">
        <f>F222*3.04%</f>
        <v>4104</v>
      </c>
      <c r="I222" s="85">
        <v>19960.19979166667</v>
      </c>
      <c r="J222" s="86">
        <v>1537.45</v>
      </c>
      <c r="K222" s="85">
        <f>SUM(G222:J222)</f>
        <v>29476.14979166667</v>
      </c>
      <c r="L222" s="85">
        <f>+F222-K222</f>
        <v>105523.85020833333</v>
      </c>
    </row>
    <row r="223" spans="1:12" s="56" customFormat="1" ht="30" customHeight="1" x14ac:dyDescent="0.25">
      <c r="A223" s="88">
        <f>+A222+1</f>
        <v>111</v>
      </c>
      <c r="B223" s="121" t="s">
        <v>16</v>
      </c>
      <c r="C223" s="39" t="s">
        <v>470</v>
      </c>
      <c r="D223" s="121" t="s">
        <v>327</v>
      </c>
      <c r="E223" s="121" t="s">
        <v>135</v>
      </c>
      <c r="F223" s="123">
        <v>80000</v>
      </c>
      <c r="G223" s="90">
        <f>F223*2.87%</f>
        <v>2296</v>
      </c>
      <c r="H223" s="90">
        <f>+F223*3.04%</f>
        <v>2432</v>
      </c>
      <c r="I223" s="90">
        <v>6342.78</v>
      </c>
      <c r="J223" s="86">
        <v>6162.35</v>
      </c>
      <c r="K223" s="85">
        <f>SUM(G223:J223)</f>
        <v>17233.129999999997</v>
      </c>
      <c r="L223" s="85">
        <f>+F223-K223</f>
        <v>62766.87</v>
      </c>
    </row>
    <row r="224" spans="1:12" s="99" customFormat="1" ht="30" customHeight="1" x14ac:dyDescent="0.25">
      <c r="A224" s="230" t="s">
        <v>138</v>
      </c>
      <c r="B224" s="231"/>
      <c r="C224" s="231"/>
      <c r="D224" s="231"/>
      <c r="E224" s="232"/>
      <c r="F224" s="40">
        <f t="shared" ref="F224:L224" si="62">SUM(F222:F223)</f>
        <v>215000</v>
      </c>
      <c r="G224" s="40">
        <f t="shared" si="62"/>
        <v>6170.5</v>
      </c>
      <c r="H224" s="40">
        <f t="shared" si="62"/>
        <v>6536</v>
      </c>
      <c r="I224" s="40">
        <f t="shared" si="62"/>
        <v>26302.979791666668</v>
      </c>
      <c r="J224" s="40">
        <f t="shared" si="62"/>
        <v>7699.8</v>
      </c>
      <c r="K224" s="40">
        <f t="shared" si="62"/>
        <v>46709.279791666668</v>
      </c>
      <c r="L224" s="40">
        <f t="shared" si="62"/>
        <v>168290.72020833334</v>
      </c>
    </row>
    <row r="225" spans="1:12" s="99" customFormat="1" ht="30" customHeight="1" thickBot="1" x14ac:dyDescent="0.3">
      <c r="A225" s="53"/>
      <c r="B225" s="53"/>
      <c r="C225" s="53"/>
      <c r="D225" s="53"/>
      <c r="E225" s="53"/>
      <c r="F225"/>
      <c r="G225"/>
      <c r="H225"/>
      <c r="I225"/>
      <c r="J225"/>
      <c r="K225"/>
      <c r="L225"/>
    </row>
    <row r="226" spans="1:12" s="42" customFormat="1" ht="30" customHeight="1" thickBot="1" x14ac:dyDescent="0.3">
      <c r="A226" s="233" t="s">
        <v>328</v>
      </c>
      <c r="B226" s="234"/>
      <c r="C226" s="234"/>
      <c r="D226" s="234"/>
      <c r="E226" s="234"/>
      <c r="F226" s="234"/>
      <c r="G226" s="234"/>
      <c r="H226" s="234"/>
      <c r="I226" s="234"/>
      <c r="J226" s="234"/>
      <c r="K226" s="234"/>
      <c r="L226" s="235"/>
    </row>
    <row r="227" spans="1:12" s="42" customFormat="1" ht="30" customHeight="1" x14ac:dyDescent="0.25">
      <c r="A227" s="88">
        <f>+A223+1</f>
        <v>112</v>
      </c>
      <c r="B227" s="121" t="s">
        <v>122</v>
      </c>
      <c r="C227" s="39" t="s">
        <v>470</v>
      </c>
      <c r="D227" s="121" t="s">
        <v>123</v>
      </c>
      <c r="E227" s="121" t="s">
        <v>135</v>
      </c>
      <c r="F227" s="123">
        <v>100000</v>
      </c>
      <c r="G227" s="90">
        <f>F227*2.87%</f>
        <v>2870</v>
      </c>
      <c r="H227" s="90">
        <f>+F227*3.04%</f>
        <v>3040</v>
      </c>
      <c r="I227" s="123">
        <v>12105.437291666667</v>
      </c>
      <c r="J227" s="86">
        <v>2025</v>
      </c>
      <c r="K227" s="85">
        <f>SUM(G227:J227)</f>
        <v>20040.437291666669</v>
      </c>
      <c r="L227" s="85">
        <f>+F227-K227</f>
        <v>79959.562708333338</v>
      </c>
    </row>
    <row r="228" spans="1:12" s="56" customFormat="1" ht="30" customHeight="1" x14ac:dyDescent="0.25">
      <c r="A228" s="88">
        <f>+A227+1</f>
        <v>113</v>
      </c>
      <c r="B228" s="121" t="s">
        <v>329</v>
      </c>
      <c r="C228" s="39" t="s">
        <v>469</v>
      </c>
      <c r="D228" s="121" t="s">
        <v>27</v>
      </c>
      <c r="E228" s="121" t="s">
        <v>216</v>
      </c>
      <c r="F228" s="123">
        <v>35000</v>
      </c>
      <c r="G228" s="90">
        <v>1004.5</v>
      </c>
      <c r="H228" s="90">
        <v>1064</v>
      </c>
      <c r="I228" s="90"/>
      <c r="J228" s="86">
        <v>911.92</v>
      </c>
      <c r="K228" s="85">
        <f>SUM(G228:J228)</f>
        <v>2980.42</v>
      </c>
      <c r="L228" s="85">
        <f>+F228-K228</f>
        <v>32019.58</v>
      </c>
    </row>
    <row r="229" spans="1:12" s="56" customFormat="1" ht="30" customHeight="1" x14ac:dyDescent="0.25">
      <c r="A229" s="230" t="s">
        <v>138</v>
      </c>
      <c r="B229" s="231"/>
      <c r="C229" s="231"/>
      <c r="D229" s="231"/>
      <c r="E229" s="232"/>
      <c r="F229" s="40">
        <f t="shared" ref="F229:L229" si="63">SUM(F227:F228)</f>
        <v>135000</v>
      </c>
      <c r="G229" s="40">
        <f t="shared" si="63"/>
        <v>3874.5</v>
      </c>
      <c r="H229" s="40">
        <f t="shared" si="63"/>
        <v>4104</v>
      </c>
      <c r="I229" s="40">
        <f t="shared" si="63"/>
        <v>12105.437291666667</v>
      </c>
      <c r="J229" s="40">
        <f t="shared" si="63"/>
        <v>2936.92</v>
      </c>
      <c r="K229" s="40">
        <f t="shared" si="63"/>
        <v>23020.857291666667</v>
      </c>
      <c r="L229" s="40">
        <f t="shared" si="63"/>
        <v>111979.14270833334</v>
      </c>
    </row>
    <row r="230" spans="1:12" s="42" customFormat="1" ht="30" customHeight="1" thickBot="1" x14ac:dyDescent="0.3">
      <c r="A230" s="44"/>
      <c r="B230" s="51"/>
      <c r="C230" s="155"/>
      <c r="D230" s="51"/>
      <c r="E230" s="51"/>
      <c r="F230" s="52"/>
    </row>
    <row r="231" spans="1:12" s="42" customFormat="1" ht="30" customHeight="1" thickBot="1" x14ac:dyDescent="0.3">
      <c r="A231" s="233" t="s">
        <v>239</v>
      </c>
      <c r="B231" s="234"/>
      <c r="C231" s="234"/>
      <c r="D231" s="234"/>
      <c r="E231" s="234"/>
      <c r="F231" s="234"/>
      <c r="G231" s="234"/>
      <c r="H231" s="234"/>
      <c r="I231" s="234"/>
      <c r="J231" s="234"/>
      <c r="K231" s="234"/>
      <c r="L231" s="235"/>
    </row>
    <row r="232" spans="1:12" s="42" customFormat="1" ht="30" customHeight="1" x14ac:dyDescent="0.25">
      <c r="A232" s="39">
        <f>+A228+1</f>
        <v>114</v>
      </c>
      <c r="B232" s="170" t="s">
        <v>18</v>
      </c>
      <c r="C232" s="39" t="s">
        <v>469</v>
      </c>
      <c r="D232" s="140" t="s">
        <v>330</v>
      </c>
      <c r="E232" s="170" t="s">
        <v>134</v>
      </c>
      <c r="F232" s="141">
        <v>100000</v>
      </c>
      <c r="G232" s="97">
        <f>F232*2.87%</f>
        <v>2870</v>
      </c>
      <c r="H232" s="97">
        <f>+F232*3.04%</f>
        <v>3040</v>
      </c>
      <c r="I232" s="123">
        <v>12105.37</v>
      </c>
      <c r="J232" s="86">
        <v>25</v>
      </c>
      <c r="K232" s="98">
        <f>SUM(G232:J232)</f>
        <v>18040.370000000003</v>
      </c>
      <c r="L232" s="98">
        <f>+F232-K232</f>
        <v>81959.63</v>
      </c>
    </row>
    <row r="233" spans="1:12" s="42" customFormat="1" ht="30" customHeight="1" x14ac:dyDescent="0.25">
      <c r="A233" s="230" t="s">
        <v>138</v>
      </c>
      <c r="B233" s="231"/>
      <c r="C233" s="231"/>
      <c r="D233" s="231"/>
      <c r="E233" s="232"/>
      <c r="F233" s="40">
        <f t="shared" ref="F233:L233" si="64">SUM(F232:F232)</f>
        <v>100000</v>
      </c>
      <c r="G233" s="40">
        <f t="shared" si="64"/>
        <v>2870</v>
      </c>
      <c r="H233" s="40">
        <f t="shared" si="64"/>
        <v>3040</v>
      </c>
      <c r="I233" s="40">
        <f t="shared" si="64"/>
        <v>12105.37</v>
      </c>
      <c r="J233" s="40">
        <f t="shared" si="64"/>
        <v>25</v>
      </c>
      <c r="K233" s="40">
        <f t="shared" si="64"/>
        <v>18040.370000000003</v>
      </c>
      <c r="L233" s="40">
        <f t="shared" si="64"/>
        <v>81959.63</v>
      </c>
    </row>
    <row r="234" spans="1:12" s="42" customFormat="1" ht="30" customHeight="1" thickBot="1" x14ac:dyDescent="0.3">
      <c r="A234" s="44"/>
      <c r="B234" s="51"/>
      <c r="C234" s="155"/>
      <c r="D234" s="51"/>
      <c r="E234" s="51"/>
      <c r="F234" s="52"/>
    </row>
    <row r="235" spans="1:12" s="42" customFormat="1" ht="30" customHeight="1" x14ac:dyDescent="0.25">
      <c r="A235" s="247" t="s">
        <v>225</v>
      </c>
      <c r="B235" s="248"/>
      <c r="C235" s="248"/>
      <c r="D235" s="248"/>
      <c r="E235" s="248"/>
      <c r="F235" s="248"/>
      <c r="G235" s="248"/>
      <c r="H235" s="248"/>
      <c r="I235" s="248"/>
      <c r="J235" s="248"/>
      <c r="K235" s="248"/>
      <c r="L235" s="249"/>
    </row>
    <row r="236" spans="1:12" s="42" customFormat="1" ht="30" customHeight="1" x14ac:dyDescent="0.25">
      <c r="A236" s="88">
        <f>+A232+1</f>
        <v>115</v>
      </c>
      <c r="B236" s="121" t="s">
        <v>331</v>
      </c>
      <c r="C236" s="39" t="s">
        <v>470</v>
      </c>
      <c r="D236" s="121" t="s">
        <v>27</v>
      </c>
      <c r="E236" s="192" t="s">
        <v>252</v>
      </c>
      <c r="F236" s="123">
        <v>40000</v>
      </c>
      <c r="G236" s="90">
        <f>F236*2.87%</f>
        <v>1148</v>
      </c>
      <c r="H236" s="90">
        <f>+F236*3.04%</f>
        <v>1216</v>
      </c>
      <c r="I236" s="90">
        <v>442.64987499999984</v>
      </c>
      <c r="J236" s="90">
        <v>8184.38</v>
      </c>
      <c r="K236" s="85">
        <f>SUM(G236:J236)</f>
        <v>10991.029875</v>
      </c>
      <c r="L236" s="85">
        <f>+F236-K236</f>
        <v>29008.970125</v>
      </c>
    </row>
    <row r="237" spans="1:12" s="56" customFormat="1" ht="30" customHeight="1" x14ac:dyDescent="0.25">
      <c r="A237" s="88">
        <f>+A236+1</f>
        <v>116</v>
      </c>
      <c r="B237" s="121" t="s">
        <v>100</v>
      </c>
      <c r="C237" s="136" t="s">
        <v>470</v>
      </c>
      <c r="D237" s="126" t="s">
        <v>332</v>
      </c>
      <c r="E237" s="121" t="s">
        <v>252</v>
      </c>
      <c r="F237" s="123">
        <v>35000</v>
      </c>
      <c r="G237" s="90">
        <f>F237*2.87%</f>
        <v>1004.5</v>
      </c>
      <c r="H237" s="90">
        <f>F237*3.04%</f>
        <v>1064</v>
      </c>
      <c r="I237" s="5"/>
      <c r="J237" s="86">
        <v>1025</v>
      </c>
      <c r="K237" s="85">
        <f>SUM(G237:J237)</f>
        <v>3093.5</v>
      </c>
      <c r="L237" s="85">
        <f>+F237-K237</f>
        <v>31906.5</v>
      </c>
    </row>
    <row r="238" spans="1:12" s="42" customFormat="1" ht="30" customHeight="1" x14ac:dyDescent="0.25">
      <c r="A238" s="230" t="s">
        <v>138</v>
      </c>
      <c r="B238" s="231"/>
      <c r="C238" s="231"/>
      <c r="D238" s="231"/>
      <c r="E238" s="232"/>
      <c r="F238" s="40">
        <f t="shared" ref="F238:L238" si="65">SUM(F236:F237)</f>
        <v>75000</v>
      </c>
      <c r="G238" s="40">
        <f t="shared" si="65"/>
        <v>2152.5</v>
      </c>
      <c r="H238" s="40">
        <f t="shared" si="65"/>
        <v>2280</v>
      </c>
      <c r="I238" s="40">
        <f t="shared" si="65"/>
        <v>442.64987499999984</v>
      </c>
      <c r="J238" s="40">
        <f t="shared" si="65"/>
        <v>9209.380000000001</v>
      </c>
      <c r="K238" s="40">
        <f t="shared" si="65"/>
        <v>14084.529875</v>
      </c>
      <c r="L238" s="40">
        <f t="shared" si="65"/>
        <v>60915.470125</v>
      </c>
    </row>
    <row r="239" spans="1:12" s="42" customFormat="1" ht="30" customHeight="1" thickBot="1" x14ac:dyDescent="0.3">
      <c r="A239" s="54"/>
      <c r="B239" s="48"/>
      <c r="C239" s="53"/>
      <c r="D239" s="55"/>
      <c r="E239" s="55"/>
      <c r="F239" s="43"/>
      <c r="G239" s="43"/>
      <c r="H239" s="43"/>
      <c r="I239" s="43"/>
      <c r="J239" s="43"/>
      <c r="K239" s="43"/>
      <c r="L239" s="43"/>
    </row>
    <row r="240" spans="1:12" s="42" customFormat="1" ht="30" customHeight="1" thickBot="1" x14ac:dyDescent="0.3">
      <c r="A240" s="233" t="s">
        <v>95</v>
      </c>
      <c r="B240" s="234"/>
      <c r="C240" s="234"/>
      <c r="D240" s="234"/>
      <c r="E240" s="234"/>
      <c r="F240" s="234"/>
      <c r="G240" s="234"/>
      <c r="H240" s="234"/>
      <c r="I240" s="234"/>
      <c r="J240" s="234"/>
      <c r="K240" s="234"/>
      <c r="L240" s="235"/>
    </row>
    <row r="241" spans="1:12" s="56" customFormat="1" ht="30" customHeight="1" x14ac:dyDescent="0.25">
      <c r="A241" s="88">
        <f>+A237+1</f>
        <v>117</v>
      </c>
      <c r="B241" s="121" t="s">
        <v>10</v>
      </c>
      <c r="C241" s="39" t="s">
        <v>470</v>
      </c>
      <c r="D241" s="121" t="s">
        <v>106</v>
      </c>
      <c r="E241" s="121" t="s">
        <v>135</v>
      </c>
      <c r="F241" s="123">
        <v>50000</v>
      </c>
      <c r="G241" s="123">
        <f>F241*2.87%</f>
        <v>1435</v>
      </c>
      <c r="H241" s="90">
        <f>+F241*3.04%</f>
        <v>1520</v>
      </c>
      <c r="I241" s="90">
        <v>1853.9998749999997</v>
      </c>
      <c r="J241" s="86">
        <v>125</v>
      </c>
      <c r="K241" s="85">
        <f>SUM(G241:J241)</f>
        <v>4933.9998749999995</v>
      </c>
      <c r="L241" s="85">
        <f>+F241-K241</f>
        <v>45066.000124999999</v>
      </c>
    </row>
    <row r="242" spans="1:12" s="56" customFormat="1" ht="30" customHeight="1" x14ac:dyDescent="0.25">
      <c r="A242" s="230" t="s">
        <v>138</v>
      </c>
      <c r="B242" s="231"/>
      <c r="C242" s="231"/>
      <c r="D242" s="231"/>
      <c r="E242" s="232"/>
      <c r="F242" s="40">
        <f t="shared" ref="F242:L242" si="66">SUM(F241:F241)</f>
        <v>50000</v>
      </c>
      <c r="G242" s="40">
        <f t="shared" si="66"/>
        <v>1435</v>
      </c>
      <c r="H242" s="40">
        <f t="shared" si="66"/>
        <v>1520</v>
      </c>
      <c r="I242" s="40">
        <f t="shared" si="66"/>
        <v>1853.9998749999997</v>
      </c>
      <c r="J242" s="40">
        <f t="shared" si="66"/>
        <v>125</v>
      </c>
      <c r="K242" s="40">
        <f t="shared" si="66"/>
        <v>4933.9998749999995</v>
      </c>
      <c r="L242" s="40">
        <f t="shared" si="66"/>
        <v>45066.000124999999</v>
      </c>
    </row>
    <row r="243" spans="1:12" s="56" customFormat="1" ht="30" customHeight="1" thickBot="1" x14ac:dyDescent="0.3">
      <c r="A243" s="53"/>
      <c r="B243" s="53"/>
      <c r="C243" s="53"/>
      <c r="D243" s="53"/>
      <c r="E243" s="53"/>
      <c r="F243"/>
      <c r="G243"/>
      <c r="H243"/>
      <c r="I243"/>
      <c r="J243"/>
      <c r="K243"/>
      <c r="L243"/>
    </row>
    <row r="244" spans="1:12" s="42" customFormat="1" ht="30" customHeight="1" thickBot="1" x14ac:dyDescent="0.3">
      <c r="A244" s="233" t="s">
        <v>192</v>
      </c>
      <c r="B244" s="234"/>
      <c r="C244" s="234"/>
      <c r="D244" s="234"/>
      <c r="E244" s="234"/>
      <c r="F244" s="234"/>
      <c r="G244" s="234"/>
      <c r="H244" s="234"/>
      <c r="I244" s="234"/>
      <c r="J244" s="234"/>
      <c r="K244" s="234"/>
      <c r="L244" s="235"/>
    </row>
    <row r="245" spans="1:12" s="56" customFormat="1" ht="30" customHeight="1" x14ac:dyDescent="0.25">
      <c r="A245" s="83">
        <f>+A241+1</f>
        <v>118</v>
      </c>
      <c r="B245" s="84" t="s">
        <v>7</v>
      </c>
      <c r="C245" s="83" t="s">
        <v>470</v>
      </c>
      <c r="D245" s="84" t="s">
        <v>6</v>
      </c>
      <c r="E245" s="84" t="s">
        <v>135</v>
      </c>
      <c r="F245" s="85">
        <v>54500</v>
      </c>
      <c r="G245" s="85">
        <f>F245*2.87%</f>
        <v>1564.15</v>
      </c>
      <c r="H245" s="85">
        <f>+F245*3.04%</f>
        <v>1656.8</v>
      </c>
      <c r="I245" s="85">
        <v>2035.3723750000006</v>
      </c>
      <c r="J245" s="86">
        <v>3149.9</v>
      </c>
      <c r="K245" s="85">
        <f>SUM(G245:J245)</f>
        <v>8406.2223750000012</v>
      </c>
      <c r="L245" s="85">
        <f>+F245-K245</f>
        <v>46093.777625000002</v>
      </c>
    </row>
    <row r="246" spans="1:12" s="50" customFormat="1" ht="30" customHeight="1" x14ac:dyDescent="0.25">
      <c r="A246" s="83">
        <f>+A245+1</f>
        <v>119</v>
      </c>
      <c r="B246" s="126" t="s">
        <v>17</v>
      </c>
      <c r="C246" s="136" t="s">
        <v>470</v>
      </c>
      <c r="D246" s="126" t="s">
        <v>335</v>
      </c>
      <c r="E246" s="126" t="s">
        <v>134</v>
      </c>
      <c r="F246" s="120">
        <v>50000</v>
      </c>
      <c r="G246" s="120">
        <f>F246*2.87%</f>
        <v>1435</v>
      </c>
      <c r="H246" s="85">
        <f>+F246*3.04%</f>
        <v>1520</v>
      </c>
      <c r="I246" s="85">
        <v>1627.132375000001</v>
      </c>
      <c r="J246" s="86">
        <v>11537.45</v>
      </c>
      <c r="K246" s="90">
        <f>SUM(G246:J246)</f>
        <v>16119.582375000002</v>
      </c>
      <c r="L246" s="90">
        <f>+F246-K246</f>
        <v>33880.417625000002</v>
      </c>
    </row>
    <row r="247" spans="1:12" s="42" customFormat="1" ht="30" customHeight="1" x14ac:dyDescent="0.25">
      <c r="A247" s="39">
        <f>+A246+1</f>
        <v>120</v>
      </c>
      <c r="B247" s="121" t="s">
        <v>590</v>
      </c>
      <c r="C247" s="39" t="s">
        <v>469</v>
      </c>
      <c r="D247" s="121" t="s">
        <v>215</v>
      </c>
      <c r="E247" s="121" t="s">
        <v>252</v>
      </c>
      <c r="F247" s="123">
        <v>50000</v>
      </c>
      <c r="G247" s="123">
        <f>F247*2.87%</f>
        <v>1435</v>
      </c>
      <c r="H247" s="123">
        <f>+F247*3.04%</f>
        <v>1520</v>
      </c>
      <c r="I247" s="123">
        <v>1853.9998749999997</v>
      </c>
      <c r="J247" s="125">
        <v>25</v>
      </c>
      <c r="K247" s="120">
        <f>SUM(G247:J247)</f>
        <v>4833.9998749999995</v>
      </c>
      <c r="L247" s="120">
        <f>+F247-K247</f>
        <v>45166.000124999999</v>
      </c>
    </row>
    <row r="248" spans="1:12" s="95" customFormat="1" ht="30" customHeight="1" x14ac:dyDescent="0.25">
      <c r="A248" s="88">
        <f>+A247+1</f>
        <v>121</v>
      </c>
      <c r="B248" s="89" t="s">
        <v>334</v>
      </c>
      <c r="C248" s="88" t="s">
        <v>469</v>
      </c>
      <c r="D248" s="89" t="s">
        <v>6</v>
      </c>
      <c r="E248" s="89" t="s">
        <v>135</v>
      </c>
      <c r="F248" s="90">
        <v>49500</v>
      </c>
      <c r="G248" s="90">
        <f>F248*2.87%</f>
        <v>1420.65</v>
      </c>
      <c r="H248" s="90">
        <f>+F248*3.04%</f>
        <v>1504.8</v>
      </c>
      <c r="I248" s="90">
        <v>1783.432375000001</v>
      </c>
      <c r="J248" s="86">
        <v>125</v>
      </c>
      <c r="K248" s="85">
        <f>SUM(G248:J248)</f>
        <v>4833.882375000001</v>
      </c>
      <c r="L248" s="85">
        <f>+F248-K248</f>
        <v>44666.117624999999</v>
      </c>
    </row>
    <row r="249" spans="1:12" s="56" customFormat="1" ht="30" customHeight="1" x14ac:dyDescent="0.25">
      <c r="A249" s="230" t="s">
        <v>138</v>
      </c>
      <c r="B249" s="231"/>
      <c r="C249" s="231"/>
      <c r="D249" s="231"/>
      <c r="E249" s="232"/>
      <c r="F249" s="40">
        <f t="shared" ref="F249:L249" si="67">SUM(F245:F248)</f>
        <v>204000</v>
      </c>
      <c r="G249" s="40">
        <f t="shared" si="67"/>
        <v>5854.7999999999993</v>
      </c>
      <c r="H249" s="40">
        <f t="shared" si="67"/>
        <v>6201.6</v>
      </c>
      <c r="I249" s="40">
        <f t="shared" si="67"/>
        <v>7299.9370000000026</v>
      </c>
      <c r="J249" s="40">
        <f t="shared" si="67"/>
        <v>14837.35</v>
      </c>
      <c r="K249" s="40">
        <f t="shared" si="67"/>
        <v>34193.687000000005</v>
      </c>
      <c r="L249" s="40">
        <f t="shared" si="67"/>
        <v>169806.31300000002</v>
      </c>
    </row>
    <row r="250" spans="1:12" s="56" customFormat="1" ht="30" customHeight="1" thickBot="1" x14ac:dyDescent="0.3">
      <c r="A250" s="47"/>
      <c r="B250" s="45"/>
      <c r="C250" s="47"/>
      <c r="D250" s="45"/>
      <c r="E250" s="45"/>
      <c r="F250" s="42"/>
      <c r="G250" s="42"/>
      <c r="H250" s="42"/>
      <c r="I250" s="42"/>
      <c r="J250" s="42"/>
      <c r="K250" s="42"/>
      <c r="L250" s="41"/>
    </row>
    <row r="251" spans="1:12" s="42" customFormat="1" ht="30" customHeight="1" thickBot="1" x14ac:dyDescent="0.3">
      <c r="A251" s="233" t="s">
        <v>193</v>
      </c>
      <c r="B251" s="234"/>
      <c r="C251" s="234"/>
      <c r="D251" s="234"/>
      <c r="E251" s="234"/>
      <c r="F251" s="234"/>
      <c r="G251" s="234"/>
      <c r="H251" s="234"/>
      <c r="I251" s="234"/>
      <c r="J251" s="234"/>
      <c r="K251" s="234"/>
      <c r="L251" s="235"/>
    </row>
    <row r="252" spans="1:12" s="42" customFormat="1" ht="30" customHeight="1" x14ac:dyDescent="0.25">
      <c r="A252" s="88">
        <f>+A248+1</f>
        <v>122</v>
      </c>
      <c r="B252" s="121" t="s">
        <v>210</v>
      </c>
      <c r="C252" s="39" t="s">
        <v>469</v>
      </c>
      <c r="D252" s="121" t="s">
        <v>9</v>
      </c>
      <c r="E252" s="121" t="s">
        <v>135</v>
      </c>
      <c r="F252" s="123">
        <v>80000</v>
      </c>
      <c r="G252" s="123">
        <f>F252*2.87%</f>
        <v>2296</v>
      </c>
      <c r="H252" s="90">
        <f>+F252*3.04%</f>
        <v>2432</v>
      </c>
      <c r="I252" s="123">
        <v>7400.87</v>
      </c>
      <c r="J252" s="86">
        <v>4661.4799999999996</v>
      </c>
      <c r="K252" s="85">
        <f>SUM(G252:J252)</f>
        <v>16790.349999999999</v>
      </c>
      <c r="L252" s="86">
        <f>+F252-K252</f>
        <v>63209.65</v>
      </c>
    </row>
    <row r="253" spans="1:12" s="56" customFormat="1" ht="30" customHeight="1" x14ac:dyDescent="0.25">
      <c r="A253" s="83">
        <f>+A252+1</f>
        <v>123</v>
      </c>
      <c r="B253" s="126" t="s">
        <v>333</v>
      </c>
      <c r="C253" s="136" t="s">
        <v>469</v>
      </c>
      <c r="D253" s="126" t="s">
        <v>215</v>
      </c>
      <c r="E253" s="126" t="s">
        <v>252</v>
      </c>
      <c r="F253" s="120">
        <v>60000</v>
      </c>
      <c r="G253" s="193">
        <f>F253*2.87%</f>
        <v>1722</v>
      </c>
      <c r="H253" s="98">
        <f>+F253*3.04%</f>
        <v>1824</v>
      </c>
      <c r="I253" s="98">
        <v>3486.68</v>
      </c>
      <c r="J253" s="86">
        <v>25</v>
      </c>
      <c r="K253" s="98">
        <f>SUM(G253:J253)</f>
        <v>7057.68</v>
      </c>
      <c r="L253" s="98">
        <f>+F253-K253</f>
        <v>52942.32</v>
      </c>
    </row>
    <row r="254" spans="1:12" s="56" customFormat="1" ht="30" customHeight="1" x14ac:dyDescent="0.25">
      <c r="A254" s="230" t="s">
        <v>138</v>
      </c>
      <c r="B254" s="231"/>
      <c r="C254" s="231"/>
      <c r="D254" s="231"/>
      <c r="E254" s="232"/>
      <c r="F254" s="40">
        <f t="shared" ref="F254:L254" si="68">SUM(F252:F253)</f>
        <v>140000</v>
      </c>
      <c r="G254" s="40">
        <f t="shared" si="68"/>
        <v>4018</v>
      </c>
      <c r="H254" s="40">
        <f t="shared" si="68"/>
        <v>4256</v>
      </c>
      <c r="I254" s="40">
        <f t="shared" si="68"/>
        <v>10887.55</v>
      </c>
      <c r="J254" s="40">
        <f t="shared" si="68"/>
        <v>4686.4799999999996</v>
      </c>
      <c r="K254" s="40">
        <f t="shared" si="68"/>
        <v>23848.03</v>
      </c>
      <c r="L254" s="40">
        <f t="shared" si="68"/>
        <v>116151.97</v>
      </c>
    </row>
    <row r="255" spans="1:12" s="42" customFormat="1" ht="30" customHeight="1" thickBot="1" x14ac:dyDescent="0.3">
      <c r="A255" s="47"/>
      <c r="B255" s="45"/>
      <c r="C255" s="47"/>
      <c r="D255" s="45"/>
      <c r="E255" s="45"/>
      <c r="L255" s="41"/>
    </row>
    <row r="256" spans="1:12" s="42" customFormat="1" ht="30" customHeight="1" thickBot="1" x14ac:dyDescent="0.3">
      <c r="A256" s="236" t="s">
        <v>337</v>
      </c>
      <c r="B256" s="237"/>
      <c r="C256" s="237"/>
      <c r="D256" s="237"/>
      <c r="E256" s="237"/>
      <c r="F256" s="237"/>
      <c r="G256" s="237"/>
      <c r="H256" s="237"/>
      <c r="I256" s="237"/>
      <c r="J256" s="237"/>
      <c r="K256" s="237"/>
      <c r="L256" s="238"/>
    </row>
    <row r="257" spans="1:12" s="42" customFormat="1" ht="30" customHeight="1" x14ac:dyDescent="0.25">
      <c r="A257" s="88">
        <f>+A253+1</f>
        <v>124</v>
      </c>
      <c r="B257" s="121" t="s">
        <v>4</v>
      </c>
      <c r="C257" s="39" t="s">
        <v>469</v>
      </c>
      <c r="D257" s="121" t="s">
        <v>500</v>
      </c>
      <c r="E257" s="121" t="s">
        <v>135</v>
      </c>
      <c r="F257" s="123">
        <v>105000</v>
      </c>
      <c r="G257" s="123">
        <f>F257*2.87%</f>
        <v>3013.5</v>
      </c>
      <c r="H257" s="90">
        <f>+F257*3.04%</f>
        <v>3192</v>
      </c>
      <c r="I257" s="123">
        <v>12525.33729166667</v>
      </c>
      <c r="J257" s="86">
        <v>3049.9</v>
      </c>
      <c r="K257" s="85">
        <f>+G257+H257+J257+I257</f>
        <v>21780.737291666672</v>
      </c>
      <c r="L257" s="86">
        <f>+F257-K257</f>
        <v>83219.262708333321</v>
      </c>
    </row>
    <row r="258" spans="1:12" s="95" customFormat="1" ht="30" customHeight="1" x14ac:dyDescent="0.25">
      <c r="A258" s="83">
        <f>+A257+1</f>
        <v>125</v>
      </c>
      <c r="B258" s="126" t="s">
        <v>344</v>
      </c>
      <c r="C258" s="136" t="s">
        <v>469</v>
      </c>
      <c r="D258" s="137" t="s">
        <v>73</v>
      </c>
      <c r="E258" s="121" t="s">
        <v>252</v>
      </c>
      <c r="F258" s="123">
        <v>40000</v>
      </c>
      <c r="G258" s="90">
        <f>F258*2.87%</f>
        <v>1148</v>
      </c>
      <c r="H258" s="90">
        <f>+F258*3.04%</f>
        <v>1216</v>
      </c>
      <c r="I258" s="90"/>
      <c r="J258" s="86">
        <v>25</v>
      </c>
      <c r="K258" s="85">
        <f>SUM(G258:J258)</f>
        <v>2389</v>
      </c>
      <c r="L258" s="86">
        <f>+F258-K258</f>
        <v>37611</v>
      </c>
    </row>
    <row r="259" spans="1:12" s="56" customFormat="1" ht="30" customHeight="1" x14ac:dyDescent="0.25">
      <c r="A259" s="230" t="s">
        <v>138</v>
      </c>
      <c r="B259" s="231"/>
      <c r="C259" s="231"/>
      <c r="D259" s="231"/>
      <c r="E259" s="232"/>
      <c r="F259" s="40">
        <f t="shared" ref="F259:L259" si="69">SUM(F257:F258)</f>
        <v>145000</v>
      </c>
      <c r="G259" s="40">
        <f t="shared" si="69"/>
        <v>4161.5</v>
      </c>
      <c r="H259" s="40">
        <f t="shared" si="69"/>
        <v>4408</v>
      </c>
      <c r="I259" s="40">
        <f t="shared" si="69"/>
        <v>12525.33729166667</v>
      </c>
      <c r="J259" s="40">
        <f t="shared" si="69"/>
        <v>3074.9</v>
      </c>
      <c r="K259" s="40">
        <f t="shared" si="69"/>
        <v>24169.737291666672</v>
      </c>
      <c r="L259" s="40">
        <f t="shared" si="69"/>
        <v>120830.26270833332</v>
      </c>
    </row>
    <row r="260" spans="1:12" s="56" customFormat="1" ht="30" customHeight="1" thickBot="1" x14ac:dyDescent="0.3">
      <c r="A260" s="53"/>
      <c r="B260" s="53"/>
      <c r="C260" s="53"/>
      <c r="D260" s="53"/>
      <c r="E260" s="53"/>
      <c r="F260"/>
      <c r="G260"/>
      <c r="H260"/>
      <c r="I260"/>
      <c r="J260"/>
      <c r="K260"/>
      <c r="L260"/>
    </row>
    <row r="261" spans="1:12" s="42" customFormat="1" ht="30" customHeight="1" thickBot="1" x14ac:dyDescent="0.3">
      <c r="A261" s="239" t="s">
        <v>338</v>
      </c>
      <c r="B261" s="240"/>
      <c r="C261" s="240"/>
      <c r="D261" s="240"/>
      <c r="E261" s="240"/>
      <c r="F261" s="240"/>
      <c r="G261" s="240"/>
      <c r="H261" s="240"/>
      <c r="I261" s="240"/>
      <c r="J261" s="240"/>
      <c r="K261" s="240"/>
      <c r="L261" s="241"/>
    </row>
    <row r="262" spans="1:12" s="42" customFormat="1" ht="30" customHeight="1" x14ac:dyDescent="0.25">
      <c r="A262" s="83">
        <f>+A258+1</f>
        <v>126</v>
      </c>
      <c r="B262" s="126" t="s">
        <v>22</v>
      </c>
      <c r="C262" s="136" t="s">
        <v>469</v>
      </c>
      <c r="D262" s="164" t="s">
        <v>339</v>
      </c>
      <c r="E262" s="121" t="s">
        <v>134</v>
      </c>
      <c r="F262" s="120">
        <v>135000</v>
      </c>
      <c r="G262" s="85">
        <f>F262*2.87%</f>
        <v>3874.5</v>
      </c>
      <c r="H262" s="85">
        <f>+F262*3.04%</f>
        <v>4104</v>
      </c>
      <c r="I262" s="123">
        <v>20338.312291666665</v>
      </c>
      <c r="J262" s="86">
        <v>125</v>
      </c>
      <c r="K262" s="85">
        <f>SUM(G262:J262)</f>
        <v>28441.812291666665</v>
      </c>
      <c r="L262" s="86">
        <f>+F262-K262</f>
        <v>106558.18770833334</v>
      </c>
    </row>
    <row r="263" spans="1:12" s="42" customFormat="1" ht="30" customHeight="1" x14ac:dyDescent="0.25">
      <c r="A263" s="88">
        <f>+A262+1</f>
        <v>127</v>
      </c>
      <c r="B263" s="121" t="s">
        <v>340</v>
      </c>
      <c r="C263" s="39" t="s">
        <v>469</v>
      </c>
      <c r="D263" s="121" t="s">
        <v>92</v>
      </c>
      <c r="E263" s="121" t="s">
        <v>134</v>
      </c>
      <c r="F263" s="123">
        <v>90000</v>
      </c>
      <c r="G263" s="90">
        <f>F263*2.87%</f>
        <v>2583</v>
      </c>
      <c r="H263" s="90">
        <f>+F263*3.04%</f>
        <v>2736</v>
      </c>
      <c r="I263" s="123">
        <v>9753.1872916666671</v>
      </c>
      <c r="J263" s="86">
        <v>25</v>
      </c>
      <c r="K263" s="85">
        <f>SUM(G263:J263)</f>
        <v>15097.187291666667</v>
      </c>
      <c r="L263" s="86">
        <f>+F263-K263</f>
        <v>74902.812708333338</v>
      </c>
    </row>
    <row r="264" spans="1:12" s="56" customFormat="1" ht="30" customHeight="1" x14ac:dyDescent="0.25">
      <c r="A264" s="88">
        <f>+A263+1</f>
        <v>128</v>
      </c>
      <c r="B264" s="121" t="s">
        <v>21</v>
      </c>
      <c r="C264" s="39" t="s">
        <v>469</v>
      </c>
      <c r="D264" s="140" t="s">
        <v>341</v>
      </c>
      <c r="E264" s="121" t="s">
        <v>135</v>
      </c>
      <c r="F264" s="90">
        <v>68000</v>
      </c>
      <c r="G264" s="90">
        <f>F264*2.87%</f>
        <v>1951.6</v>
      </c>
      <c r="H264" s="90">
        <f>+F264*3.04%</f>
        <v>2067.1999999999998</v>
      </c>
      <c r="I264" s="123">
        <v>4992.0898333333316</v>
      </c>
      <c r="J264" s="86">
        <f>11471.45+100+25</f>
        <v>11596.45</v>
      </c>
      <c r="K264" s="85">
        <f>SUM(G264:J264)</f>
        <v>20607.339833333332</v>
      </c>
      <c r="L264" s="86">
        <f>+F264-K264</f>
        <v>47392.660166666668</v>
      </c>
    </row>
    <row r="265" spans="1:12" s="95" customFormat="1" ht="30" customHeight="1" x14ac:dyDescent="0.25">
      <c r="A265" s="230" t="s">
        <v>138</v>
      </c>
      <c r="B265" s="231"/>
      <c r="C265" s="231"/>
      <c r="D265" s="231"/>
      <c r="E265" s="232"/>
      <c r="F265" s="40">
        <f t="shared" ref="F265:L265" si="70">SUM(F262:F264)</f>
        <v>293000</v>
      </c>
      <c r="G265" s="40">
        <f t="shared" si="70"/>
        <v>8409.1</v>
      </c>
      <c r="H265" s="40">
        <f t="shared" si="70"/>
        <v>8907.2000000000007</v>
      </c>
      <c r="I265" s="40">
        <f t="shared" si="70"/>
        <v>35083.589416666662</v>
      </c>
      <c r="J265" s="40">
        <f t="shared" si="70"/>
        <v>11746.45</v>
      </c>
      <c r="K265" s="40">
        <f t="shared" si="70"/>
        <v>64146.339416666662</v>
      </c>
      <c r="L265" s="40">
        <f t="shared" si="70"/>
        <v>228853.66058333335</v>
      </c>
    </row>
    <row r="266" spans="1:12" s="56" customFormat="1" ht="30" customHeight="1" thickBot="1" x14ac:dyDescent="0.3">
      <c r="A266" s="53"/>
      <c r="B266" s="53"/>
      <c r="C266" s="53"/>
      <c r="D266" s="53"/>
      <c r="E266" s="53"/>
      <c r="F266"/>
      <c r="G266"/>
      <c r="H266"/>
      <c r="I266"/>
      <c r="J266"/>
      <c r="K266"/>
      <c r="L266"/>
    </row>
    <row r="267" spans="1:12" s="42" customFormat="1" ht="30" customHeight="1" thickBot="1" x14ac:dyDescent="0.3">
      <c r="A267" s="239" t="s">
        <v>343</v>
      </c>
      <c r="B267" s="240"/>
      <c r="C267" s="240"/>
      <c r="D267" s="240"/>
      <c r="E267" s="240"/>
      <c r="F267" s="240"/>
      <c r="G267" s="240"/>
      <c r="H267" s="240"/>
      <c r="I267" s="240"/>
      <c r="J267" s="240"/>
      <c r="K267" s="240"/>
      <c r="L267" s="241"/>
    </row>
    <row r="268" spans="1:12" s="42" customFormat="1" ht="30" customHeight="1" x14ac:dyDescent="0.25">
      <c r="A268" s="88">
        <f>+A264+1</f>
        <v>129</v>
      </c>
      <c r="B268" s="121" t="s">
        <v>342</v>
      </c>
      <c r="C268" s="39" t="s">
        <v>469</v>
      </c>
      <c r="D268" s="121" t="s">
        <v>107</v>
      </c>
      <c r="E268" s="121" t="s">
        <v>135</v>
      </c>
      <c r="F268" s="123">
        <v>90000</v>
      </c>
      <c r="G268" s="123">
        <f>F268*2.87%</f>
        <v>2583</v>
      </c>
      <c r="H268" s="123">
        <f>+F268*3.04%</f>
        <v>2736</v>
      </c>
      <c r="I268" s="90">
        <v>9375.0747916666678</v>
      </c>
      <c r="J268" s="86">
        <v>1537.45</v>
      </c>
      <c r="K268" s="85">
        <f>SUM(G268:J268)</f>
        <v>16231.524791666669</v>
      </c>
      <c r="L268" s="86">
        <f>+F268-K268</f>
        <v>73768.47520833333</v>
      </c>
    </row>
    <row r="269" spans="1:12" s="56" customFormat="1" ht="30" customHeight="1" x14ac:dyDescent="0.25">
      <c r="A269" s="88">
        <f>+A268+1</f>
        <v>130</v>
      </c>
      <c r="B269" s="121" t="s">
        <v>20</v>
      </c>
      <c r="C269" s="39" t="s">
        <v>469</v>
      </c>
      <c r="D269" s="140" t="s">
        <v>341</v>
      </c>
      <c r="E269" s="121" t="s">
        <v>135</v>
      </c>
      <c r="F269" s="123">
        <v>68000</v>
      </c>
      <c r="G269" s="90">
        <f>F269*2.87%</f>
        <v>1951.6</v>
      </c>
      <c r="H269" s="90">
        <f>+F269*3.04%</f>
        <v>2067.1999999999998</v>
      </c>
      <c r="I269" s="123">
        <v>4992.0898333333316</v>
      </c>
      <c r="J269" s="86">
        <v>15321.23</v>
      </c>
      <c r="K269" s="85">
        <f>SUM(G269:J269)</f>
        <v>24332.11983333333</v>
      </c>
      <c r="L269" s="86">
        <f>+F269-K269</f>
        <v>43667.88016666667</v>
      </c>
    </row>
    <row r="270" spans="1:12" s="56" customFormat="1" ht="30" customHeight="1" x14ac:dyDescent="0.25">
      <c r="A270" s="230" t="s">
        <v>138</v>
      </c>
      <c r="B270" s="231"/>
      <c r="C270" s="231"/>
      <c r="D270" s="231"/>
      <c r="E270" s="232"/>
      <c r="F270" s="40">
        <f t="shared" ref="F270:L270" si="71">SUM(F268:F269)</f>
        <v>158000</v>
      </c>
      <c r="G270" s="40">
        <f t="shared" si="71"/>
        <v>4534.6000000000004</v>
      </c>
      <c r="H270" s="40">
        <f t="shared" si="71"/>
        <v>4803.2</v>
      </c>
      <c r="I270" s="40">
        <f t="shared" si="71"/>
        <v>14367.164624999999</v>
      </c>
      <c r="J270" s="40">
        <f t="shared" si="71"/>
        <v>16858.68</v>
      </c>
      <c r="K270" s="40">
        <f t="shared" si="71"/>
        <v>40563.644625000001</v>
      </c>
      <c r="L270" s="40">
        <f t="shared" si="71"/>
        <v>117436.355375</v>
      </c>
    </row>
    <row r="271" spans="1:12" s="56" customFormat="1" ht="30" customHeight="1" thickBot="1" x14ac:dyDescent="0.3">
      <c r="A271" s="53"/>
      <c r="B271" s="53"/>
      <c r="C271" s="53"/>
      <c r="D271" s="53"/>
      <c r="E271" s="53"/>
      <c r="F271" s="43"/>
      <c r="G271" s="43"/>
      <c r="H271" s="43"/>
      <c r="I271" s="43"/>
      <c r="J271" s="43"/>
      <c r="K271" s="43"/>
      <c r="L271" s="43"/>
    </row>
    <row r="272" spans="1:12" s="56" customFormat="1" ht="30" customHeight="1" thickBot="1" x14ac:dyDescent="0.3">
      <c r="A272" s="239" t="s">
        <v>253</v>
      </c>
      <c r="B272" s="240"/>
      <c r="C272" s="240"/>
      <c r="D272" s="240"/>
      <c r="E272" s="240"/>
      <c r="F272" s="240"/>
      <c r="G272" s="240"/>
      <c r="H272" s="240"/>
      <c r="I272" s="240"/>
      <c r="J272" s="240"/>
      <c r="K272" s="240"/>
      <c r="L272" s="241"/>
    </row>
    <row r="273" spans="1:12" s="42" customFormat="1" ht="30" customHeight="1" x14ac:dyDescent="0.25">
      <c r="A273" s="88">
        <f>+A269+1</f>
        <v>131</v>
      </c>
      <c r="B273" s="121" t="s">
        <v>25</v>
      </c>
      <c r="C273" s="39" t="s">
        <v>469</v>
      </c>
      <c r="D273" s="121" t="s">
        <v>467</v>
      </c>
      <c r="E273" s="121" t="s">
        <v>134</v>
      </c>
      <c r="F273" s="123">
        <v>120000</v>
      </c>
      <c r="G273" s="123">
        <f>F273*2.87%</f>
        <v>3444</v>
      </c>
      <c r="H273" s="90">
        <f>+F273*3.04%</f>
        <v>3648</v>
      </c>
      <c r="I273" s="90">
        <v>16809.937291666702</v>
      </c>
      <c r="J273" s="86">
        <v>125</v>
      </c>
      <c r="K273" s="85">
        <f>SUM(G273:J273)</f>
        <v>24026.937291666702</v>
      </c>
      <c r="L273" s="86">
        <f>+F273-K273</f>
        <v>95973.062708333295</v>
      </c>
    </row>
    <row r="274" spans="1:12" s="42" customFormat="1" ht="30" customHeight="1" x14ac:dyDescent="0.25">
      <c r="A274" s="88">
        <f>+A273+1</f>
        <v>132</v>
      </c>
      <c r="B274" s="121" t="s">
        <v>254</v>
      </c>
      <c r="C274" s="39" t="s">
        <v>469</v>
      </c>
      <c r="D274" s="121" t="s">
        <v>23</v>
      </c>
      <c r="E274" s="121" t="s">
        <v>135</v>
      </c>
      <c r="F274" s="123">
        <v>65000</v>
      </c>
      <c r="G274" s="123">
        <f>F274*2.87%</f>
        <v>1865.5</v>
      </c>
      <c r="H274" s="90">
        <f>+F274*3.04%</f>
        <v>1976</v>
      </c>
      <c r="I274" s="123">
        <v>4125.0598333333355</v>
      </c>
      <c r="J274" s="86">
        <v>16542.86</v>
      </c>
      <c r="K274" s="85">
        <f>SUM(G274:J274)</f>
        <v>24509.419833333337</v>
      </c>
      <c r="L274" s="86">
        <f>+F274-K274</f>
        <v>40490.580166666667</v>
      </c>
    </row>
    <row r="275" spans="1:12" s="42" customFormat="1" ht="30" customHeight="1" x14ac:dyDescent="0.25">
      <c r="A275" s="88">
        <f>+A274+1</f>
        <v>133</v>
      </c>
      <c r="B275" s="121" t="s">
        <v>90</v>
      </c>
      <c r="C275" s="39" t="s">
        <v>469</v>
      </c>
      <c r="D275" s="121" t="s">
        <v>23</v>
      </c>
      <c r="E275" s="121" t="s">
        <v>135</v>
      </c>
      <c r="F275" s="123">
        <v>60000</v>
      </c>
      <c r="G275" s="123">
        <f>F275*2.87%</f>
        <v>1722</v>
      </c>
      <c r="H275" s="90">
        <f>+F275*3.04%</f>
        <v>1824</v>
      </c>
      <c r="I275" s="90">
        <v>3486.6498333333329</v>
      </c>
      <c r="J275" s="86">
        <v>25</v>
      </c>
      <c r="K275" s="85">
        <f>SUM(G275:J275)</f>
        <v>7057.6498333333329</v>
      </c>
      <c r="L275" s="86">
        <f>+F275-K275</f>
        <v>52942.350166666671</v>
      </c>
    </row>
    <row r="276" spans="1:12" s="42" customFormat="1" ht="30" customHeight="1" x14ac:dyDescent="0.25">
      <c r="A276" s="88">
        <f>+A275+1</f>
        <v>134</v>
      </c>
      <c r="B276" s="121" t="s">
        <v>511</v>
      </c>
      <c r="C276" s="39" t="s">
        <v>469</v>
      </c>
      <c r="D276" s="121" t="s">
        <v>23</v>
      </c>
      <c r="E276" s="121" t="s">
        <v>135</v>
      </c>
      <c r="F276" s="123">
        <v>60000</v>
      </c>
      <c r="G276" s="123">
        <f>F276*2.87%</f>
        <v>1722</v>
      </c>
      <c r="H276" s="90">
        <f>+F276*3.04%</f>
        <v>1824</v>
      </c>
      <c r="I276" s="90">
        <v>2881.669833333332</v>
      </c>
      <c r="J276" s="86">
        <v>3149.9</v>
      </c>
      <c r="K276" s="85">
        <f>SUM(G276:J276)</f>
        <v>9577.5698333333312</v>
      </c>
      <c r="L276" s="86">
        <f>+F276-K276</f>
        <v>50422.430166666672</v>
      </c>
    </row>
    <row r="277" spans="1:12" s="42" customFormat="1" ht="30" customHeight="1" x14ac:dyDescent="0.25">
      <c r="A277" s="230" t="s">
        <v>138</v>
      </c>
      <c r="B277" s="231"/>
      <c r="C277" s="231"/>
      <c r="D277" s="231"/>
      <c r="E277" s="232"/>
      <c r="F277" s="40">
        <f>SUM(F273:F276)</f>
        <v>305000</v>
      </c>
      <c r="G277" s="40">
        <f t="shared" ref="G277:L277" si="72">SUM(G273:G276)</f>
        <v>8753.5</v>
      </c>
      <c r="H277" s="40">
        <f t="shared" si="72"/>
        <v>9272</v>
      </c>
      <c r="I277" s="40">
        <f t="shared" si="72"/>
        <v>27303.316791666704</v>
      </c>
      <c r="J277" s="40">
        <f t="shared" si="72"/>
        <v>19842.760000000002</v>
      </c>
      <c r="K277" s="40">
        <f t="shared" si="72"/>
        <v>65171.576791666695</v>
      </c>
      <c r="L277" s="40">
        <f t="shared" si="72"/>
        <v>239828.42320833332</v>
      </c>
    </row>
    <row r="278" spans="1:12" s="56" customFormat="1" ht="30" customHeight="1" thickBot="1" x14ac:dyDescent="0.3">
      <c r="A278" s="53"/>
      <c r="B278" s="53"/>
      <c r="C278" s="53"/>
      <c r="D278" s="53"/>
      <c r="E278" s="53"/>
      <c r="F278" s="43"/>
      <c r="G278" s="43"/>
      <c r="H278" s="43"/>
      <c r="I278" s="43"/>
      <c r="J278" s="43"/>
      <c r="K278" s="43"/>
      <c r="L278" s="43"/>
    </row>
    <row r="279" spans="1:12" s="42" customFormat="1" ht="30" customHeight="1" thickBot="1" x14ac:dyDescent="0.3">
      <c r="A279" s="236" t="s">
        <v>26</v>
      </c>
      <c r="B279" s="237"/>
      <c r="C279" s="237"/>
      <c r="D279" s="237"/>
      <c r="E279" s="237"/>
      <c r="F279" s="237"/>
      <c r="G279" s="237"/>
      <c r="H279" s="237"/>
      <c r="I279" s="237"/>
      <c r="J279" s="237"/>
      <c r="K279" s="237"/>
      <c r="L279" s="238"/>
    </row>
    <row r="280" spans="1:12" customFormat="1" ht="30" customHeight="1" x14ac:dyDescent="0.25">
      <c r="A280" s="88">
        <f>+A276+1</f>
        <v>135</v>
      </c>
      <c r="B280" s="121" t="s">
        <v>19</v>
      </c>
      <c r="C280" s="39" t="s">
        <v>470</v>
      </c>
      <c r="D280" s="121" t="s">
        <v>106</v>
      </c>
      <c r="E280" s="121" t="s">
        <v>135</v>
      </c>
      <c r="F280" s="123">
        <v>50000</v>
      </c>
      <c r="G280" s="123">
        <f>F280*2.87%</f>
        <v>1435</v>
      </c>
      <c r="H280" s="90">
        <f>+F280*3.04%</f>
        <v>1520</v>
      </c>
      <c r="I280" s="90">
        <v>1627.1323749999999</v>
      </c>
      <c r="J280" s="86">
        <v>1537.45</v>
      </c>
      <c r="K280" s="85">
        <f t="shared" ref="K280" si="73">SUM(G280:J280)</f>
        <v>6119.582375</v>
      </c>
      <c r="L280" s="86">
        <f>+F280-K280</f>
        <v>43880.417625000002</v>
      </c>
    </row>
    <row r="281" spans="1:12" s="56" customFormat="1" ht="30" customHeight="1" x14ac:dyDescent="0.25">
      <c r="A281" s="88">
        <f>+A280+1</f>
        <v>136</v>
      </c>
      <c r="B281" s="121" t="s">
        <v>502</v>
      </c>
      <c r="C281" s="39" t="s">
        <v>470</v>
      </c>
      <c r="D281" s="121" t="s">
        <v>503</v>
      </c>
      <c r="E281" s="121" t="s">
        <v>252</v>
      </c>
      <c r="F281" s="123">
        <v>40000</v>
      </c>
      <c r="G281" s="90">
        <f>F281*2.87%</f>
        <v>1148</v>
      </c>
      <c r="H281" s="90">
        <f>+F281*3.04%</f>
        <v>1216</v>
      </c>
      <c r="I281" s="90">
        <v>442.64987499999984</v>
      </c>
      <c r="J281" s="86">
        <v>125</v>
      </c>
      <c r="K281" s="85">
        <f>SUM(G281:J281)</f>
        <v>2931.6498750000001</v>
      </c>
      <c r="L281" s="86">
        <f>+F281-K281</f>
        <v>37068.350124999997</v>
      </c>
    </row>
    <row r="282" spans="1:12" s="56" customFormat="1" ht="30" customHeight="1" x14ac:dyDescent="0.25">
      <c r="A282" s="230" t="s">
        <v>138</v>
      </c>
      <c r="B282" s="231"/>
      <c r="C282" s="231"/>
      <c r="D282" s="231"/>
      <c r="E282" s="232"/>
      <c r="F282" s="40">
        <f>SUM(F280:F281)</f>
        <v>90000</v>
      </c>
      <c r="G282" s="40">
        <f t="shared" ref="G282:L282" si="74">SUM(G280:G281)</f>
        <v>2583</v>
      </c>
      <c r="H282" s="40">
        <f t="shared" si="74"/>
        <v>2736</v>
      </c>
      <c r="I282" s="40">
        <f t="shared" si="74"/>
        <v>2069.7822499999997</v>
      </c>
      <c r="J282" s="40">
        <f t="shared" si="74"/>
        <v>1662.45</v>
      </c>
      <c r="K282" s="40">
        <f t="shared" si="74"/>
        <v>9051.2322500000009</v>
      </c>
      <c r="L282" s="40">
        <f t="shared" si="74"/>
        <v>80948.767749999999</v>
      </c>
    </row>
    <row r="283" spans="1:12" s="56" customFormat="1" ht="30" customHeight="1" thickBot="1" x14ac:dyDescent="0.3">
      <c r="A283"/>
      <c r="B283"/>
      <c r="C283" s="152"/>
      <c r="D283"/>
      <c r="E283"/>
      <c r="F283"/>
      <c r="G283"/>
      <c r="H283"/>
      <c r="I283"/>
      <c r="J283"/>
      <c r="K283"/>
      <c r="L283"/>
    </row>
    <row r="284" spans="1:12" s="42" customFormat="1" ht="30" customHeight="1" thickBot="1" x14ac:dyDescent="0.3">
      <c r="A284" s="233" t="s">
        <v>345</v>
      </c>
      <c r="B284" s="234"/>
      <c r="C284" s="234"/>
      <c r="D284" s="234"/>
      <c r="E284" s="234"/>
      <c r="F284" s="234"/>
      <c r="G284" s="234"/>
      <c r="H284" s="234"/>
      <c r="I284" s="234"/>
      <c r="J284" s="234"/>
      <c r="K284" s="234"/>
      <c r="L284" s="235"/>
    </row>
    <row r="285" spans="1:12" s="87" customFormat="1" ht="30" customHeight="1" x14ac:dyDescent="0.25">
      <c r="A285" s="88">
        <f>+A281+1</f>
        <v>137</v>
      </c>
      <c r="B285" s="126" t="s">
        <v>30</v>
      </c>
      <c r="C285" s="136" t="s">
        <v>470</v>
      </c>
      <c r="D285" s="137" t="s">
        <v>211</v>
      </c>
      <c r="E285" s="121" t="s">
        <v>135</v>
      </c>
      <c r="F285" s="120">
        <v>90000</v>
      </c>
      <c r="G285" s="120">
        <f>F285*2.87%</f>
        <v>2583</v>
      </c>
      <c r="H285" s="85">
        <f>+F285*3.04%</f>
        <v>2736</v>
      </c>
      <c r="I285" s="85">
        <v>9375.0747916666678</v>
      </c>
      <c r="J285" s="92">
        <v>1537.45</v>
      </c>
      <c r="K285" s="85">
        <f>SUM(G285:J285)</f>
        <v>16231.524791666669</v>
      </c>
      <c r="L285" s="86">
        <f>+F285-K285</f>
        <v>73768.47520833333</v>
      </c>
    </row>
    <row r="286" spans="1:12" s="87" customFormat="1" ht="30" customHeight="1" x14ac:dyDescent="0.25">
      <c r="A286" s="88">
        <f>+A285+1</f>
        <v>138</v>
      </c>
      <c r="B286" s="121" t="s">
        <v>41</v>
      </c>
      <c r="C286" s="39" t="s">
        <v>470</v>
      </c>
      <c r="D286" s="121" t="s">
        <v>106</v>
      </c>
      <c r="E286" s="121" t="s">
        <v>252</v>
      </c>
      <c r="F286" s="123">
        <v>40000</v>
      </c>
      <c r="G286" s="90">
        <f>F286*2.87%</f>
        <v>1148</v>
      </c>
      <c r="H286" s="90">
        <f>+F286*3.04%</f>
        <v>1216</v>
      </c>
      <c r="I286" s="90"/>
      <c r="J286" s="92">
        <v>1898.84</v>
      </c>
      <c r="K286" s="85">
        <f t="shared" ref="K286" si="75">SUM(G286:J286)</f>
        <v>4262.84</v>
      </c>
      <c r="L286" s="86">
        <f>+F286-K286</f>
        <v>35737.160000000003</v>
      </c>
    </row>
    <row r="287" spans="1:12" s="87" customFormat="1" ht="30" customHeight="1" thickBot="1" x14ac:dyDescent="0.3">
      <c r="A287" s="230" t="s">
        <v>138</v>
      </c>
      <c r="B287" s="231"/>
      <c r="C287" s="231"/>
      <c r="D287" s="231"/>
      <c r="E287" s="232"/>
      <c r="F287" s="40">
        <f>SUM(F285:F286)</f>
        <v>130000</v>
      </c>
      <c r="G287" s="40">
        <f t="shared" ref="G287:L287" si="76">SUM(G285:G286)</f>
        <v>3731</v>
      </c>
      <c r="H287" s="40">
        <f t="shared" si="76"/>
        <v>3952</v>
      </c>
      <c r="I287" s="40">
        <f t="shared" si="76"/>
        <v>9375.0747916666678</v>
      </c>
      <c r="J287" s="40">
        <f t="shared" si="76"/>
        <v>3436.29</v>
      </c>
      <c r="K287" s="40">
        <f t="shared" si="76"/>
        <v>20494.364791666667</v>
      </c>
      <c r="L287" s="40">
        <f t="shared" si="76"/>
        <v>109505.63520833333</v>
      </c>
    </row>
    <row r="288" spans="1:12" s="87" customFormat="1" ht="25.5" customHeight="1" thickBot="1" x14ac:dyDescent="0.3">
      <c r="A288" s="233" t="s">
        <v>346</v>
      </c>
      <c r="B288" s="234"/>
      <c r="C288" s="234"/>
      <c r="D288" s="234"/>
      <c r="E288" s="234"/>
      <c r="F288" s="234"/>
      <c r="G288" s="234"/>
      <c r="H288" s="234"/>
      <c r="I288" s="234"/>
      <c r="J288" s="234"/>
      <c r="K288" s="234"/>
      <c r="L288" s="235"/>
    </row>
    <row r="289" spans="1:12" s="94" customFormat="1" ht="30" customHeight="1" x14ac:dyDescent="0.25">
      <c r="A289" s="83">
        <f>+A286+1</f>
        <v>139</v>
      </c>
      <c r="B289" s="126" t="s">
        <v>437</v>
      </c>
      <c r="C289" s="136" t="s">
        <v>469</v>
      </c>
      <c r="D289" s="126" t="s">
        <v>347</v>
      </c>
      <c r="E289" s="121" t="s">
        <v>252</v>
      </c>
      <c r="F289" s="120">
        <v>45000</v>
      </c>
      <c r="G289" s="90">
        <f t="shared" ref="G289:G292" si="77">F289*2.87%</f>
        <v>1291.5</v>
      </c>
      <c r="H289" s="90">
        <f t="shared" ref="H289:H292" si="78">+F289*3.04%</f>
        <v>1368</v>
      </c>
      <c r="I289" s="85"/>
      <c r="J289" s="86">
        <v>2025</v>
      </c>
      <c r="K289" s="85">
        <f>SUM(G289:J289)</f>
        <v>4684.5</v>
      </c>
      <c r="L289" s="86">
        <f>+F289-K289</f>
        <v>40315.5</v>
      </c>
    </row>
    <row r="290" spans="1:12" s="99" customFormat="1" ht="30" customHeight="1" x14ac:dyDescent="0.25">
      <c r="A290" s="83">
        <f>+A289+1</f>
        <v>140</v>
      </c>
      <c r="B290" s="126" t="s">
        <v>166</v>
      </c>
      <c r="C290" s="136" t="s">
        <v>469</v>
      </c>
      <c r="D290" s="126" t="s">
        <v>347</v>
      </c>
      <c r="E290" s="121" t="s">
        <v>252</v>
      </c>
      <c r="F290" s="120">
        <v>35000</v>
      </c>
      <c r="G290" s="90">
        <f t="shared" si="77"/>
        <v>1004.5</v>
      </c>
      <c r="H290" s="90">
        <f t="shared" si="78"/>
        <v>1064</v>
      </c>
      <c r="I290" s="85"/>
      <c r="J290" s="86">
        <v>5706.82</v>
      </c>
      <c r="K290" s="85">
        <f>SUM(G290:J290)</f>
        <v>7775.32</v>
      </c>
      <c r="L290" s="86">
        <f>+F290-K290</f>
        <v>27224.68</v>
      </c>
    </row>
    <row r="291" spans="1:12" s="99" customFormat="1" ht="30" customHeight="1" x14ac:dyDescent="0.25">
      <c r="A291" s="83">
        <f>+A290+1</f>
        <v>141</v>
      </c>
      <c r="B291" s="126" t="s">
        <v>536</v>
      </c>
      <c r="C291" s="136" t="s">
        <v>469</v>
      </c>
      <c r="D291" s="126" t="s">
        <v>347</v>
      </c>
      <c r="E291" s="121" t="s">
        <v>252</v>
      </c>
      <c r="F291" s="120">
        <v>35000</v>
      </c>
      <c r="G291" s="90">
        <f>F291*2.87%</f>
        <v>1004.5</v>
      </c>
      <c r="H291" s="90">
        <f t="shared" si="78"/>
        <v>1064</v>
      </c>
      <c r="I291" s="85"/>
      <c r="J291" s="86">
        <f>3136+8817.35+25+100</f>
        <v>12078.35</v>
      </c>
      <c r="K291" s="85">
        <f>SUM(G291:J291)</f>
        <v>14146.85</v>
      </c>
      <c r="L291" s="86">
        <f>+F291-K291</f>
        <v>20853.150000000001</v>
      </c>
    </row>
    <row r="292" spans="1:12" s="56" customFormat="1" ht="30" customHeight="1" x14ac:dyDescent="0.25">
      <c r="A292" s="83">
        <f t="shared" ref="A292:A315" si="79">+A291+1</f>
        <v>142</v>
      </c>
      <c r="B292" s="121" t="s">
        <v>33</v>
      </c>
      <c r="C292" s="39" t="s">
        <v>470</v>
      </c>
      <c r="D292" s="121" t="s">
        <v>109</v>
      </c>
      <c r="E292" s="121" t="s">
        <v>135</v>
      </c>
      <c r="F292" s="123">
        <v>28875</v>
      </c>
      <c r="G292" s="90">
        <f t="shared" si="77"/>
        <v>828.71249999999998</v>
      </c>
      <c r="H292" s="90">
        <f t="shared" si="78"/>
        <v>877.8</v>
      </c>
      <c r="I292" s="90">
        <v>0</v>
      </c>
      <c r="J292" s="92">
        <v>3204.71</v>
      </c>
      <c r="K292" s="85">
        <f>SUM(G292:J292)</f>
        <v>4911.2224999999999</v>
      </c>
      <c r="L292" s="86">
        <f>+F292-K292</f>
        <v>23963.7775</v>
      </c>
    </row>
    <row r="293" spans="1:12" s="56" customFormat="1" ht="30" customHeight="1" x14ac:dyDescent="0.25">
      <c r="A293" s="83">
        <f t="shared" si="79"/>
        <v>143</v>
      </c>
      <c r="B293" s="121" t="s">
        <v>32</v>
      </c>
      <c r="C293" s="39" t="s">
        <v>470</v>
      </c>
      <c r="D293" s="121" t="s">
        <v>109</v>
      </c>
      <c r="E293" s="121" t="s">
        <v>135</v>
      </c>
      <c r="F293" s="123">
        <v>28000</v>
      </c>
      <c r="G293" s="90">
        <f>F293*2.87%</f>
        <v>803.6</v>
      </c>
      <c r="H293" s="90">
        <f>+F293*3.04%</f>
        <v>851.2</v>
      </c>
      <c r="I293" s="90">
        <v>0</v>
      </c>
      <c r="J293" s="92">
        <v>1537.45</v>
      </c>
      <c r="K293" s="85">
        <f t="shared" ref="K293:K311" si="80">SUM(G293:J293)</f>
        <v>3192.25</v>
      </c>
      <c r="L293" s="86">
        <f t="shared" ref="L293:L311" si="81">+F293-K293</f>
        <v>24807.75</v>
      </c>
    </row>
    <row r="294" spans="1:12" s="56" customFormat="1" ht="30" customHeight="1" x14ac:dyDescent="0.25">
      <c r="A294" s="83">
        <f t="shared" si="79"/>
        <v>144</v>
      </c>
      <c r="B294" s="121" t="s">
        <v>212</v>
      </c>
      <c r="C294" s="39" t="s">
        <v>470</v>
      </c>
      <c r="D294" s="121" t="s">
        <v>109</v>
      </c>
      <c r="E294" s="121" t="s">
        <v>135</v>
      </c>
      <c r="F294" s="123">
        <v>28000</v>
      </c>
      <c r="G294" s="90">
        <f t="shared" ref="G294:G314" si="82">F294*2.87%</f>
        <v>803.6</v>
      </c>
      <c r="H294" s="90">
        <f t="shared" ref="H294:H314" si="83">+F294*3.04%</f>
        <v>851.2</v>
      </c>
      <c r="I294" s="90">
        <v>0</v>
      </c>
      <c r="J294" s="92">
        <v>525</v>
      </c>
      <c r="K294" s="85">
        <f t="shared" si="80"/>
        <v>2179.8000000000002</v>
      </c>
      <c r="L294" s="86">
        <f t="shared" si="81"/>
        <v>25820.2</v>
      </c>
    </row>
    <row r="295" spans="1:12" s="56" customFormat="1" ht="30" customHeight="1" x14ac:dyDescent="0.25">
      <c r="A295" s="83">
        <f t="shared" si="79"/>
        <v>145</v>
      </c>
      <c r="B295" s="121" t="s">
        <v>348</v>
      </c>
      <c r="C295" s="39" t="s">
        <v>470</v>
      </c>
      <c r="D295" s="121" t="s">
        <v>39</v>
      </c>
      <c r="E295" s="121" t="s">
        <v>135</v>
      </c>
      <c r="F295" s="123">
        <v>28000</v>
      </c>
      <c r="G295" s="90">
        <f t="shared" si="82"/>
        <v>803.6</v>
      </c>
      <c r="H295" s="90">
        <f t="shared" si="83"/>
        <v>851.2</v>
      </c>
      <c r="I295" s="90">
        <v>0</v>
      </c>
      <c r="J295" s="92">
        <v>125</v>
      </c>
      <c r="K295" s="85">
        <f>SUM(G295:J295)</f>
        <v>1779.8000000000002</v>
      </c>
      <c r="L295" s="86">
        <f t="shared" si="81"/>
        <v>26220.2</v>
      </c>
    </row>
    <row r="296" spans="1:12" s="56" customFormat="1" ht="30" customHeight="1" x14ac:dyDescent="0.25">
      <c r="A296" s="83">
        <f t="shared" si="79"/>
        <v>146</v>
      </c>
      <c r="B296" s="121" t="s">
        <v>35</v>
      </c>
      <c r="C296" s="39" t="s">
        <v>470</v>
      </c>
      <c r="D296" s="121" t="s">
        <v>39</v>
      </c>
      <c r="E296" s="121" t="s">
        <v>252</v>
      </c>
      <c r="F296" s="123">
        <v>28000</v>
      </c>
      <c r="G296" s="90">
        <f t="shared" si="82"/>
        <v>803.6</v>
      </c>
      <c r="H296" s="90">
        <f t="shared" si="83"/>
        <v>851.2</v>
      </c>
      <c r="I296" s="90">
        <v>0</v>
      </c>
      <c r="J296" s="92">
        <v>10785.65</v>
      </c>
      <c r="K296" s="85">
        <f t="shared" si="80"/>
        <v>12440.45</v>
      </c>
      <c r="L296" s="86">
        <f t="shared" si="81"/>
        <v>15559.55</v>
      </c>
    </row>
    <row r="297" spans="1:12" s="56" customFormat="1" ht="30" customHeight="1" x14ac:dyDescent="0.25">
      <c r="A297" s="83">
        <f t="shared" si="79"/>
        <v>147</v>
      </c>
      <c r="B297" s="121" t="s">
        <v>36</v>
      </c>
      <c r="C297" s="39" t="s">
        <v>469</v>
      </c>
      <c r="D297" s="121" t="s">
        <v>39</v>
      </c>
      <c r="E297" s="121" t="s">
        <v>252</v>
      </c>
      <c r="F297" s="123">
        <v>28000</v>
      </c>
      <c r="G297" s="90">
        <f t="shared" si="82"/>
        <v>803.6</v>
      </c>
      <c r="H297" s="90">
        <f t="shared" si="83"/>
        <v>851.2</v>
      </c>
      <c r="I297" s="90">
        <v>0</v>
      </c>
      <c r="J297" s="92">
        <v>1125</v>
      </c>
      <c r="K297" s="85">
        <f t="shared" si="80"/>
        <v>2779.8</v>
      </c>
      <c r="L297" s="86">
        <f t="shared" si="81"/>
        <v>25220.2</v>
      </c>
    </row>
    <row r="298" spans="1:12" s="56" customFormat="1" ht="30" customHeight="1" x14ac:dyDescent="0.25">
      <c r="A298" s="83">
        <f t="shared" si="79"/>
        <v>148</v>
      </c>
      <c r="B298" s="121" t="s">
        <v>349</v>
      </c>
      <c r="C298" s="39" t="s">
        <v>470</v>
      </c>
      <c r="D298" s="121" t="s">
        <v>39</v>
      </c>
      <c r="E298" s="121" t="s">
        <v>135</v>
      </c>
      <c r="F298" s="123">
        <v>28000</v>
      </c>
      <c r="G298" s="90">
        <f t="shared" si="82"/>
        <v>803.6</v>
      </c>
      <c r="H298" s="90">
        <f t="shared" si="83"/>
        <v>851.2</v>
      </c>
      <c r="I298" s="90">
        <v>0</v>
      </c>
      <c r="J298" s="92">
        <v>125</v>
      </c>
      <c r="K298" s="85">
        <f t="shared" si="80"/>
        <v>1779.8000000000002</v>
      </c>
      <c r="L298" s="86">
        <f t="shared" si="81"/>
        <v>26220.2</v>
      </c>
    </row>
    <row r="299" spans="1:12" s="56" customFormat="1" ht="30" customHeight="1" x14ac:dyDescent="0.25">
      <c r="A299" s="83">
        <f t="shared" si="79"/>
        <v>149</v>
      </c>
      <c r="B299" s="121" t="s">
        <v>37</v>
      </c>
      <c r="C299" s="39" t="s">
        <v>470</v>
      </c>
      <c r="D299" s="121" t="s">
        <v>39</v>
      </c>
      <c r="E299" s="121" t="s">
        <v>135</v>
      </c>
      <c r="F299" s="123">
        <v>28000</v>
      </c>
      <c r="G299" s="90">
        <f t="shared" si="82"/>
        <v>803.6</v>
      </c>
      <c r="H299" s="90">
        <f t="shared" si="83"/>
        <v>851.2</v>
      </c>
      <c r="I299" s="90">
        <v>0</v>
      </c>
      <c r="J299" s="92">
        <v>3414.22</v>
      </c>
      <c r="K299" s="85">
        <f t="shared" si="80"/>
        <v>5069.0200000000004</v>
      </c>
      <c r="L299" s="86">
        <f t="shared" si="81"/>
        <v>22930.98</v>
      </c>
    </row>
    <row r="300" spans="1:12" s="56" customFormat="1" ht="30" customHeight="1" x14ac:dyDescent="0.25">
      <c r="A300" s="83">
        <f t="shared" si="79"/>
        <v>150</v>
      </c>
      <c r="B300" s="121" t="s">
        <v>38</v>
      </c>
      <c r="C300" s="39" t="s">
        <v>469</v>
      </c>
      <c r="D300" s="121" t="s">
        <v>39</v>
      </c>
      <c r="E300" s="121" t="s">
        <v>135</v>
      </c>
      <c r="F300" s="123">
        <v>28000</v>
      </c>
      <c r="G300" s="90">
        <f t="shared" si="82"/>
        <v>803.6</v>
      </c>
      <c r="H300" s="90">
        <f t="shared" si="83"/>
        <v>851.2</v>
      </c>
      <c r="I300" s="90">
        <v>0</v>
      </c>
      <c r="J300" s="92">
        <v>25</v>
      </c>
      <c r="K300" s="85">
        <f t="shared" si="80"/>
        <v>1679.8000000000002</v>
      </c>
      <c r="L300" s="86">
        <f t="shared" si="81"/>
        <v>26320.2</v>
      </c>
    </row>
    <row r="301" spans="1:12" s="56" customFormat="1" ht="30" customHeight="1" x14ac:dyDescent="0.25">
      <c r="A301" s="83">
        <f t="shared" si="79"/>
        <v>151</v>
      </c>
      <c r="B301" s="121" t="s">
        <v>34</v>
      </c>
      <c r="C301" s="39" t="s">
        <v>469</v>
      </c>
      <c r="D301" s="121" t="s">
        <v>39</v>
      </c>
      <c r="E301" s="121" t="s">
        <v>135</v>
      </c>
      <c r="F301" s="123">
        <v>24000</v>
      </c>
      <c r="G301" s="90">
        <f t="shared" si="82"/>
        <v>688.8</v>
      </c>
      <c r="H301" s="90">
        <f t="shared" si="83"/>
        <v>729.6</v>
      </c>
      <c r="I301" s="90">
        <v>0</v>
      </c>
      <c r="J301" s="92">
        <v>7391.54</v>
      </c>
      <c r="K301" s="85">
        <f t="shared" si="80"/>
        <v>8809.94</v>
      </c>
      <c r="L301" s="86">
        <f t="shared" si="81"/>
        <v>15190.06</v>
      </c>
    </row>
    <row r="302" spans="1:12" s="35" customFormat="1" ht="28.5" customHeight="1" x14ac:dyDescent="0.25">
      <c r="A302" s="83">
        <f t="shared" si="79"/>
        <v>152</v>
      </c>
      <c r="B302" s="121" t="s">
        <v>350</v>
      </c>
      <c r="C302" s="39" t="s">
        <v>470</v>
      </c>
      <c r="D302" s="121" t="s">
        <v>39</v>
      </c>
      <c r="E302" s="121" t="s">
        <v>135</v>
      </c>
      <c r="F302" s="123">
        <v>24000</v>
      </c>
      <c r="G302" s="90">
        <f t="shared" si="82"/>
        <v>688.8</v>
      </c>
      <c r="H302" s="90">
        <f t="shared" si="83"/>
        <v>729.6</v>
      </c>
      <c r="I302" s="90"/>
      <c r="J302" s="92">
        <v>125</v>
      </c>
      <c r="K302" s="85">
        <f t="shared" si="80"/>
        <v>1543.4</v>
      </c>
      <c r="L302" s="86">
        <f t="shared" si="81"/>
        <v>22456.6</v>
      </c>
    </row>
    <row r="303" spans="1:12" s="35" customFormat="1" ht="28.5" customHeight="1" x14ac:dyDescent="0.25">
      <c r="A303" s="83">
        <f t="shared" si="79"/>
        <v>153</v>
      </c>
      <c r="B303" s="121" t="s">
        <v>351</v>
      </c>
      <c r="C303" s="39" t="s">
        <v>469</v>
      </c>
      <c r="D303" s="121" t="s">
        <v>39</v>
      </c>
      <c r="E303" s="121" t="s">
        <v>252</v>
      </c>
      <c r="F303" s="123">
        <v>24000</v>
      </c>
      <c r="G303" s="90">
        <f t="shared" si="82"/>
        <v>688.8</v>
      </c>
      <c r="H303" s="90">
        <f t="shared" si="83"/>
        <v>729.6</v>
      </c>
      <c r="I303" s="90">
        <v>0</v>
      </c>
      <c r="J303" s="92">
        <v>5624.88</v>
      </c>
      <c r="K303" s="85">
        <f>SUM(G303:J303)</f>
        <v>7043.2800000000007</v>
      </c>
      <c r="L303" s="86">
        <f t="shared" si="81"/>
        <v>16956.72</v>
      </c>
    </row>
    <row r="304" spans="1:12" s="35" customFormat="1" ht="28.5" customHeight="1" x14ac:dyDescent="0.25">
      <c r="A304" s="83">
        <f t="shared" si="79"/>
        <v>154</v>
      </c>
      <c r="B304" s="121" t="s">
        <v>352</v>
      </c>
      <c r="C304" s="39" t="s">
        <v>469</v>
      </c>
      <c r="D304" s="121" t="s">
        <v>39</v>
      </c>
      <c r="E304" s="121" t="s">
        <v>252</v>
      </c>
      <c r="F304" s="123">
        <v>24000</v>
      </c>
      <c r="G304" s="90">
        <f t="shared" si="82"/>
        <v>688.8</v>
      </c>
      <c r="H304" s="90">
        <f t="shared" si="83"/>
        <v>729.6</v>
      </c>
      <c r="I304" s="90">
        <v>0</v>
      </c>
      <c r="J304" s="92">
        <v>25</v>
      </c>
      <c r="K304" s="85">
        <f t="shared" si="80"/>
        <v>1443.4</v>
      </c>
      <c r="L304" s="86">
        <f t="shared" si="81"/>
        <v>22556.6</v>
      </c>
    </row>
    <row r="305" spans="1:12" s="56" customFormat="1" ht="30" customHeight="1" x14ac:dyDescent="0.25">
      <c r="A305" s="83">
        <f t="shared" si="79"/>
        <v>155</v>
      </c>
      <c r="B305" s="192" t="s">
        <v>354</v>
      </c>
      <c r="C305" s="194" t="s">
        <v>470</v>
      </c>
      <c r="D305" s="121" t="s">
        <v>39</v>
      </c>
      <c r="E305" s="121" t="s">
        <v>252</v>
      </c>
      <c r="F305" s="123">
        <v>24000</v>
      </c>
      <c r="G305" s="90">
        <f t="shared" si="82"/>
        <v>688.8</v>
      </c>
      <c r="H305" s="90">
        <f t="shared" si="83"/>
        <v>729.6</v>
      </c>
      <c r="I305" s="90">
        <v>0</v>
      </c>
      <c r="J305" s="92">
        <f>4171.3+25+100</f>
        <v>4296.3</v>
      </c>
      <c r="K305" s="85">
        <f t="shared" si="80"/>
        <v>5714.7000000000007</v>
      </c>
      <c r="L305" s="86">
        <f t="shared" si="81"/>
        <v>18285.3</v>
      </c>
    </row>
    <row r="306" spans="1:12" s="35" customFormat="1" ht="28.5" customHeight="1" x14ac:dyDescent="0.25">
      <c r="A306" s="83">
        <f t="shared" si="79"/>
        <v>156</v>
      </c>
      <c r="B306" s="127" t="s">
        <v>162</v>
      </c>
      <c r="C306" s="195" t="s">
        <v>470</v>
      </c>
      <c r="D306" s="121" t="s">
        <v>39</v>
      </c>
      <c r="E306" s="121" t="s">
        <v>252</v>
      </c>
      <c r="F306" s="123">
        <v>24000</v>
      </c>
      <c r="G306" s="90">
        <f t="shared" si="82"/>
        <v>688.8</v>
      </c>
      <c r="H306" s="90">
        <f t="shared" si="83"/>
        <v>729.6</v>
      </c>
      <c r="I306" s="90"/>
      <c r="J306" s="92">
        <v>9489.2800000000007</v>
      </c>
      <c r="K306" s="120">
        <f>SUM(G306:J306)</f>
        <v>10907.68</v>
      </c>
      <c r="L306" s="86">
        <f>+F306-K306</f>
        <v>13092.32</v>
      </c>
    </row>
    <row r="307" spans="1:12" s="35" customFormat="1" ht="28.5" customHeight="1" x14ac:dyDescent="0.25">
      <c r="A307" s="83">
        <f t="shared" si="79"/>
        <v>157</v>
      </c>
      <c r="B307" s="121" t="s">
        <v>356</v>
      </c>
      <c r="C307" s="196" t="s">
        <v>470</v>
      </c>
      <c r="D307" s="121" t="s">
        <v>39</v>
      </c>
      <c r="E307" s="121" t="s">
        <v>252</v>
      </c>
      <c r="F307" s="123">
        <v>24000</v>
      </c>
      <c r="G307" s="90">
        <f t="shared" si="82"/>
        <v>688.8</v>
      </c>
      <c r="H307" s="90">
        <f t="shared" si="83"/>
        <v>729.6</v>
      </c>
      <c r="I307" s="90"/>
      <c r="J307" s="92">
        <f>1922.93+25+100</f>
        <v>2047.93</v>
      </c>
      <c r="K307" s="120">
        <f>SUM(G307:J307)</f>
        <v>3466.33</v>
      </c>
      <c r="L307" s="86">
        <f>+F307-K307</f>
        <v>20533.669999999998</v>
      </c>
    </row>
    <row r="308" spans="1:12" s="35" customFormat="1" ht="28.5" customHeight="1" x14ac:dyDescent="0.25">
      <c r="A308" s="83">
        <f t="shared" si="79"/>
        <v>158</v>
      </c>
      <c r="B308" s="121" t="s">
        <v>353</v>
      </c>
      <c r="C308" s="39" t="s">
        <v>470</v>
      </c>
      <c r="D308" s="121" t="s">
        <v>39</v>
      </c>
      <c r="E308" s="121" t="s">
        <v>252</v>
      </c>
      <c r="F308" s="123">
        <v>19200</v>
      </c>
      <c r="G308" s="90">
        <f t="shared" si="82"/>
        <v>551.04</v>
      </c>
      <c r="H308" s="90">
        <f t="shared" si="83"/>
        <v>583.67999999999995</v>
      </c>
      <c r="I308" s="90">
        <v>0</v>
      </c>
      <c r="J308" s="92">
        <v>125</v>
      </c>
      <c r="K308" s="120">
        <f>SUM(G308:J308)</f>
        <v>1259.7199999999998</v>
      </c>
      <c r="L308" s="86">
        <f>+F308-K308</f>
        <v>17940.28</v>
      </c>
    </row>
    <row r="309" spans="1:12" s="35" customFormat="1" ht="28.5" customHeight="1" x14ac:dyDescent="0.25">
      <c r="A309" s="83">
        <f t="shared" si="79"/>
        <v>159</v>
      </c>
      <c r="B309" s="121" t="s">
        <v>355</v>
      </c>
      <c r="C309" s="39" t="s">
        <v>470</v>
      </c>
      <c r="D309" s="121" t="s">
        <v>39</v>
      </c>
      <c r="E309" s="121" t="s">
        <v>252</v>
      </c>
      <c r="F309" s="123">
        <v>20000</v>
      </c>
      <c r="G309" s="90">
        <f t="shared" si="82"/>
        <v>574</v>
      </c>
      <c r="H309" s="90">
        <f t="shared" si="83"/>
        <v>608</v>
      </c>
      <c r="I309" s="90"/>
      <c r="J309" s="92">
        <v>4190.3500000000004</v>
      </c>
      <c r="K309" s="120">
        <f t="shared" si="80"/>
        <v>5372.35</v>
      </c>
      <c r="L309" s="86">
        <f t="shared" si="81"/>
        <v>14627.65</v>
      </c>
    </row>
    <row r="310" spans="1:12" s="35" customFormat="1" ht="28.5" customHeight="1" x14ac:dyDescent="0.25">
      <c r="A310" s="83">
        <f t="shared" si="79"/>
        <v>160</v>
      </c>
      <c r="B310" s="121" t="s">
        <v>231</v>
      </c>
      <c r="C310" s="39" t="s">
        <v>470</v>
      </c>
      <c r="D310" s="121" t="s">
        <v>39</v>
      </c>
      <c r="E310" s="121" t="s">
        <v>252</v>
      </c>
      <c r="F310" s="123">
        <v>20000</v>
      </c>
      <c r="G310" s="90">
        <f t="shared" si="82"/>
        <v>574</v>
      </c>
      <c r="H310" s="90">
        <f t="shared" si="83"/>
        <v>608</v>
      </c>
      <c r="I310" s="90"/>
      <c r="J310" s="92">
        <v>125</v>
      </c>
      <c r="K310" s="120">
        <f t="shared" si="80"/>
        <v>1307</v>
      </c>
      <c r="L310" s="86">
        <f t="shared" si="81"/>
        <v>18693</v>
      </c>
    </row>
    <row r="311" spans="1:12" s="35" customFormat="1" ht="28.5" customHeight="1" x14ac:dyDescent="0.25">
      <c r="A311" s="83">
        <f t="shared" si="79"/>
        <v>161</v>
      </c>
      <c r="B311" s="121" t="s">
        <v>232</v>
      </c>
      <c r="C311" s="39" t="s">
        <v>470</v>
      </c>
      <c r="D311" s="121" t="s">
        <v>39</v>
      </c>
      <c r="E311" s="121" t="s">
        <v>252</v>
      </c>
      <c r="F311" s="123">
        <v>20000</v>
      </c>
      <c r="G311" s="90">
        <f t="shared" si="82"/>
        <v>574</v>
      </c>
      <c r="H311" s="90">
        <f t="shared" si="83"/>
        <v>608</v>
      </c>
      <c r="I311" s="90"/>
      <c r="J311" s="92">
        <v>1025</v>
      </c>
      <c r="K311" s="120">
        <f t="shared" si="80"/>
        <v>2207</v>
      </c>
      <c r="L311" s="86">
        <f t="shared" si="81"/>
        <v>17793</v>
      </c>
    </row>
    <row r="312" spans="1:12" s="35" customFormat="1" ht="28.5" customHeight="1" x14ac:dyDescent="0.25">
      <c r="A312" s="83">
        <f t="shared" si="79"/>
        <v>162</v>
      </c>
      <c r="B312" s="121" t="s">
        <v>533</v>
      </c>
      <c r="C312" s="195" t="s">
        <v>469</v>
      </c>
      <c r="D312" s="121" t="s">
        <v>39</v>
      </c>
      <c r="E312" s="121" t="s">
        <v>252</v>
      </c>
      <c r="F312" s="123">
        <v>20000</v>
      </c>
      <c r="G312" s="90">
        <f t="shared" si="82"/>
        <v>574</v>
      </c>
      <c r="H312" s="90">
        <f t="shared" si="83"/>
        <v>608</v>
      </c>
      <c r="I312" s="90"/>
      <c r="J312" s="92">
        <v>25</v>
      </c>
      <c r="K312" s="120">
        <f t="shared" ref="K312:K313" si="84">SUM(G312:J312)</f>
        <v>1207</v>
      </c>
      <c r="L312" s="86">
        <f t="shared" ref="L312:L314" si="85">+F312-K312</f>
        <v>18793</v>
      </c>
    </row>
    <row r="313" spans="1:12" s="42" customFormat="1" ht="33.75" customHeight="1" x14ac:dyDescent="0.25">
      <c r="A313" s="83">
        <f t="shared" si="79"/>
        <v>163</v>
      </c>
      <c r="B313" s="121" t="s">
        <v>534</v>
      </c>
      <c r="C313" s="195" t="s">
        <v>470</v>
      </c>
      <c r="D313" s="121" t="s">
        <v>39</v>
      </c>
      <c r="E313" s="121" t="s">
        <v>252</v>
      </c>
      <c r="F313" s="123">
        <v>20000</v>
      </c>
      <c r="G313" s="90">
        <f t="shared" si="82"/>
        <v>574</v>
      </c>
      <c r="H313" s="90">
        <f t="shared" si="83"/>
        <v>608</v>
      </c>
      <c r="I313" s="90"/>
      <c r="J313" s="92">
        <v>25</v>
      </c>
      <c r="K313" s="120">
        <f t="shared" si="84"/>
        <v>1207</v>
      </c>
      <c r="L313" s="86">
        <f t="shared" si="85"/>
        <v>18793</v>
      </c>
    </row>
    <row r="314" spans="1:12" s="42" customFormat="1" ht="30" customHeight="1" x14ac:dyDescent="0.25">
      <c r="A314" s="83">
        <f t="shared" si="79"/>
        <v>164</v>
      </c>
      <c r="B314" s="121" t="s">
        <v>535</v>
      </c>
      <c r="C314" s="195" t="s">
        <v>469</v>
      </c>
      <c r="D314" s="121" t="s">
        <v>39</v>
      </c>
      <c r="E314" s="121" t="s">
        <v>252</v>
      </c>
      <c r="F314" s="123">
        <v>20000</v>
      </c>
      <c r="G314" s="90">
        <f t="shared" si="82"/>
        <v>574</v>
      </c>
      <c r="H314" s="90">
        <f t="shared" si="83"/>
        <v>608</v>
      </c>
      <c r="I314" s="90"/>
      <c r="J314" s="92">
        <v>6828.55</v>
      </c>
      <c r="K314" s="120">
        <f>SUM(G314:J314)</f>
        <v>8010.55</v>
      </c>
      <c r="L314" s="86">
        <f t="shared" si="85"/>
        <v>11989.45</v>
      </c>
    </row>
    <row r="315" spans="1:12" s="56" customFormat="1" ht="28.5" customHeight="1" x14ac:dyDescent="0.25">
      <c r="A315" s="83">
        <f t="shared" si="79"/>
        <v>165</v>
      </c>
      <c r="B315" s="121" t="s">
        <v>612</v>
      </c>
      <c r="C315" s="39" t="s">
        <v>469</v>
      </c>
      <c r="D315" s="121" t="s">
        <v>39</v>
      </c>
      <c r="E315" s="121" t="s">
        <v>252</v>
      </c>
      <c r="F315" s="123">
        <v>20000</v>
      </c>
      <c r="G315" s="90">
        <f t="shared" ref="G315" si="86">F315*2.87%</f>
        <v>574</v>
      </c>
      <c r="H315" s="90">
        <f t="shared" ref="H315" si="87">+F315*3.04%</f>
        <v>608</v>
      </c>
      <c r="I315" s="90"/>
      <c r="J315" s="92">
        <v>25</v>
      </c>
      <c r="K315" s="120">
        <f>SUM(G315:J315)</f>
        <v>1207</v>
      </c>
      <c r="L315" s="86">
        <f t="shared" ref="L315" si="88">+F315-K315</f>
        <v>18793</v>
      </c>
    </row>
    <row r="316" spans="1:12" s="56" customFormat="1" ht="33" customHeight="1" x14ac:dyDescent="0.25">
      <c r="A316" s="230" t="s">
        <v>138</v>
      </c>
      <c r="B316" s="231"/>
      <c r="C316" s="231"/>
      <c r="D316" s="231"/>
      <c r="E316" s="232"/>
      <c r="F316" s="40">
        <f>SUM(F289:F315)</f>
        <v>695075</v>
      </c>
      <c r="G316" s="40">
        <f t="shared" ref="G316:L316" si="89">SUM(G289:G315)</f>
        <v>19948.652499999997</v>
      </c>
      <c r="H316" s="40">
        <f t="shared" si="89"/>
        <v>21130.280000000002</v>
      </c>
      <c r="I316" s="40">
        <f t="shared" si="89"/>
        <v>0</v>
      </c>
      <c r="J316" s="40">
        <f t="shared" si="89"/>
        <v>82046.03</v>
      </c>
      <c r="K316" s="40">
        <f t="shared" si="89"/>
        <v>123124.96250000002</v>
      </c>
      <c r="L316" s="40">
        <f t="shared" si="89"/>
        <v>571950.03749999986</v>
      </c>
    </row>
    <row r="317" spans="1:12" s="42" customFormat="1" ht="30" customHeight="1" thickBot="1" x14ac:dyDescent="0.3">
      <c r="A317" s="53"/>
      <c r="B317" s="53"/>
      <c r="C317" s="53"/>
      <c r="D317" s="53"/>
      <c r="E317" s="53"/>
      <c r="F317" s="43"/>
      <c r="G317" s="43"/>
      <c r="H317" s="43"/>
      <c r="I317" s="43"/>
      <c r="J317" s="43"/>
      <c r="K317" s="43"/>
      <c r="L317" s="43"/>
    </row>
    <row r="318" spans="1:12" s="42" customFormat="1" ht="36" customHeight="1" thickBot="1" x14ac:dyDescent="0.3">
      <c r="A318" s="233" t="s">
        <v>357</v>
      </c>
      <c r="B318" s="234"/>
      <c r="C318" s="234"/>
      <c r="D318" s="234"/>
      <c r="E318" s="234"/>
      <c r="F318" s="234"/>
      <c r="G318" s="234"/>
      <c r="H318" s="234"/>
      <c r="I318" s="234"/>
      <c r="J318" s="234"/>
      <c r="K318" s="234"/>
      <c r="L318" s="235"/>
    </row>
    <row r="319" spans="1:12" s="42" customFormat="1" ht="36" customHeight="1" x14ac:dyDescent="0.25">
      <c r="A319" s="39">
        <f>+A315+1</f>
        <v>166</v>
      </c>
      <c r="B319" s="121" t="s">
        <v>358</v>
      </c>
      <c r="C319" s="39" t="s">
        <v>469</v>
      </c>
      <c r="D319" s="121" t="s">
        <v>359</v>
      </c>
      <c r="E319" s="121" t="s">
        <v>252</v>
      </c>
      <c r="F319" s="123">
        <v>50000</v>
      </c>
      <c r="G319" s="123">
        <f>F319*2.87%</f>
        <v>1435</v>
      </c>
      <c r="H319" s="90">
        <f>+F319*3.04%</f>
        <v>1520</v>
      </c>
      <c r="I319" s="90">
        <v>1853.9998749999997</v>
      </c>
      <c r="J319" s="92">
        <v>125</v>
      </c>
      <c r="K319" s="85">
        <f t="shared" ref="K319:K320" si="90">SUM(G319:J319)</f>
        <v>4933.9998749999995</v>
      </c>
      <c r="L319" s="86">
        <f>+F319-K319</f>
        <v>45066.000124999999</v>
      </c>
    </row>
    <row r="320" spans="1:12" s="42" customFormat="1" ht="36" customHeight="1" x14ac:dyDescent="0.25">
      <c r="A320" s="39">
        <f>+A319+1</f>
        <v>167</v>
      </c>
      <c r="B320" s="121" t="s">
        <v>360</v>
      </c>
      <c r="C320" s="39" t="s">
        <v>469</v>
      </c>
      <c r="D320" s="121" t="s">
        <v>359</v>
      </c>
      <c r="E320" s="121" t="s">
        <v>252</v>
      </c>
      <c r="F320" s="123">
        <v>50000</v>
      </c>
      <c r="G320" s="123">
        <f>F320*2.87%</f>
        <v>1435</v>
      </c>
      <c r="H320" s="90">
        <f>+F320*3.04%</f>
        <v>1520</v>
      </c>
      <c r="I320" s="90">
        <v>1627.132375000001</v>
      </c>
      <c r="J320" s="92">
        <v>1637.45</v>
      </c>
      <c r="K320" s="85">
        <f t="shared" si="90"/>
        <v>6219.5823750000009</v>
      </c>
      <c r="L320" s="86">
        <f>+F320-K320</f>
        <v>43780.417625000002</v>
      </c>
    </row>
    <row r="321" spans="1:12" s="42" customFormat="1" ht="36" customHeight="1" x14ac:dyDescent="0.25">
      <c r="A321" s="39">
        <f t="shared" ref="A321:A322" si="91">+A320+1</f>
        <v>168</v>
      </c>
      <c r="B321" s="121" t="s">
        <v>439</v>
      </c>
      <c r="C321" s="39" t="s">
        <v>469</v>
      </c>
      <c r="D321" s="121" t="s">
        <v>158</v>
      </c>
      <c r="E321" s="121" t="s">
        <v>252</v>
      </c>
      <c r="F321" s="123">
        <v>28000</v>
      </c>
      <c r="G321" s="123">
        <f t="shared" ref="G321:G322" si="92">F321*2.87%</f>
        <v>803.6</v>
      </c>
      <c r="H321" s="90">
        <f>+F321*3.04%</f>
        <v>851.2</v>
      </c>
      <c r="I321" s="90"/>
      <c r="J321" s="92">
        <v>125</v>
      </c>
      <c r="K321" s="85">
        <f t="shared" ref="K321:K322" si="93">SUM(G321:J321)</f>
        <v>1779.8000000000002</v>
      </c>
      <c r="L321" s="86">
        <f t="shared" ref="L321:L322" si="94">+F321-K321</f>
        <v>26220.2</v>
      </c>
    </row>
    <row r="322" spans="1:12" s="42" customFormat="1" ht="28.5" customHeight="1" x14ac:dyDescent="0.25">
      <c r="A322" s="39">
        <f t="shared" si="91"/>
        <v>169</v>
      </c>
      <c r="B322" s="121" t="s">
        <v>438</v>
      </c>
      <c r="C322" s="39" t="s">
        <v>469</v>
      </c>
      <c r="D322" s="121" t="s">
        <v>158</v>
      </c>
      <c r="E322" s="121" t="s">
        <v>252</v>
      </c>
      <c r="F322" s="123">
        <v>28000</v>
      </c>
      <c r="G322" s="123">
        <f t="shared" si="92"/>
        <v>803.6</v>
      </c>
      <c r="H322" s="90">
        <f t="shared" ref="H322" si="95">+F322*3.04%</f>
        <v>851.2</v>
      </c>
      <c r="I322" s="90"/>
      <c r="J322" s="92">
        <v>25</v>
      </c>
      <c r="K322" s="85">
        <f t="shared" si="93"/>
        <v>1679.8000000000002</v>
      </c>
      <c r="L322" s="86">
        <f t="shared" si="94"/>
        <v>26320.2</v>
      </c>
    </row>
    <row r="323" spans="1:12" s="56" customFormat="1" ht="27" customHeight="1" x14ac:dyDescent="0.25">
      <c r="A323" s="39">
        <f>+A322+1</f>
        <v>170</v>
      </c>
      <c r="B323" s="141" t="s">
        <v>440</v>
      </c>
      <c r="C323" s="169" t="s">
        <v>469</v>
      </c>
      <c r="D323" s="170" t="s">
        <v>158</v>
      </c>
      <c r="E323" s="121" t="s">
        <v>252</v>
      </c>
      <c r="F323" s="92">
        <v>28000</v>
      </c>
      <c r="G323" s="90">
        <f>F323*2.87%</f>
        <v>803.6</v>
      </c>
      <c r="H323" s="90">
        <f>+F323*3.04%</f>
        <v>851.2</v>
      </c>
      <c r="I323" s="90"/>
      <c r="J323" s="86">
        <v>9869.2800000000007</v>
      </c>
      <c r="K323" s="85">
        <f>SUM(G323:J323)</f>
        <v>11524.080000000002</v>
      </c>
      <c r="L323" s="86">
        <f>+F323-K323</f>
        <v>16475.919999999998</v>
      </c>
    </row>
    <row r="324" spans="1:12" s="56" customFormat="1" ht="30" customHeight="1" x14ac:dyDescent="0.25">
      <c r="A324" s="39">
        <f>+A323+1</f>
        <v>171</v>
      </c>
      <c r="B324" s="141" t="s">
        <v>613</v>
      </c>
      <c r="C324" s="169" t="s">
        <v>469</v>
      </c>
      <c r="D324" s="170" t="s">
        <v>158</v>
      </c>
      <c r="E324" s="121" t="s">
        <v>252</v>
      </c>
      <c r="F324" s="92">
        <v>20000</v>
      </c>
      <c r="G324" s="90">
        <f>F324*2.87%</f>
        <v>574</v>
      </c>
      <c r="H324" s="90">
        <f>+F324*3.04%</f>
        <v>608</v>
      </c>
      <c r="I324" s="90"/>
      <c r="J324" s="86">
        <v>25</v>
      </c>
      <c r="K324" s="85">
        <f>SUM(G324:J324)</f>
        <v>1207</v>
      </c>
      <c r="L324" s="86">
        <f>+F324-K324</f>
        <v>18793</v>
      </c>
    </row>
    <row r="325" spans="1:12" s="56" customFormat="1" ht="30" customHeight="1" thickBot="1" x14ac:dyDescent="0.3">
      <c r="A325" s="230" t="s">
        <v>138</v>
      </c>
      <c r="B325" s="231"/>
      <c r="C325" s="231"/>
      <c r="D325" s="231"/>
      <c r="E325" s="232"/>
      <c r="F325" s="40">
        <f>SUM(F319:F324)</f>
        <v>204000</v>
      </c>
      <c r="G325" s="40">
        <f t="shared" ref="G325:L325" si="96">SUM(G319:G324)</f>
        <v>5854.8</v>
      </c>
      <c r="H325" s="40">
        <f t="shared" si="96"/>
        <v>6201.5999999999995</v>
      </c>
      <c r="I325" s="40">
        <f t="shared" si="96"/>
        <v>3481.1322500000006</v>
      </c>
      <c r="J325" s="40">
        <f t="shared" si="96"/>
        <v>11806.730000000001</v>
      </c>
      <c r="K325" s="40">
        <f t="shared" si="96"/>
        <v>27344.26225</v>
      </c>
      <c r="L325" s="40">
        <f t="shared" si="96"/>
        <v>176655.73774999997</v>
      </c>
    </row>
    <row r="326" spans="1:12" s="56" customFormat="1" ht="30" customHeight="1" thickBot="1" x14ac:dyDescent="0.3">
      <c r="A326" s="233" t="s">
        <v>361</v>
      </c>
      <c r="B326" s="234"/>
      <c r="C326" s="234"/>
      <c r="D326" s="234"/>
      <c r="E326" s="234"/>
      <c r="F326" s="234"/>
      <c r="G326" s="234"/>
      <c r="H326" s="234"/>
      <c r="I326" s="234"/>
      <c r="J326" s="234"/>
      <c r="K326" s="234"/>
      <c r="L326" s="235"/>
    </row>
    <row r="327" spans="1:12" s="56" customFormat="1" ht="30" customHeight="1" x14ac:dyDescent="0.25">
      <c r="A327" s="88">
        <f>+A324+1</f>
        <v>172</v>
      </c>
      <c r="B327" s="121" t="s">
        <v>146</v>
      </c>
      <c r="C327" s="39" t="s">
        <v>469</v>
      </c>
      <c r="D327" s="121" t="s">
        <v>148</v>
      </c>
      <c r="E327" s="121" t="s">
        <v>252</v>
      </c>
      <c r="F327" s="123">
        <v>55000</v>
      </c>
      <c r="G327" s="90">
        <f>F327*2.87%</f>
        <v>1578.5</v>
      </c>
      <c r="H327" s="90">
        <f>+F327*3.04%</f>
        <v>1672</v>
      </c>
      <c r="I327" s="90">
        <v>2559.6748749999997</v>
      </c>
      <c r="J327" s="92">
        <v>25</v>
      </c>
      <c r="K327" s="120">
        <f>SUM(G327:J327)</f>
        <v>5835.1748749999997</v>
      </c>
      <c r="L327" s="92">
        <f>+F327-K327</f>
        <v>49164.825125000003</v>
      </c>
    </row>
    <row r="328" spans="1:12" s="56" customFormat="1" ht="30" customHeight="1" x14ac:dyDescent="0.25">
      <c r="A328" s="88">
        <f>+A327+1</f>
        <v>173</v>
      </c>
      <c r="B328" s="121" t="s">
        <v>40</v>
      </c>
      <c r="C328" s="39" t="s">
        <v>469</v>
      </c>
      <c r="D328" s="121" t="s">
        <v>148</v>
      </c>
      <c r="E328" s="121" t="s">
        <v>135</v>
      </c>
      <c r="F328" s="123">
        <v>55000</v>
      </c>
      <c r="G328" s="90">
        <f t="shared" ref="G328:G344" si="97">F328*2.87%</f>
        <v>1578.5</v>
      </c>
      <c r="H328" s="90">
        <f t="shared" ref="H328:H346" si="98">+F328*3.04%</f>
        <v>1672</v>
      </c>
      <c r="I328" s="90">
        <v>2559.6748749999997</v>
      </c>
      <c r="J328" s="92">
        <v>125</v>
      </c>
      <c r="K328" s="120">
        <f t="shared" ref="K328:K344" si="99">SUM(G328:J328)</f>
        <v>5935.1748749999997</v>
      </c>
      <c r="L328" s="92">
        <f t="shared" ref="L328:L345" si="100">+F328-K328</f>
        <v>49064.825125000003</v>
      </c>
    </row>
    <row r="329" spans="1:12" s="56" customFormat="1" ht="30" customHeight="1" x14ac:dyDescent="0.25">
      <c r="A329" s="88">
        <f t="shared" ref="A329:A344" si="101">+A328+1</f>
        <v>174</v>
      </c>
      <c r="B329" s="121" t="s">
        <v>362</v>
      </c>
      <c r="C329" s="39" t="s">
        <v>469</v>
      </c>
      <c r="D329" s="121" t="s">
        <v>42</v>
      </c>
      <c r="E329" s="121" t="s">
        <v>252</v>
      </c>
      <c r="F329" s="123">
        <v>35000</v>
      </c>
      <c r="G329" s="90">
        <f t="shared" si="97"/>
        <v>1004.5</v>
      </c>
      <c r="H329" s="90">
        <f t="shared" si="98"/>
        <v>1064</v>
      </c>
      <c r="I329" s="90"/>
      <c r="J329" s="92">
        <v>125</v>
      </c>
      <c r="K329" s="120">
        <f t="shared" si="99"/>
        <v>2193.5</v>
      </c>
      <c r="L329" s="92">
        <f t="shared" si="100"/>
        <v>32806.5</v>
      </c>
    </row>
    <row r="330" spans="1:12" s="56" customFormat="1" ht="30" customHeight="1" x14ac:dyDescent="0.25">
      <c r="A330" s="88">
        <f t="shared" si="101"/>
        <v>175</v>
      </c>
      <c r="B330" s="126" t="s">
        <v>371</v>
      </c>
      <c r="C330" s="136" t="s">
        <v>470</v>
      </c>
      <c r="D330" s="126" t="s">
        <v>27</v>
      </c>
      <c r="E330" s="126" t="s">
        <v>252</v>
      </c>
      <c r="F330" s="120">
        <v>35000</v>
      </c>
      <c r="G330" s="90">
        <f t="shared" si="97"/>
        <v>1004.5</v>
      </c>
      <c r="H330" s="90">
        <f t="shared" si="98"/>
        <v>1064</v>
      </c>
      <c r="I330" s="85"/>
      <c r="J330" s="86">
        <v>2913.38</v>
      </c>
      <c r="K330" s="120">
        <f t="shared" si="99"/>
        <v>4981.88</v>
      </c>
      <c r="L330" s="92">
        <f t="shared" si="100"/>
        <v>30018.12</v>
      </c>
    </row>
    <row r="331" spans="1:12" s="56" customFormat="1" ht="30" customHeight="1" x14ac:dyDescent="0.25">
      <c r="A331" s="88">
        <f t="shared" si="101"/>
        <v>176</v>
      </c>
      <c r="B331" s="121" t="s">
        <v>45</v>
      </c>
      <c r="C331" s="39" t="s">
        <v>469</v>
      </c>
      <c r="D331" s="121" t="s">
        <v>42</v>
      </c>
      <c r="E331" s="121" t="s">
        <v>252</v>
      </c>
      <c r="F331" s="123">
        <v>35000</v>
      </c>
      <c r="G331" s="90">
        <f t="shared" si="97"/>
        <v>1004.5</v>
      </c>
      <c r="H331" s="90">
        <f t="shared" si="98"/>
        <v>1064</v>
      </c>
      <c r="I331" s="90"/>
      <c r="J331" s="92">
        <v>7386.59</v>
      </c>
      <c r="K331" s="120">
        <f t="shared" si="99"/>
        <v>9455.09</v>
      </c>
      <c r="L331" s="92">
        <f t="shared" si="100"/>
        <v>25544.91</v>
      </c>
    </row>
    <row r="332" spans="1:12" s="100" customFormat="1" ht="30" customHeight="1" x14ac:dyDescent="0.25">
      <c r="A332" s="88">
        <f t="shared" si="101"/>
        <v>177</v>
      </c>
      <c r="B332" s="121" t="s">
        <v>46</v>
      </c>
      <c r="C332" s="39" t="s">
        <v>469</v>
      </c>
      <c r="D332" s="121" t="s">
        <v>42</v>
      </c>
      <c r="E332" s="121" t="s">
        <v>252</v>
      </c>
      <c r="F332" s="123">
        <v>35000</v>
      </c>
      <c r="G332" s="90">
        <f t="shared" si="97"/>
        <v>1004.5</v>
      </c>
      <c r="H332" s="90">
        <f t="shared" si="98"/>
        <v>1064</v>
      </c>
      <c r="I332" s="90"/>
      <c r="J332" s="92">
        <v>125</v>
      </c>
      <c r="K332" s="120">
        <f t="shared" si="99"/>
        <v>2193.5</v>
      </c>
      <c r="L332" s="92">
        <f t="shared" si="100"/>
        <v>32806.5</v>
      </c>
    </row>
    <row r="333" spans="1:12" s="56" customFormat="1" ht="30" customHeight="1" x14ac:dyDescent="0.25">
      <c r="A333" s="88">
        <f t="shared" si="101"/>
        <v>178</v>
      </c>
      <c r="B333" s="121" t="s">
        <v>363</v>
      </c>
      <c r="C333" s="39" t="s">
        <v>469</v>
      </c>
      <c r="D333" s="121" t="s">
        <v>42</v>
      </c>
      <c r="E333" s="121" t="s">
        <v>252</v>
      </c>
      <c r="F333" s="123">
        <v>35000</v>
      </c>
      <c r="G333" s="90">
        <f t="shared" si="97"/>
        <v>1004.5</v>
      </c>
      <c r="H333" s="90">
        <f t="shared" si="98"/>
        <v>1064</v>
      </c>
      <c r="I333" s="90"/>
      <c r="J333" s="92">
        <v>125</v>
      </c>
      <c r="K333" s="120">
        <f t="shared" si="99"/>
        <v>2193.5</v>
      </c>
      <c r="L333" s="92">
        <f t="shared" si="100"/>
        <v>32806.5</v>
      </c>
    </row>
    <row r="334" spans="1:12" s="87" customFormat="1" ht="30" customHeight="1" x14ac:dyDescent="0.25">
      <c r="A334" s="88">
        <f t="shared" si="101"/>
        <v>179</v>
      </c>
      <c r="B334" s="121" t="s">
        <v>91</v>
      </c>
      <c r="C334" s="39" t="s">
        <v>469</v>
      </c>
      <c r="D334" s="121" t="s">
        <v>42</v>
      </c>
      <c r="E334" s="121" t="s">
        <v>252</v>
      </c>
      <c r="F334" s="123">
        <v>35000</v>
      </c>
      <c r="G334" s="90">
        <f t="shared" si="97"/>
        <v>1004.5</v>
      </c>
      <c r="H334" s="90">
        <f t="shared" si="98"/>
        <v>1064</v>
      </c>
      <c r="I334" s="90"/>
      <c r="J334" s="92">
        <v>125</v>
      </c>
      <c r="K334" s="120">
        <f t="shared" si="99"/>
        <v>2193.5</v>
      </c>
      <c r="L334" s="92">
        <f t="shared" si="100"/>
        <v>32806.5</v>
      </c>
    </row>
    <row r="335" spans="1:12" s="56" customFormat="1" ht="30" customHeight="1" x14ac:dyDescent="0.25">
      <c r="A335" s="88">
        <f t="shared" si="101"/>
        <v>180</v>
      </c>
      <c r="B335" s="121" t="s">
        <v>364</v>
      </c>
      <c r="C335" s="39" t="s">
        <v>469</v>
      </c>
      <c r="D335" s="121" t="s">
        <v>42</v>
      </c>
      <c r="E335" s="121" t="s">
        <v>252</v>
      </c>
      <c r="F335" s="123">
        <v>35000</v>
      </c>
      <c r="G335" s="90">
        <f t="shared" si="97"/>
        <v>1004.5</v>
      </c>
      <c r="H335" s="90">
        <f t="shared" si="98"/>
        <v>1064</v>
      </c>
      <c r="I335" s="90"/>
      <c r="J335" s="92">
        <v>6811.44</v>
      </c>
      <c r="K335" s="120">
        <f t="shared" si="99"/>
        <v>8879.9399999999987</v>
      </c>
      <c r="L335" s="92">
        <f t="shared" si="100"/>
        <v>26120.06</v>
      </c>
    </row>
    <row r="336" spans="1:12" s="87" customFormat="1" ht="30" customHeight="1" x14ac:dyDescent="0.25">
      <c r="A336" s="88">
        <f t="shared" si="101"/>
        <v>181</v>
      </c>
      <c r="B336" s="121" t="s">
        <v>44</v>
      </c>
      <c r="C336" s="39" t="s">
        <v>469</v>
      </c>
      <c r="D336" s="121" t="s">
        <v>42</v>
      </c>
      <c r="E336" s="121" t="s">
        <v>252</v>
      </c>
      <c r="F336" s="123">
        <v>35000</v>
      </c>
      <c r="G336" s="90">
        <f t="shared" si="97"/>
        <v>1004.5</v>
      </c>
      <c r="H336" s="90">
        <f t="shared" si="98"/>
        <v>1064</v>
      </c>
      <c r="I336" s="90"/>
      <c r="J336" s="92">
        <v>125</v>
      </c>
      <c r="K336" s="120">
        <f t="shared" si="99"/>
        <v>2193.5</v>
      </c>
      <c r="L336" s="92">
        <f t="shared" si="100"/>
        <v>32806.5</v>
      </c>
    </row>
    <row r="337" spans="1:12" s="100" customFormat="1" ht="30" customHeight="1" x14ac:dyDescent="0.25">
      <c r="A337" s="88">
        <f t="shared" si="101"/>
        <v>182</v>
      </c>
      <c r="B337" s="121" t="s">
        <v>147</v>
      </c>
      <c r="C337" s="39" t="s">
        <v>469</v>
      </c>
      <c r="D337" s="140" t="s">
        <v>149</v>
      </c>
      <c r="E337" s="121" t="s">
        <v>252</v>
      </c>
      <c r="F337" s="123">
        <v>35000</v>
      </c>
      <c r="G337" s="90">
        <f>F337*2.87%</f>
        <v>1004.5</v>
      </c>
      <c r="H337" s="90">
        <f>+F337*3.04%</f>
        <v>1064</v>
      </c>
      <c r="I337" s="90"/>
      <c r="J337" s="92">
        <v>25</v>
      </c>
      <c r="K337" s="120">
        <f t="shared" si="99"/>
        <v>2093.5</v>
      </c>
      <c r="L337" s="92">
        <f t="shared" si="100"/>
        <v>32906.5</v>
      </c>
    </row>
    <row r="338" spans="1:12" s="56" customFormat="1" ht="30" customHeight="1" x14ac:dyDescent="0.25">
      <c r="A338" s="88">
        <f t="shared" si="101"/>
        <v>183</v>
      </c>
      <c r="B338" s="121" t="s">
        <v>369</v>
      </c>
      <c r="C338" s="39" t="s">
        <v>469</v>
      </c>
      <c r="D338" s="121" t="s">
        <v>42</v>
      </c>
      <c r="E338" s="121" t="s">
        <v>135</v>
      </c>
      <c r="F338" s="123">
        <v>35000</v>
      </c>
      <c r="G338" s="90">
        <f>F338*2.87%</f>
        <v>1004.5</v>
      </c>
      <c r="H338" s="90">
        <f>+F338*3.04%</f>
        <v>1064</v>
      </c>
      <c r="I338" s="90"/>
      <c r="J338" s="92">
        <v>125</v>
      </c>
      <c r="K338" s="120">
        <f t="shared" si="99"/>
        <v>2193.5</v>
      </c>
      <c r="L338" s="92">
        <f t="shared" si="100"/>
        <v>32806.5</v>
      </c>
    </row>
    <row r="339" spans="1:12" s="87" customFormat="1" ht="30" customHeight="1" x14ac:dyDescent="0.25">
      <c r="A339" s="88">
        <f t="shared" si="101"/>
        <v>184</v>
      </c>
      <c r="B339" s="121" t="s">
        <v>367</v>
      </c>
      <c r="C339" s="39" t="s">
        <v>469</v>
      </c>
      <c r="D339" s="140" t="s">
        <v>156</v>
      </c>
      <c r="E339" s="121" t="s">
        <v>252</v>
      </c>
      <c r="F339" s="123">
        <v>30000</v>
      </c>
      <c r="G339" s="90">
        <f t="shared" si="97"/>
        <v>861</v>
      </c>
      <c r="H339" s="90">
        <f t="shared" si="98"/>
        <v>912</v>
      </c>
      <c r="I339" s="90"/>
      <c r="J339" s="92">
        <v>1637.45</v>
      </c>
      <c r="K339" s="120">
        <f t="shared" si="99"/>
        <v>3410.45</v>
      </c>
      <c r="L339" s="92">
        <f t="shared" si="100"/>
        <v>26589.55</v>
      </c>
    </row>
    <row r="340" spans="1:12" s="56" customFormat="1" ht="30" customHeight="1" x14ac:dyDescent="0.25">
      <c r="A340" s="88">
        <f t="shared" si="101"/>
        <v>185</v>
      </c>
      <c r="B340" s="121" t="s">
        <v>365</v>
      </c>
      <c r="C340" s="39" t="s">
        <v>469</v>
      </c>
      <c r="D340" s="121" t="s">
        <v>156</v>
      </c>
      <c r="E340" s="121" t="s">
        <v>252</v>
      </c>
      <c r="F340" s="123">
        <v>30000</v>
      </c>
      <c r="G340" s="90">
        <f>F340*2.87%</f>
        <v>861</v>
      </c>
      <c r="H340" s="90">
        <f>+F340*3.04%</f>
        <v>912</v>
      </c>
      <c r="I340" s="90"/>
      <c r="J340" s="92">
        <v>125</v>
      </c>
      <c r="K340" s="120">
        <f t="shared" si="99"/>
        <v>1898</v>
      </c>
      <c r="L340" s="92">
        <f t="shared" si="100"/>
        <v>28102</v>
      </c>
    </row>
    <row r="341" spans="1:12" s="56" customFormat="1" ht="30" customHeight="1" x14ac:dyDescent="0.25">
      <c r="A341" s="88">
        <f t="shared" si="101"/>
        <v>186</v>
      </c>
      <c r="B341" s="121" t="s">
        <v>43</v>
      </c>
      <c r="C341" s="39" t="s">
        <v>469</v>
      </c>
      <c r="D341" s="121" t="s">
        <v>42</v>
      </c>
      <c r="E341" s="121" t="s">
        <v>135</v>
      </c>
      <c r="F341" s="123">
        <v>30000</v>
      </c>
      <c r="G341" s="90">
        <f t="shared" si="97"/>
        <v>861</v>
      </c>
      <c r="H341" s="90">
        <f t="shared" si="98"/>
        <v>912</v>
      </c>
      <c r="I341" s="90"/>
      <c r="J341" s="92">
        <v>25</v>
      </c>
      <c r="K341" s="120">
        <f t="shared" si="99"/>
        <v>1798</v>
      </c>
      <c r="L341" s="92">
        <f t="shared" si="100"/>
        <v>28202</v>
      </c>
    </row>
    <row r="342" spans="1:12" s="35" customFormat="1" ht="26.25" customHeight="1" x14ac:dyDescent="0.25">
      <c r="A342" s="88">
        <f t="shared" si="101"/>
        <v>187</v>
      </c>
      <c r="B342" s="121" t="s">
        <v>368</v>
      </c>
      <c r="C342" s="39" t="s">
        <v>469</v>
      </c>
      <c r="D342" s="140" t="s">
        <v>149</v>
      </c>
      <c r="E342" s="89" t="s">
        <v>252</v>
      </c>
      <c r="F342" s="90">
        <v>28000</v>
      </c>
      <c r="G342" s="90">
        <f>F342*2.87%</f>
        <v>803.6</v>
      </c>
      <c r="H342" s="90">
        <f>+F342*3.04%</f>
        <v>851.2</v>
      </c>
      <c r="I342" s="90"/>
      <c r="J342" s="92">
        <v>25</v>
      </c>
      <c r="K342" s="120">
        <f t="shared" si="99"/>
        <v>1679.8000000000002</v>
      </c>
      <c r="L342" s="92">
        <f t="shared" si="100"/>
        <v>26320.2</v>
      </c>
    </row>
    <row r="343" spans="1:12" s="35" customFormat="1" ht="26.25" customHeight="1" x14ac:dyDescent="0.25">
      <c r="A343" s="88">
        <f>+A342+1</f>
        <v>188</v>
      </c>
      <c r="B343" s="121" t="s">
        <v>531</v>
      </c>
      <c r="C343" s="39" t="s">
        <v>469</v>
      </c>
      <c r="D343" s="140" t="s">
        <v>532</v>
      </c>
      <c r="E343" s="121" t="s">
        <v>252</v>
      </c>
      <c r="F343" s="123">
        <v>26500</v>
      </c>
      <c r="G343" s="123">
        <f t="shared" si="97"/>
        <v>760.55</v>
      </c>
      <c r="H343" s="90">
        <f t="shared" si="98"/>
        <v>805.6</v>
      </c>
      <c r="I343" s="90"/>
      <c r="J343" s="92">
        <v>6676.17</v>
      </c>
      <c r="K343" s="120">
        <f t="shared" si="99"/>
        <v>8242.32</v>
      </c>
      <c r="L343" s="92">
        <f t="shared" si="100"/>
        <v>18257.68</v>
      </c>
    </row>
    <row r="344" spans="1:12" s="35" customFormat="1" ht="26.25" customHeight="1" x14ac:dyDescent="0.25">
      <c r="A344" s="88">
        <f t="shared" si="101"/>
        <v>189</v>
      </c>
      <c r="B344" s="121" t="s">
        <v>372</v>
      </c>
      <c r="C344" s="39" t="s">
        <v>469</v>
      </c>
      <c r="D344" s="121" t="s">
        <v>110</v>
      </c>
      <c r="E344" s="121" t="s">
        <v>135</v>
      </c>
      <c r="F344" s="123">
        <v>28000</v>
      </c>
      <c r="G344" s="123">
        <f t="shared" si="97"/>
        <v>803.6</v>
      </c>
      <c r="H344" s="90">
        <f t="shared" si="98"/>
        <v>851.2</v>
      </c>
      <c r="I344" s="90"/>
      <c r="J344" s="92">
        <v>25</v>
      </c>
      <c r="K344" s="120">
        <f t="shared" si="99"/>
        <v>1679.8000000000002</v>
      </c>
      <c r="L344" s="92">
        <f t="shared" si="100"/>
        <v>26320.2</v>
      </c>
    </row>
    <row r="345" spans="1:12" s="35" customFormat="1" ht="26.25" customHeight="1" x14ac:dyDescent="0.25">
      <c r="A345" s="88">
        <f>A344+1</f>
        <v>190</v>
      </c>
      <c r="B345" s="121" t="s">
        <v>644</v>
      </c>
      <c r="C345" s="39" t="s">
        <v>469</v>
      </c>
      <c r="D345" s="121" t="s">
        <v>149</v>
      </c>
      <c r="E345" s="121" t="s">
        <v>252</v>
      </c>
      <c r="F345" s="123">
        <v>25000</v>
      </c>
      <c r="G345" s="123">
        <f>F345*2.87%</f>
        <v>717.5</v>
      </c>
      <c r="H345" s="90">
        <f t="shared" si="98"/>
        <v>760</v>
      </c>
      <c r="I345" s="90"/>
      <c r="J345" s="92">
        <v>25</v>
      </c>
      <c r="K345" s="123">
        <f>SUM(G345:J345)</f>
        <v>1502.5</v>
      </c>
      <c r="L345" s="92">
        <f t="shared" si="100"/>
        <v>23497.5</v>
      </c>
    </row>
    <row r="346" spans="1:12" s="35" customFormat="1" ht="26.25" customHeight="1" x14ac:dyDescent="0.25">
      <c r="A346" s="88"/>
      <c r="B346" s="121" t="s">
        <v>655</v>
      </c>
      <c r="C346" s="39" t="s">
        <v>469</v>
      </c>
      <c r="D346" s="121" t="s">
        <v>149</v>
      </c>
      <c r="E346" s="121" t="s">
        <v>252</v>
      </c>
      <c r="F346" s="123">
        <v>25000</v>
      </c>
      <c r="G346" s="123">
        <f>F346*2.87%</f>
        <v>717.5</v>
      </c>
      <c r="H346" s="90">
        <f t="shared" si="98"/>
        <v>760</v>
      </c>
      <c r="I346" s="90"/>
      <c r="J346" s="92">
        <v>25</v>
      </c>
      <c r="K346" s="123">
        <f>SUM(G346:J346)</f>
        <v>1502.5</v>
      </c>
      <c r="L346" s="92">
        <f>+F346-K346</f>
        <v>23497.5</v>
      </c>
    </row>
    <row r="347" spans="1:12" s="35" customFormat="1" ht="26.25" customHeight="1" x14ac:dyDescent="0.25">
      <c r="A347" s="230" t="s">
        <v>138</v>
      </c>
      <c r="B347" s="231"/>
      <c r="C347" s="231"/>
      <c r="D347" s="231"/>
      <c r="E347" s="232"/>
      <c r="F347" s="40">
        <f>SUM(F327:F346)</f>
        <v>682500</v>
      </c>
      <c r="G347" s="40">
        <f>SUM(G327:G346)</f>
        <v>19587.749999999996</v>
      </c>
      <c r="H347" s="40">
        <f>SUM(H327:H346)</f>
        <v>20748</v>
      </c>
      <c r="I347" s="40">
        <f t="shared" ref="I347" si="102">SUM(I327:I344)</f>
        <v>5119.3497499999994</v>
      </c>
      <c r="J347" s="40">
        <f>SUM(J327:J346)</f>
        <v>26600.03</v>
      </c>
      <c r="K347" s="40">
        <f>SUM(K327:K346)</f>
        <v>72055.129750000007</v>
      </c>
      <c r="L347" s="40">
        <f>SUM(L327:L346)</f>
        <v>610444.87024999992</v>
      </c>
    </row>
    <row r="348" spans="1:12" s="35" customFormat="1" ht="26.25" customHeight="1" thickBot="1" x14ac:dyDescent="0.3">
      <c r="A348" s="53"/>
      <c r="B348" s="53"/>
      <c r="C348" s="53"/>
      <c r="D348" s="53"/>
      <c r="E348" s="53"/>
      <c r="F348" s="43"/>
      <c r="G348" s="43"/>
      <c r="H348" s="43"/>
      <c r="I348" s="43"/>
      <c r="J348" s="43"/>
      <c r="K348" s="43"/>
      <c r="L348" s="43"/>
    </row>
    <row r="349" spans="1:12" s="42" customFormat="1" ht="30" customHeight="1" thickBot="1" x14ac:dyDescent="0.3">
      <c r="A349" s="233" t="s">
        <v>498</v>
      </c>
      <c r="B349" s="234"/>
      <c r="C349" s="234"/>
      <c r="D349" s="234"/>
      <c r="E349" s="234"/>
      <c r="F349" s="234"/>
      <c r="G349" s="234"/>
      <c r="H349" s="234"/>
      <c r="I349" s="234"/>
      <c r="J349" s="234"/>
      <c r="K349" s="234"/>
      <c r="L349" s="235"/>
    </row>
    <row r="350" spans="1:12" s="56" customFormat="1" ht="30" customHeight="1" x14ac:dyDescent="0.25">
      <c r="A350" s="83">
        <f>A345+1</f>
        <v>191</v>
      </c>
      <c r="B350" s="121" t="s">
        <v>443</v>
      </c>
      <c r="C350" s="39" t="s">
        <v>470</v>
      </c>
      <c r="D350" s="121" t="s">
        <v>248</v>
      </c>
      <c r="E350" s="121" t="s">
        <v>135</v>
      </c>
      <c r="F350" s="123">
        <v>70000</v>
      </c>
      <c r="G350" s="90">
        <f t="shared" ref="G350" si="103">F350*2.87%</f>
        <v>2009</v>
      </c>
      <c r="H350" s="90">
        <f t="shared" ref="H350" si="104">+F350*3.04%</f>
        <v>2128</v>
      </c>
      <c r="I350" s="90">
        <v>5065.9598333333397</v>
      </c>
      <c r="J350" s="92">
        <v>1537.45</v>
      </c>
      <c r="K350" s="85">
        <f t="shared" ref="K350" si="105">SUM(G350:J350)</f>
        <v>10740.40983333334</v>
      </c>
      <c r="L350" s="92">
        <f>+F350-K350</f>
        <v>59259.590166666661</v>
      </c>
    </row>
    <row r="351" spans="1:12" s="56" customFormat="1" ht="30" customHeight="1" x14ac:dyDescent="0.25">
      <c r="A351" s="230" t="s">
        <v>138</v>
      </c>
      <c r="B351" s="231"/>
      <c r="C351" s="231"/>
      <c r="D351" s="231"/>
      <c r="E351" s="232"/>
      <c r="F351" s="40">
        <f>SUM(F350)</f>
        <v>70000</v>
      </c>
      <c r="G351" s="40">
        <f t="shared" ref="G351:L351" si="106">SUM(G350)</f>
        <v>2009</v>
      </c>
      <c r="H351" s="40">
        <f t="shared" si="106"/>
        <v>2128</v>
      </c>
      <c r="I351" s="40">
        <f t="shared" si="106"/>
        <v>5065.9598333333397</v>
      </c>
      <c r="J351" s="40">
        <f t="shared" si="106"/>
        <v>1537.45</v>
      </c>
      <c r="K351" s="40">
        <f t="shared" si="106"/>
        <v>10740.40983333334</v>
      </c>
      <c r="L351" s="40">
        <f t="shared" si="106"/>
        <v>59259.590166666661</v>
      </c>
    </row>
    <row r="352" spans="1:12" s="56" customFormat="1" ht="30" customHeight="1" thickBot="1" x14ac:dyDescent="0.3">
      <c r="A352" s="53"/>
      <c r="B352" s="53"/>
      <c r="C352" s="53"/>
      <c r="D352" s="53"/>
      <c r="E352" s="53"/>
      <c r="F352"/>
      <c r="G352"/>
      <c r="H352"/>
      <c r="I352"/>
      <c r="J352"/>
      <c r="K352"/>
      <c r="L352"/>
    </row>
    <row r="353" spans="1:12" s="42" customFormat="1" ht="22.5" customHeight="1" thickBot="1" x14ac:dyDescent="0.3">
      <c r="A353" s="233" t="s">
        <v>373</v>
      </c>
      <c r="B353" s="234"/>
      <c r="C353" s="234"/>
      <c r="D353" s="234"/>
      <c r="E353" s="234"/>
      <c r="F353" s="234"/>
      <c r="G353" s="234"/>
      <c r="H353" s="234"/>
      <c r="I353" s="234"/>
      <c r="J353" s="234"/>
      <c r="K353" s="234"/>
      <c r="L353" s="235"/>
    </row>
    <row r="354" spans="1:12" s="42" customFormat="1" ht="17.25" customHeight="1" x14ac:dyDescent="0.25">
      <c r="A354" s="83">
        <f>+A350+1</f>
        <v>192</v>
      </c>
      <c r="B354" s="126" t="s">
        <v>374</v>
      </c>
      <c r="C354" s="136" t="s">
        <v>470</v>
      </c>
      <c r="D354" s="126" t="s">
        <v>375</v>
      </c>
      <c r="E354" s="121" t="s">
        <v>134</v>
      </c>
      <c r="F354" s="120">
        <v>135000</v>
      </c>
      <c r="G354" s="85">
        <f>F354*2.87%</f>
        <v>3874.5</v>
      </c>
      <c r="H354" s="85">
        <f>+F354*3.04%</f>
        <v>4104</v>
      </c>
      <c r="I354" s="85">
        <v>20338.240000000002</v>
      </c>
      <c r="J354" s="92">
        <v>125</v>
      </c>
      <c r="K354" s="85">
        <f>SUM(G354:J354)</f>
        <v>28441.74</v>
      </c>
      <c r="L354" s="92">
        <f>+F354-K354</f>
        <v>106558.26</v>
      </c>
    </row>
    <row r="355" spans="1:12" s="56" customFormat="1" ht="30" customHeight="1" x14ac:dyDescent="0.25">
      <c r="A355" s="83">
        <f>+A354+1</f>
        <v>193</v>
      </c>
      <c r="B355" s="121" t="s">
        <v>83</v>
      </c>
      <c r="C355" s="39" t="s">
        <v>470</v>
      </c>
      <c r="D355" s="121" t="s">
        <v>94</v>
      </c>
      <c r="E355" s="121" t="s">
        <v>134</v>
      </c>
      <c r="F355" s="123">
        <v>90000</v>
      </c>
      <c r="G355" s="90">
        <f>F355*2.87%</f>
        <v>2583</v>
      </c>
      <c r="H355" s="90">
        <f>+F355*3.04%</f>
        <v>2736</v>
      </c>
      <c r="I355" s="123">
        <v>9753.19</v>
      </c>
      <c r="J355" s="92">
        <v>25</v>
      </c>
      <c r="K355" s="85">
        <f t="shared" ref="K355" si="107">SUM(G355:J355)</f>
        <v>15097.19</v>
      </c>
      <c r="L355" s="92">
        <f>+F355-K355</f>
        <v>74902.81</v>
      </c>
    </row>
    <row r="356" spans="1:12" s="56" customFormat="1" ht="27.75" customHeight="1" x14ac:dyDescent="0.25">
      <c r="A356" s="230" t="s">
        <v>138</v>
      </c>
      <c r="B356" s="231"/>
      <c r="C356" s="231"/>
      <c r="D356" s="231"/>
      <c r="E356" s="232"/>
      <c r="F356" s="40">
        <f>SUM(F354:F355)</f>
        <v>225000</v>
      </c>
      <c r="G356" s="40">
        <f t="shared" ref="G356:L356" si="108">SUM(G354:G355)</f>
        <v>6457.5</v>
      </c>
      <c r="H356" s="40">
        <f t="shared" si="108"/>
        <v>6840</v>
      </c>
      <c r="I356" s="40">
        <f t="shared" si="108"/>
        <v>30091.43</v>
      </c>
      <c r="J356" s="40">
        <f t="shared" si="108"/>
        <v>150</v>
      </c>
      <c r="K356" s="40">
        <f t="shared" si="108"/>
        <v>43538.93</v>
      </c>
      <c r="L356" s="40">
        <f t="shared" si="108"/>
        <v>181461.07</v>
      </c>
    </row>
    <row r="357" spans="1:12" s="42" customFormat="1" ht="23.25" customHeight="1" thickBot="1" x14ac:dyDescent="0.3">
      <c r="A357" s="53"/>
      <c r="B357" s="53"/>
      <c r="C357" s="53"/>
      <c r="D357" s="53"/>
      <c r="E357" s="53"/>
      <c r="F357" s="43"/>
      <c r="G357" s="43"/>
      <c r="H357" s="43"/>
      <c r="I357" s="43"/>
      <c r="J357" s="43"/>
      <c r="K357" s="43"/>
      <c r="L357" s="43"/>
    </row>
    <row r="358" spans="1:12" s="42" customFormat="1" ht="24.95" customHeight="1" thickBot="1" x14ac:dyDescent="0.3">
      <c r="A358" s="233" t="s">
        <v>226</v>
      </c>
      <c r="B358" s="234"/>
      <c r="C358" s="234"/>
      <c r="D358" s="234"/>
      <c r="E358" s="234"/>
      <c r="F358" s="234"/>
      <c r="G358" s="234"/>
      <c r="H358" s="234"/>
      <c r="I358" s="234"/>
      <c r="J358" s="234"/>
      <c r="K358" s="234"/>
      <c r="L358" s="235"/>
    </row>
    <row r="359" spans="1:12" s="56" customFormat="1" ht="30" customHeight="1" x14ac:dyDescent="0.25">
      <c r="A359" s="88">
        <f>+A355+1</f>
        <v>194</v>
      </c>
      <c r="B359" s="121" t="s">
        <v>376</v>
      </c>
      <c r="C359" s="39" t="s">
        <v>469</v>
      </c>
      <c r="D359" s="121" t="s">
        <v>27</v>
      </c>
      <c r="E359" s="121" t="s">
        <v>135</v>
      </c>
      <c r="F359" s="123">
        <v>40000</v>
      </c>
      <c r="G359" s="123">
        <f>F359*2.87%</f>
        <v>1148</v>
      </c>
      <c r="H359" s="90">
        <f>+F359*3.04%</f>
        <v>1216</v>
      </c>
      <c r="I359" s="90">
        <v>215.782375</v>
      </c>
      <c r="J359" s="92">
        <v>1637.45</v>
      </c>
      <c r="K359" s="85">
        <f>SUM(G359:J359)</f>
        <v>4217.2323749999996</v>
      </c>
      <c r="L359" s="92">
        <f>+F359-K359</f>
        <v>35782.767625</v>
      </c>
    </row>
    <row r="360" spans="1:12" s="56" customFormat="1" ht="30" customHeight="1" x14ac:dyDescent="0.25">
      <c r="A360" s="230" t="s">
        <v>138</v>
      </c>
      <c r="B360" s="231"/>
      <c r="C360" s="231"/>
      <c r="D360" s="231"/>
      <c r="E360" s="232"/>
      <c r="F360" s="40">
        <f>SUM(F359:F359)</f>
        <v>40000</v>
      </c>
      <c r="G360" s="40">
        <f t="shared" ref="G360:L360" si="109">SUM(G359:G359)</f>
        <v>1148</v>
      </c>
      <c r="H360" s="40">
        <f t="shared" si="109"/>
        <v>1216</v>
      </c>
      <c r="I360" s="40">
        <f t="shared" si="109"/>
        <v>215.782375</v>
      </c>
      <c r="J360" s="40">
        <f t="shared" si="109"/>
        <v>1637.45</v>
      </c>
      <c r="K360" s="40">
        <f t="shared" si="109"/>
        <v>4217.2323749999996</v>
      </c>
      <c r="L360" s="40">
        <f t="shared" si="109"/>
        <v>35782.767625</v>
      </c>
    </row>
    <row r="361" spans="1:12" s="42" customFormat="1" ht="22.5" customHeight="1" thickBot="1" x14ac:dyDescent="0.3">
      <c r="A361" s="53"/>
      <c r="B361" s="53"/>
      <c r="C361" s="53"/>
      <c r="D361" s="53"/>
      <c r="E361" s="53"/>
      <c r="F361" s="43"/>
      <c r="G361" s="43"/>
      <c r="H361" s="43"/>
      <c r="I361" s="43"/>
      <c r="J361" s="43"/>
      <c r="K361" s="43"/>
      <c r="L361" s="43"/>
    </row>
    <row r="362" spans="1:12" s="42" customFormat="1" ht="22.5" customHeight="1" thickBot="1" x14ac:dyDescent="0.3">
      <c r="A362" s="233" t="s">
        <v>227</v>
      </c>
      <c r="B362" s="234"/>
      <c r="C362" s="234"/>
      <c r="D362" s="234"/>
      <c r="E362" s="234"/>
      <c r="F362" s="234"/>
      <c r="G362" s="234"/>
      <c r="H362" s="234"/>
      <c r="I362" s="234"/>
      <c r="J362" s="234"/>
      <c r="K362" s="234"/>
      <c r="L362" s="235"/>
    </row>
    <row r="363" spans="1:12" s="42" customFormat="1" ht="22.5" customHeight="1" x14ac:dyDescent="0.25">
      <c r="A363" s="88">
        <f>+A359+1</f>
        <v>195</v>
      </c>
      <c r="B363" s="121" t="s">
        <v>93</v>
      </c>
      <c r="C363" s="39" t="s">
        <v>469</v>
      </c>
      <c r="D363" s="121" t="s">
        <v>117</v>
      </c>
      <c r="E363" s="121" t="s">
        <v>134</v>
      </c>
      <c r="F363" s="123">
        <v>60000</v>
      </c>
      <c r="G363" s="90">
        <f>F363*2.87%</f>
        <v>1722</v>
      </c>
      <c r="H363" s="90">
        <f>+F363*3.04%</f>
        <v>1824</v>
      </c>
      <c r="I363" s="90">
        <v>3184.159833333335</v>
      </c>
      <c r="J363" s="92">
        <v>1537.45</v>
      </c>
      <c r="K363" s="85">
        <f t="shared" ref="K363" si="110">SUM(G363:J363)</f>
        <v>8267.6098333333357</v>
      </c>
      <c r="L363" s="92">
        <f>+F363-K363</f>
        <v>51732.390166666664</v>
      </c>
    </row>
    <row r="364" spans="1:12" s="42" customFormat="1" ht="29.25" customHeight="1" x14ac:dyDescent="0.25">
      <c r="A364" s="230" t="s">
        <v>138</v>
      </c>
      <c r="B364" s="231"/>
      <c r="C364" s="231"/>
      <c r="D364" s="231"/>
      <c r="E364" s="232"/>
      <c r="F364" s="40">
        <f>SUM(F363:F363)</f>
        <v>60000</v>
      </c>
      <c r="G364" s="40">
        <f t="shared" ref="G364:L364" si="111">SUM(G363:G363)</f>
        <v>1722</v>
      </c>
      <c r="H364" s="40">
        <f t="shared" si="111"/>
        <v>1824</v>
      </c>
      <c r="I364" s="40">
        <f t="shared" si="111"/>
        <v>3184.159833333335</v>
      </c>
      <c r="J364" s="40">
        <f t="shared" si="111"/>
        <v>1537.45</v>
      </c>
      <c r="K364" s="40">
        <f t="shared" si="111"/>
        <v>8267.6098333333357</v>
      </c>
      <c r="L364" s="40">
        <f t="shared" si="111"/>
        <v>51732.390166666664</v>
      </c>
    </row>
    <row r="365" spans="1:12" s="42" customFormat="1" ht="29.25" customHeight="1" thickBot="1" x14ac:dyDescent="0.3">
      <c r="A365" s="53"/>
      <c r="B365" s="53"/>
      <c r="C365" s="53"/>
      <c r="D365" s="53"/>
      <c r="E365" s="53"/>
      <c r="F365" s="43"/>
      <c r="G365" s="43"/>
      <c r="H365" s="43"/>
      <c r="I365" s="43"/>
      <c r="J365" s="43"/>
      <c r="K365" s="43"/>
      <c r="L365" s="43"/>
    </row>
    <row r="366" spans="1:12" s="42" customFormat="1" ht="24.95" customHeight="1" thickBot="1" x14ac:dyDescent="0.3">
      <c r="A366" s="233" t="s">
        <v>250</v>
      </c>
      <c r="B366" s="234"/>
      <c r="C366" s="234"/>
      <c r="D366" s="234"/>
      <c r="E366" s="234"/>
      <c r="F366" s="234"/>
      <c r="G366" s="234"/>
      <c r="H366" s="234"/>
      <c r="I366" s="234"/>
      <c r="J366" s="234"/>
      <c r="K366" s="234"/>
      <c r="L366" s="235"/>
    </row>
    <row r="367" spans="1:12" s="56" customFormat="1" ht="30" customHeight="1" x14ac:dyDescent="0.25">
      <c r="A367" s="83">
        <f>+A363+1</f>
        <v>196</v>
      </c>
      <c r="B367" s="126" t="s">
        <v>47</v>
      </c>
      <c r="C367" s="136" t="s">
        <v>470</v>
      </c>
      <c r="D367" s="164" t="s">
        <v>588</v>
      </c>
      <c r="E367" s="126" t="s">
        <v>134</v>
      </c>
      <c r="F367" s="120">
        <v>135000</v>
      </c>
      <c r="G367" s="85">
        <f>F367*2.87%</f>
        <v>3874.5</v>
      </c>
      <c r="H367" s="85">
        <f>+F367*3.04%</f>
        <v>4104</v>
      </c>
      <c r="I367" s="123">
        <v>20338.312291666665</v>
      </c>
      <c r="J367" s="92">
        <v>125</v>
      </c>
      <c r="K367" s="120">
        <f>SUM(G367:J367)</f>
        <v>28441.812291666665</v>
      </c>
      <c r="L367" s="92">
        <f>+F367-K367</f>
        <v>106558.18770833334</v>
      </c>
    </row>
    <row r="368" spans="1:12" s="56" customFormat="1" ht="30" customHeight="1" x14ac:dyDescent="0.25">
      <c r="A368" s="39">
        <f>+A367+1</f>
        <v>197</v>
      </c>
      <c r="B368" s="121" t="s">
        <v>113</v>
      </c>
      <c r="C368" s="39" t="s">
        <v>469</v>
      </c>
      <c r="D368" s="121" t="s">
        <v>108</v>
      </c>
      <c r="E368" s="121" t="s">
        <v>135</v>
      </c>
      <c r="F368" s="123">
        <v>70000</v>
      </c>
      <c r="G368" s="123">
        <f t="shared" ref="G368" si="112">F368*2.87%</f>
        <v>2009</v>
      </c>
      <c r="H368" s="123">
        <f t="shared" ref="H368" si="113">+F368*3.04%</f>
        <v>2128</v>
      </c>
      <c r="I368" s="123">
        <v>5065.9598333333352</v>
      </c>
      <c r="J368" s="124">
        <v>8581.8799999999992</v>
      </c>
      <c r="K368" s="120">
        <f t="shared" ref="K368" si="114">SUM(G368:J368)</f>
        <v>17784.839833333332</v>
      </c>
      <c r="L368" s="124">
        <f t="shared" ref="L368" si="115">+F368-K368</f>
        <v>52215.160166666668</v>
      </c>
    </row>
    <row r="369" spans="1:12" s="42" customFormat="1" ht="30" customHeight="1" thickBot="1" x14ac:dyDescent="0.3">
      <c r="A369" s="230" t="s">
        <v>138</v>
      </c>
      <c r="B369" s="231"/>
      <c r="C369" s="231"/>
      <c r="D369" s="231"/>
      <c r="E369" s="232"/>
      <c r="F369" s="40">
        <f>SUM(F367:F368)</f>
        <v>205000</v>
      </c>
      <c r="G369" s="40">
        <f t="shared" ref="G369:L369" si="116">SUM(G367:G368)</f>
        <v>5883.5</v>
      </c>
      <c r="H369" s="40">
        <f t="shared" si="116"/>
        <v>6232</v>
      </c>
      <c r="I369" s="40">
        <f t="shared" si="116"/>
        <v>25404.272125</v>
      </c>
      <c r="J369" s="40">
        <f t="shared" si="116"/>
        <v>8706.8799999999992</v>
      </c>
      <c r="K369" s="40">
        <f t="shared" si="116"/>
        <v>46226.652124999993</v>
      </c>
      <c r="L369" s="40">
        <f t="shared" si="116"/>
        <v>158773.34787500001</v>
      </c>
    </row>
    <row r="370" spans="1:12" s="42" customFormat="1" ht="30" customHeight="1" thickBot="1" x14ac:dyDescent="0.3">
      <c r="A370" s="252" t="s">
        <v>377</v>
      </c>
      <c r="B370" s="253"/>
      <c r="C370" s="253"/>
      <c r="D370" s="253"/>
      <c r="E370" s="253"/>
      <c r="F370" s="253"/>
      <c r="G370" s="253"/>
      <c r="H370" s="253"/>
      <c r="I370" s="253"/>
      <c r="J370" s="253"/>
      <c r="K370" s="253"/>
      <c r="L370" s="254"/>
    </row>
    <row r="371" spans="1:12" s="42" customFormat="1" ht="27.75" customHeight="1" x14ac:dyDescent="0.25">
      <c r="A371" s="88">
        <f>+A368+1</f>
        <v>198</v>
      </c>
      <c r="B371" s="121" t="s">
        <v>472</v>
      </c>
      <c r="C371" s="39" t="s">
        <v>469</v>
      </c>
      <c r="D371" s="127" t="s">
        <v>378</v>
      </c>
      <c r="E371" s="121" t="s">
        <v>252</v>
      </c>
      <c r="F371" s="123">
        <v>35000</v>
      </c>
      <c r="G371" s="90">
        <f>F371*2.87%</f>
        <v>1004.5</v>
      </c>
      <c r="H371" s="90">
        <f>+F371*3.04%</f>
        <v>1064</v>
      </c>
      <c r="I371" s="90"/>
      <c r="J371" s="92">
        <v>25</v>
      </c>
      <c r="K371" s="120">
        <f>SUM(G371:J371)</f>
        <v>2093.5</v>
      </c>
      <c r="L371" s="86">
        <f>+F371-K371</f>
        <v>32906.5</v>
      </c>
    </row>
    <row r="372" spans="1:12" s="42" customFormat="1" ht="27.75" customHeight="1" x14ac:dyDescent="0.25">
      <c r="A372" s="88">
        <f>+A371+1</f>
        <v>199</v>
      </c>
      <c r="B372" s="121" t="s">
        <v>379</v>
      </c>
      <c r="C372" s="39" t="s">
        <v>469</v>
      </c>
      <c r="D372" s="121" t="s">
        <v>378</v>
      </c>
      <c r="E372" s="121" t="s">
        <v>252</v>
      </c>
      <c r="F372" s="123">
        <v>35000</v>
      </c>
      <c r="G372" s="90">
        <f t="shared" ref="G372:G373" si="117">F372*2.87%</f>
        <v>1004.5</v>
      </c>
      <c r="H372" s="90">
        <f t="shared" ref="H372:H373" si="118">+F372*3.04%</f>
        <v>1064</v>
      </c>
      <c r="I372" s="90"/>
      <c r="J372" s="92">
        <v>3025</v>
      </c>
      <c r="K372" s="85">
        <f t="shared" ref="K372:K373" si="119">SUM(G372:J372)</f>
        <v>5093.5</v>
      </c>
      <c r="L372" s="92">
        <f t="shared" ref="L372:L373" si="120">+F372-K372</f>
        <v>29906.5</v>
      </c>
    </row>
    <row r="373" spans="1:12" s="56" customFormat="1" ht="30" customHeight="1" x14ac:dyDescent="0.25">
      <c r="A373" s="88">
        <f>+A372+1</f>
        <v>200</v>
      </c>
      <c r="B373" s="121" t="s">
        <v>380</v>
      </c>
      <c r="C373" s="39" t="s">
        <v>469</v>
      </c>
      <c r="D373" s="121" t="s">
        <v>378</v>
      </c>
      <c r="E373" s="121" t="s">
        <v>252</v>
      </c>
      <c r="F373" s="123">
        <v>35000</v>
      </c>
      <c r="G373" s="90">
        <f t="shared" si="117"/>
        <v>1004.5</v>
      </c>
      <c r="H373" s="90">
        <f t="shared" si="118"/>
        <v>1064</v>
      </c>
      <c r="I373" s="90"/>
      <c r="J373" s="92">
        <v>25</v>
      </c>
      <c r="K373" s="85">
        <f t="shared" si="119"/>
        <v>2093.5</v>
      </c>
      <c r="L373" s="92">
        <f t="shared" si="120"/>
        <v>32906.5</v>
      </c>
    </row>
    <row r="374" spans="1:12" s="42" customFormat="1" ht="30" customHeight="1" x14ac:dyDescent="0.25">
      <c r="A374" s="230" t="s">
        <v>138</v>
      </c>
      <c r="B374" s="231"/>
      <c r="C374" s="231"/>
      <c r="D374" s="231"/>
      <c r="E374" s="232"/>
      <c r="F374" s="40">
        <f t="shared" ref="F374:L374" si="121">SUM(F371:F373)</f>
        <v>105000</v>
      </c>
      <c r="G374" s="40">
        <f t="shared" si="121"/>
        <v>3013.5</v>
      </c>
      <c r="H374" s="40">
        <f t="shared" si="121"/>
        <v>3192</v>
      </c>
      <c r="I374" s="40">
        <f t="shared" si="121"/>
        <v>0</v>
      </c>
      <c r="J374" s="40">
        <f t="shared" si="121"/>
        <v>3075</v>
      </c>
      <c r="K374" s="40">
        <f t="shared" si="121"/>
        <v>9280.5</v>
      </c>
      <c r="L374" s="40">
        <f t="shared" si="121"/>
        <v>95719.5</v>
      </c>
    </row>
    <row r="375" spans="1:12" s="42" customFormat="1" ht="30" customHeight="1" thickBot="1" x14ac:dyDescent="0.3">
      <c r="A375" s="53"/>
      <c r="B375" s="53"/>
      <c r="C375" s="53"/>
      <c r="D375" s="53"/>
      <c r="E375" s="53"/>
      <c r="F375" s="43"/>
      <c r="G375" s="43"/>
      <c r="H375" s="43"/>
      <c r="I375" s="43"/>
      <c r="J375" s="43"/>
      <c r="K375" s="43"/>
      <c r="L375" s="43"/>
    </row>
    <row r="376" spans="1:12" s="42" customFormat="1" ht="27.75" customHeight="1" thickBot="1" x14ac:dyDescent="0.3">
      <c r="A376" s="252" t="s">
        <v>229</v>
      </c>
      <c r="B376" s="253"/>
      <c r="C376" s="253"/>
      <c r="D376" s="253"/>
      <c r="E376" s="253"/>
      <c r="F376" s="253"/>
      <c r="G376" s="253"/>
      <c r="H376" s="253"/>
      <c r="I376" s="253"/>
      <c r="J376" s="253"/>
      <c r="K376" s="253"/>
      <c r="L376" s="254"/>
    </row>
    <row r="377" spans="1:12" s="42" customFormat="1" ht="30" customHeight="1" x14ac:dyDescent="0.25">
      <c r="A377" s="88">
        <f>+A373+1</f>
        <v>201</v>
      </c>
      <c r="B377" s="89" t="s">
        <v>228</v>
      </c>
      <c r="C377" s="88" t="s">
        <v>469</v>
      </c>
      <c r="D377" s="89" t="s">
        <v>230</v>
      </c>
      <c r="E377" s="89" t="s">
        <v>252</v>
      </c>
      <c r="F377" s="90">
        <v>20000</v>
      </c>
      <c r="G377" s="90">
        <f>F377*2.87%</f>
        <v>574</v>
      </c>
      <c r="H377" s="90">
        <f>+F377*3.04%</f>
        <v>608</v>
      </c>
      <c r="I377" s="90"/>
      <c r="J377" s="92">
        <v>25</v>
      </c>
      <c r="K377" s="85">
        <f t="shared" ref="K377" si="122">SUM(G377:J377)</f>
        <v>1207</v>
      </c>
      <c r="L377" s="92">
        <f>+F377-K377</f>
        <v>18793</v>
      </c>
    </row>
    <row r="378" spans="1:12" s="87" customFormat="1" ht="30" customHeight="1" x14ac:dyDescent="0.25">
      <c r="A378" s="175">
        <f>+A377+1</f>
        <v>202</v>
      </c>
      <c r="B378" s="127" t="s">
        <v>537</v>
      </c>
      <c r="C378" s="39" t="s">
        <v>469</v>
      </c>
      <c r="D378" s="121" t="s">
        <v>230</v>
      </c>
      <c r="E378" s="121" t="s">
        <v>252</v>
      </c>
      <c r="F378" s="123">
        <v>20000</v>
      </c>
      <c r="G378" s="90">
        <f>F378*2.87%</f>
        <v>574</v>
      </c>
      <c r="H378" s="90">
        <f>+F378*3.04%</f>
        <v>608</v>
      </c>
      <c r="I378" s="90"/>
      <c r="J378" s="92">
        <v>25</v>
      </c>
      <c r="K378" s="85">
        <f t="shared" ref="K378" si="123">SUM(G378:J378)</f>
        <v>1207</v>
      </c>
      <c r="L378" s="92">
        <f>+F378-K378</f>
        <v>18793</v>
      </c>
    </row>
    <row r="379" spans="1:12" s="87" customFormat="1" ht="30" customHeight="1" x14ac:dyDescent="0.25">
      <c r="A379" s="230" t="s">
        <v>138</v>
      </c>
      <c r="B379" s="231"/>
      <c r="C379" s="231"/>
      <c r="D379" s="231"/>
      <c r="E379" s="232"/>
      <c r="F379" s="40">
        <f>SUM(F377:F378)</f>
        <v>40000</v>
      </c>
      <c r="G379" s="40">
        <f t="shared" ref="G379:L379" si="124">SUM(G377:G378)</f>
        <v>1148</v>
      </c>
      <c r="H379" s="40">
        <f t="shared" si="124"/>
        <v>1216</v>
      </c>
      <c r="I379" s="40">
        <f t="shared" si="124"/>
        <v>0</v>
      </c>
      <c r="J379" s="40">
        <f t="shared" si="124"/>
        <v>50</v>
      </c>
      <c r="K379" s="40">
        <f t="shared" si="124"/>
        <v>2414</v>
      </c>
      <c r="L379" s="40">
        <f t="shared" si="124"/>
        <v>37586</v>
      </c>
    </row>
    <row r="380" spans="1:12" s="87" customFormat="1" ht="30" customHeight="1" thickBot="1" x14ac:dyDescent="0.3">
      <c r="A380" s="53"/>
      <c r="B380" s="53"/>
      <c r="C380" s="53"/>
      <c r="D380" s="53"/>
      <c r="E380" s="53"/>
      <c r="F380" s="43"/>
      <c r="G380" s="43"/>
      <c r="H380" s="43"/>
      <c r="I380" s="43"/>
      <c r="J380" s="43"/>
      <c r="K380" s="43"/>
      <c r="L380" s="43"/>
    </row>
    <row r="381" spans="1:12" s="56" customFormat="1" ht="30" customHeight="1" thickBot="1" x14ac:dyDescent="0.3">
      <c r="A381" s="233" t="s">
        <v>194</v>
      </c>
      <c r="B381" s="234"/>
      <c r="C381" s="234"/>
      <c r="D381" s="234"/>
      <c r="E381" s="234"/>
      <c r="F381" s="234"/>
      <c r="G381" s="234"/>
      <c r="H381" s="234"/>
      <c r="I381" s="234"/>
      <c r="J381" s="234"/>
      <c r="K381" s="234"/>
      <c r="L381" s="235"/>
    </row>
    <row r="382" spans="1:12" s="56" customFormat="1" ht="30" customHeight="1" x14ac:dyDescent="0.25">
      <c r="A382" s="83">
        <f>+A378+1</f>
        <v>203</v>
      </c>
      <c r="B382" s="126" t="s">
        <v>381</v>
      </c>
      <c r="C382" s="136" t="s">
        <v>470</v>
      </c>
      <c r="D382" s="137" t="s">
        <v>121</v>
      </c>
      <c r="E382" s="121" t="s">
        <v>135</v>
      </c>
      <c r="F382" s="120">
        <v>77000</v>
      </c>
      <c r="G382" s="85">
        <f t="shared" ref="G382:G402" si="125">F382*2.87%</f>
        <v>2209.9</v>
      </c>
      <c r="H382" s="85">
        <f>+F382*3.04%</f>
        <v>2340.8000000000002</v>
      </c>
      <c r="I382" s="85">
        <v>6695.2622916666687</v>
      </c>
      <c r="J382" s="92">
        <v>125</v>
      </c>
      <c r="K382" s="120">
        <f>SUM(G382:J382)</f>
        <v>11370.96229166667</v>
      </c>
      <c r="L382" s="92">
        <f t="shared" ref="L382:L402" si="126">+F382-K382</f>
        <v>65629.03770833333</v>
      </c>
    </row>
    <row r="383" spans="1:12" s="42" customFormat="1" ht="30" customHeight="1" x14ac:dyDescent="0.25">
      <c r="A383" s="83">
        <f t="shared" ref="A383:A402" si="127">+A382+1</f>
        <v>204</v>
      </c>
      <c r="B383" s="121" t="s">
        <v>50</v>
      </c>
      <c r="C383" s="39" t="s">
        <v>470</v>
      </c>
      <c r="D383" s="140" t="s">
        <v>255</v>
      </c>
      <c r="E383" s="121" t="s">
        <v>135</v>
      </c>
      <c r="F383" s="123">
        <v>50000</v>
      </c>
      <c r="G383" s="90">
        <f t="shared" si="125"/>
        <v>1435</v>
      </c>
      <c r="H383" s="85">
        <f t="shared" ref="H383:H402" si="128">+F383*3.04%</f>
        <v>1520</v>
      </c>
      <c r="I383" s="90">
        <v>1854</v>
      </c>
      <c r="J383" s="92">
        <v>3927.61</v>
      </c>
      <c r="K383" s="120">
        <f t="shared" ref="K383" si="129">SUM(G383:J383)</f>
        <v>8736.61</v>
      </c>
      <c r="L383" s="92">
        <f t="shared" si="126"/>
        <v>41263.39</v>
      </c>
    </row>
    <row r="384" spans="1:12" s="56" customFormat="1" ht="30" customHeight="1" x14ac:dyDescent="0.25">
      <c r="A384" s="83">
        <f>+A383+1</f>
        <v>205</v>
      </c>
      <c r="B384" s="121" t="s">
        <v>383</v>
      </c>
      <c r="C384" s="39" t="s">
        <v>469</v>
      </c>
      <c r="D384" s="121" t="s">
        <v>384</v>
      </c>
      <c r="E384" s="121" t="s">
        <v>135</v>
      </c>
      <c r="F384" s="123">
        <v>45000</v>
      </c>
      <c r="G384" s="90">
        <f t="shared" si="125"/>
        <v>1291.5</v>
      </c>
      <c r="H384" s="85">
        <f t="shared" si="128"/>
        <v>1368</v>
      </c>
      <c r="I384" s="90">
        <v>1148.3248749999998</v>
      </c>
      <c r="J384" s="92">
        <v>4715.26</v>
      </c>
      <c r="K384" s="120">
        <f>SUM(G384:J384)</f>
        <v>8523.0848750000005</v>
      </c>
      <c r="L384" s="92">
        <f t="shared" si="126"/>
        <v>36476.915125</v>
      </c>
    </row>
    <row r="385" spans="1:12" s="87" customFormat="1" ht="30" customHeight="1" x14ac:dyDescent="0.25">
      <c r="A385" s="83">
        <f t="shared" si="127"/>
        <v>206</v>
      </c>
      <c r="B385" s="121" t="s">
        <v>385</v>
      </c>
      <c r="C385" s="39" t="s">
        <v>469</v>
      </c>
      <c r="D385" s="121" t="s">
        <v>384</v>
      </c>
      <c r="E385" s="121" t="s">
        <v>135</v>
      </c>
      <c r="F385" s="123">
        <v>45000</v>
      </c>
      <c r="G385" s="90">
        <f t="shared" si="125"/>
        <v>1291.5</v>
      </c>
      <c r="H385" s="85">
        <f t="shared" si="128"/>
        <v>1368</v>
      </c>
      <c r="I385" s="90">
        <v>921.4573750000003</v>
      </c>
      <c r="J385" s="92">
        <v>9246.1299999999992</v>
      </c>
      <c r="K385" s="120">
        <f>SUM(G385:J385)</f>
        <v>12827.087374999999</v>
      </c>
      <c r="L385" s="92">
        <f t="shared" si="126"/>
        <v>32172.912625000001</v>
      </c>
    </row>
    <row r="386" spans="1:12" s="87" customFormat="1" ht="30" customHeight="1" x14ac:dyDescent="0.25">
      <c r="A386" s="83">
        <f t="shared" si="127"/>
        <v>207</v>
      </c>
      <c r="B386" s="121" t="s">
        <v>8</v>
      </c>
      <c r="C386" s="39" t="s">
        <v>470</v>
      </c>
      <c r="D386" s="121" t="s">
        <v>386</v>
      </c>
      <c r="E386" s="121" t="s">
        <v>135</v>
      </c>
      <c r="F386" s="123">
        <v>45000</v>
      </c>
      <c r="G386" s="90">
        <f t="shared" si="125"/>
        <v>1291.5</v>
      </c>
      <c r="H386" s="85">
        <f t="shared" si="128"/>
        <v>1368</v>
      </c>
      <c r="I386" s="90"/>
      <c r="J386" s="86">
        <v>1637.45</v>
      </c>
      <c r="K386" s="120">
        <f>SUM(G386:J386)</f>
        <v>4296.95</v>
      </c>
      <c r="L386" s="92">
        <f t="shared" si="126"/>
        <v>40703.050000000003</v>
      </c>
    </row>
    <row r="387" spans="1:12" s="87" customFormat="1" ht="30" customHeight="1" x14ac:dyDescent="0.25">
      <c r="A387" s="83">
        <f t="shared" si="127"/>
        <v>208</v>
      </c>
      <c r="B387" s="121" t="s">
        <v>49</v>
      </c>
      <c r="C387" s="39" t="s">
        <v>470</v>
      </c>
      <c r="D387" s="121" t="s">
        <v>386</v>
      </c>
      <c r="E387" s="121" t="s">
        <v>135</v>
      </c>
      <c r="F387" s="123">
        <v>45000</v>
      </c>
      <c r="G387" s="90">
        <f>F387*2.87%</f>
        <v>1291.5</v>
      </c>
      <c r="H387" s="85">
        <f t="shared" si="128"/>
        <v>1368</v>
      </c>
      <c r="I387" s="90">
        <v>1148.32</v>
      </c>
      <c r="J387" s="86">
        <v>125</v>
      </c>
      <c r="K387" s="120">
        <f t="shared" ref="K387" si="130">SUM(G387:J387)</f>
        <v>3932.8199999999997</v>
      </c>
      <c r="L387" s="92">
        <f t="shared" si="126"/>
        <v>41067.18</v>
      </c>
    </row>
    <row r="388" spans="1:12" s="87" customFormat="1" ht="30" customHeight="1" x14ac:dyDescent="0.25">
      <c r="A388" s="83">
        <f t="shared" si="127"/>
        <v>209</v>
      </c>
      <c r="B388" s="126" t="s">
        <v>163</v>
      </c>
      <c r="C388" s="136" t="s">
        <v>469</v>
      </c>
      <c r="D388" s="121" t="s">
        <v>384</v>
      </c>
      <c r="E388" s="121" t="s">
        <v>134</v>
      </c>
      <c r="F388" s="120">
        <v>45000</v>
      </c>
      <c r="G388" s="90">
        <f>F388*2.87%</f>
        <v>1291.5</v>
      </c>
      <c r="H388" s="85">
        <f t="shared" si="128"/>
        <v>1368</v>
      </c>
      <c r="I388" s="85"/>
      <c r="J388" s="86">
        <v>2025</v>
      </c>
      <c r="K388" s="120">
        <f>SUM(G388:J388)</f>
        <v>4684.5</v>
      </c>
      <c r="L388" s="92">
        <f>+F388-K388</f>
        <v>40315.5</v>
      </c>
    </row>
    <row r="389" spans="1:12" s="87" customFormat="1" ht="30" customHeight="1" x14ac:dyDescent="0.25">
      <c r="A389" s="83">
        <f t="shared" si="127"/>
        <v>210</v>
      </c>
      <c r="B389" s="121" t="s">
        <v>394</v>
      </c>
      <c r="C389" s="39" t="s">
        <v>470</v>
      </c>
      <c r="D389" s="121" t="s">
        <v>384</v>
      </c>
      <c r="E389" s="121" t="s">
        <v>135</v>
      </c>
      <c r="F389" s="123">
        <v>45000</v>
      </c>
      <c r="G389" s="90">
        <f>F389*2.87%</f>
        <v>1291.5</v>
      </c>
      <c r="H389" s="85">
        <f t="shared" si="128"/>
        <v>1368</v>
      </c>
      <c r="I389" s="85">
        <v>1148.3248749999998</v>
      </c>
      <c r="J389" s="92">
        <v>125</v>
      </c>
      <c r="K389" s="85">
        <f>SUM(G389:J389)</f>
        <v>3932.8248749999998</v>
      </c>
      <c r="L389" s="92">
        <f>+F389-K389</f>
        <v>41067.175125000002</v>
      </c>
    </row>
    <row r="390" spans="1:12" s="87" customFormat="1" ht="30" customHeight="1" x14ac:dyDescent="0.25">
      <c r="A390" s="83">
        <f t="shared" si="127"/>
        <v>211</v>
      </c>
      <c r="B390" s="121" t="s">
        <v>387</v>
      </c>
      <c r="C390" s="39" t="s">
        <v>469</v>
      </c>
      <c r="D390" s="121" t="s">
        <v>384</v>
      </c>
      <c r="E390" s="121" t="s">
        <v>135</v>
      </c>
      <c r="F390" s="123">
        <v>45000</v>
      </c>
      <c r="G390" s="90">
        <f t="shared" si="125"/>
        <v>1291.5</v>
      </c>
      <c r="H390" s="85">
        <f t="shared" si="128"/>
        <v>1368</v>
      </c>
      <c r="I390" s="90">
        <v>1148.3248749999998</v>
      </c>
      <c r="J390" s="92">
        <f>8997.8+25+100</f>
        <v>9122.7999999999993</v>
      </c>
      <c r="K390" s="120">
        <f>SUM(G390:J390)</f>
        <v>12930.624875</v>
      </c>
      <c r="L390" s="92">
        <f t="shared" si="126"/>
        <v>32069.375124999999</v>
      </c>
    </row>
    <row r="391" spans="1:12" s="56" customFormat="1" ht="30" customHeight="1" x14ac:dyDescent="0.25">
      <c r="A391" s="83">
        <f t="shared" si="127"/>
        <v>212</v>
      </c>
      <c r="B391" s="126" t="s">
        <v>390</v>
      </c>
      <c r="C391" s="136" t="s">
        <v>470</v>
      </c>
      <c r="D391" s="126" t="s">
        <v>384</v>
      </c>
      <c r="E391" s="126" t="s">
        <v>135</v>
      </c>
      <c r="F391" s="120">
        <v>45000</v>
      </c>
      <c r="G391" s="90">
        <f>F391*2.87%</f>
        <v>1291.5</v>
      </c>
      <c r="H391" s="85">
        <f t="shared" si="128"/>
        <v>1368</v>
      </c>
      <c r="I391" s="90"/>
      <c r="J391" s="86">
        <v>4149.8999999999996</v>
      </c>
      <c r="K391" s="85">
        <f>SUM(G391:J391)</f>
        <v>6809.4</v>
      </c>
      <c r="L391" s="92">
        <f>+F391-K391</f>
        <v>38190.6</v>
      </c>
    </row>
    <row r="392" spans="1:12" s="35" customFormat="1" ht="25.5" customHeight="1" x14ac:dyDescent="0.25">
      <c r="A392" s="83">
        <f t="shared" si="127"/>
        <v>213</v>
      </c>
      <c r="B392" s="121" t="s">
        <v>391</v>
      </c>
      <c r="C392" s="39" t="s">
        <v>470</v>
      </c>
      <c r="D392" s="121" t="s">
        <v>384</v>
      </c>
      <c r="E392" s="121" t="s">
        <v>135</v>
      </c>
      <c r="F392" s="123">
        <v>45000</v>
      </c>
      <c r="G392" s="90">
        <f>F392*2.87%</f>
        <v>1291.5</v>
      </c>
      <c r="H392" s="85">
        <f t="shared" si="128"/>
        <v>1368</v>
      </c>
      <c r="I392" s="90"/>
      <c r="J392" s="92">
        <v>1637.45</v>
      </c>
      <c r="K392" s="85">
        <f t="shared" ref="K392" si="131">SUM(G392:J392)</f>
        <v>4296.95</v>
      </c>
      <c r="L392" s="92">
        <f>+F392-K392</f>
        <v>40703.050000000003</v>
      </c>
    </row>
    <row r="393" spans="1:12" s="87" customFormat="1" ht="30" customHeight="1" x14ac:dyDescent="0.25">
      <c r="A393" s="83">
        <f t="shared" si="127"/>
        <v>214</v>
      </c>
      <c r="B393" s="121" t="s">
        <v>392</v>
      </c>
      <c r="C393" s="39" t="s">
        <v>470</v>
      </c>
      <c r="D393" s="121" t="s">
        <v>384</v>
      </c>
      <c r="E393" s="121" t="s">
        <v>135</v>
      </c>
      <c r="F393" s="123">
        <v>45000</v>
      </c>
      <c r="G393" s="90">
        <f>F393*2.87%</f>
        <v>1291.5</v>
      </c>
      <c r="H393" s="85">
        <f t="shared" si="128"/>
        <v>1368</v>
      </c>
      <c r="I393" s="90">
        <v>1148.3248749999998</v>
      </c>
      <c r="J393" s="92">
        <v>1991.65</v>
      </c>
      <c r="K393" s="85">
        <f>SUM(G393:J393)</f>
        <v>5799.4748749999999</v>
      </c>
      <c r="L393" s="92">
        <f>+F393-K393</f>
        <v>39200.525125</v>
      </c>
    </row>
    <row r="394" spans="1:12" s="87" customFormat="1" ht="30" customHeight="1" x14ac:dyDescent="0.25">
      <c r="A394" s="83">
        <f t="shared" si="127"/>
        <v>215</v>
      </c>
      <c r="B394" s="121" t="s">
        <v>48</v>
      </c>
      <c r="C394" s="39" t="s">
        <v>470</v>
      </c>
      <c r="D394" s="121" t="s">
        <v>384</v>
      </c>
      <c r="E394" s="121" t="s">
        <v>135</v>
      </c>
      <c r="F394" s="123">
        <v>45000</v>
      </c>
      <c r="G394" s="90">
        <f>F394*2.87%</f>
        <v>1291.5</v>
      </c>
      <c r="H394" s="85">
        <f t="shared" si="128"/>
        <v>1368</v>
      </c>
      <c r="I394" s="90"/>
      <c r="J394" s="92">
        <v>125</v>
      </c>
      <c r="K394" s="85">
        <f>SUM(G394:J394)</f>
        <v>2784.5</v>
      </c>
      <c r="L394" s="92">
        <f>+F394-K394</f>
        <v>42215.5</v>
      </c>
    </row>
    <row r="395" spans="1:12" s="87" customFormat="1" ht="30" customHeight="1" x14ac:dyDescent="0.25">
      <c r="A395" s="83">
        <f t="shared" si="127"/>
        <v>216</v>
      </c>
      <c r="B395" s="121" t="s">
        <v>28</v>
      </c>
      <c r="C395" s="39" t="s">
        <v>470</v>
      </c>
      <c r="D395" s="121" t="s">
        <v>384</v>
      </c>
      <c r="E395" s="121" t="s">
        <v>134</v>
      </c>
      <c r="F395" s="123">
        <v>40000</v>
      </c>
      <c r="G395" s="90">
        <f>F395*2.87%</f>
        <v>1148</v>
      </c>
      <c r="H395" s="85">
        <f t="shared" si="128"/>
        <v>1216</v>
      </c>
      <c r="I395" s="90"/>
      <c r="J395" s="92">
        <f>7000+25+100+1512.45</f>
        <v>8637.4500000000007</v>
      </c>
      <c r="K395" s="85">
        <f>SUM(G395:J395)</f>
        <v>11001.45</v>
      </c>
      <c r="L395" s="92">
        <f>+F395-K395</f>
        <v>28998.55</v>
      </c>
    </row>
    <row r="396" spans="1:12" s="35" customFormat="1" ht="30" customHeight="1" x14ac:dyDescent="0.25">
      <c r="A396" s="83">
        <f t="shared" si="127"/>
        <v>217</v>
      </c>
      <c r="B396" s="121" t="s">
        <v>388</v>
      </c>
      <c r="C396" s="39" t="s">
        <v>469</v>
      </c>
      <c r="D396" s="122" t="s">
        <v>27</v>
      </c>
      <c r="E396" s="121" t="s">
        <v>135</v>
      </c>
      <c r="F396" s="123">
        <v>35750</v>
      </c>
      <c r="G396" s="90">
        <f t="shared" si="125"/>
        <v>1026.0250000000001</v>
      </c>
      <c r="H396" s="85">
        <f t="shared" si="128"/>
        <v>1086.8</v>
      </c>
      <c r="I396" s="90"/>
      <c r="J396" s="125">
        <v>2424.37</v>
      </c>
      <c r="K396" s="120">
        <f>SUM(G396:J396)</f>
        <v>4537.1949999999997</v>
      </c>
      <c r="L396" s="92">
        <f t="shared" si="126"/>
        <v>31212.805</v>
      </c>
    </row>
    <row r="397" spans="1:12" s="87" customFormat="1" ht="30" customHeight="1" x14ac:dyDescent="0.25">
      <c r="A397" s="83">
        <f t="shared" si="127"/>
        <v>218</v>
      </c>
      <c r="B397" s="121" t="s">
        <v>52</v>
      </c>
      <c r="C397" s="39" t="s">
        <v>470</v>
      </c>
      <c r="D397" s="121" t="s">
        <v>389</v>
      </c>
      <c r="E397" s="121" t="s">
        <v>135</v>
      </c>
      <c r="F397" s="139">
        <v>35000</v>
      </c>
      <c r="G397" s="90">
        <f t="shared" si="125"/>
        <v>1004.5</v>
      </c>
      <c r="H397" s="85">
        <f t="shared" si="128"/>
        <v>1064</v>
      </c>
      <c r="I397" s="90"/>
      <c r="J397" s="86">
        <f>500+25+100+1512.45</f>
        <v>2137.4499999999998</v>
      </c>
      <c r="K397" s="85">
        <f>SUM(G397:J397)</f>
        <v>4205.95</v>
      </c>
      <c r="L397" s="92">
        <f t="shared" si="126"/>
        <v>30794.05</v>
      </c>
    </row>
    <row r="398" spans="1:12" s="87" customFormat="1" ht="30" customHeight="1" x14ac:dyDescent="0.25">
      <c r="A398" s="83">
        <f t="shared" si="127"/>
        <v>219</v>
      </c>
      <c r="B398" s="121" t="s">
        <v>393</v>
      </c>
      <c r="C398" s="39" t="s">
        <v>470</v>
      </c>
      <c r="D398" s="121" t="s">
        <v>31</v>
      </c>
      <c r="E398" s="121" t="s">
        <v>135</v>
      </c>
      <c r="F398" s="123">
        <v>35000</v>
      </c>
      <c r="G398" s="90">
        <f t="shared" si="125"/>
        <v>1004.5</v>
      </c>
      <c r="H398" s="85">
        <f t="shared" si="128"/>
        <v>1064</v>
      </c>
      <c r="I398" s="90"/>
      <c r="J398" s="92">
        <v>1637.45</v>
      </c>
      <c r="K398" s="85">
        <f t="shared" ref="K398:K402" si="132">SUM(G398:J398)</f>
        <v>3705.95</v>
      </c>
      <c r="L398" s="92">
        <f t="shared" si="126"/>
        <v>31294.05</v>
      </c>
    </row>
    <row r="399" spans="1:12" s="87" customFormat="1" ht="30" customHeight="1" x14ac:dyDescent="0.25">
      <c r="A399" s="83">
        <f t="shared" si="127"/>
        <v>220</v>
      </c>
      <c r="B399" s="127" t="s">
        <v>217</v>
      </c>
      <c r="C399" s="195" t="s">
        <v>469</v>
      </c>
      <c r="D399" s="121" t="s">
        <v>218</v>
      </c>
      <c r="E399" s="121" t="s">
        <v>252</v>
      </c>
      <c r="F399" s="123">
        <v>26000</v>
      </c>
      <c r="G399" s="90">
        <f>F399*2.87%</f>
        <v>746.2</v>
      </c>
      <c r="H399" s="85">
        <f t="shared" si="128"/>
        <v>790.4</v>
      </c>
      <c r="I399" s="101"/>
      <c r="J399" s="92">
        <v>25</v>
      </c>
      <c r="K399" s="85">
        <f>SUM(G399:J399)</f>
        <v>1561.6</v>
      </c>
      <c r="L399" s="92">
        <f>+F399-K399</f>
        <v>24438.400000000001</v>
      </c>
    </row>
    <row r="400" spans="1:12" s="35" customFormat="1" ht="30" customHeight="1" x14ac:dyDescent="0.25">
      <c r="A400" s="83">
        <f t="shared" si="127"/>
        <v>221</v>
      </c>
      <c r="B400" s="121" t="s">
        <v>395</v>
      </c>
      <c r="C400" s="39" t="s">
        <v>469</v>
      </c>
      <c r="D400" s="121" t="s">
        <v>111</v>
      </c>
      <c r="E400" s="121" t="s">
        <v>252</v>
      </c>
      <c r="F400" s="123">
        <v>23908.5</v>
      </c>
      <c r="G400" s="90">
        <f t="shared" si="125"/>
        <v>686.17394999999999</v>
      </c>
      <c r="H400" s="85">
        <f t="shared" si="128"/>
        <v>726.8184</v>
      </c>
      <c r="I400" s="90"/>
      <c r="J400" s="92">
        <v>125</v>
      </c>
      <c r="K400" s="85">
        <f t="shared" si="132"/>
        <v>1537.99235</v>
      </c>
      <c r="L400" s="92">
        <f t="shared" si="126"/>
        <v>22370.50765</v>
      </c>
    </row>
    <row r="401" spans="1:12" s="35" customFormat="1" ht="30" customHeight="1" x14ac:dyDescent="0.25">
      <c r="A401" s="83">
        <f t="shared" si="127"/>
        <v>222</v>
      </c>
      <c r="B401" s="121" t="s">
        <v>51</v>
      </c>
      <c r="C401" s="39" t="s">
        <v>469</v>
      </c>
      <c r="D401" s="121" t="s">
        <v>111</v>
      </c>
      <c r="E401" s="121" t="s">
        <v>135</v>
      </c>
      <c r="F401" s="123">
        <v>23835</v>
      </c>
      <c r="G401" s="90">
        <f t="shared" si="125"/>
        <v>684.06449999999995</v>
      </c>
      <c r="H401" s="85">
        <f t="shared" si="128"/>
        <v>724.58399999999995</v>
      </c>
      <c r="I401" s="90"/>
      <c r="J401" s="92">
        <v>25</v>
      </c>
      <c r="K401" s="85">
        <f t="shared" si="132"/>
        <v>1433.6484999999998</v>
      </c>
      <c r="L401" s="92">
        <f t="shared" si="126"/>
        <v>22401.351500000001</v>
      </c>
    </row>
    <row r="402" spans="1:12" ht="36" customHeight="1" x14ac:dyDescent="0.25">
      <c r="A402" s="83">
        <f t="shared" si="127"/>
        <v>223</v>
      </c>
      <c r="B402" s="121" t="s">
        <v>396</v>
      </c>
      <c r="C402" s="39" t="s">
        <v>469</v>
      </c>
      <c r="D402" s="121" t="s">
        <v>111</v>
      </c>
      <c r="E402" s="121" t="s">
        <v>135</v>
      </c>
      <c r="F402" s="123">
        <v>30000</v>
      </c>
      <c r="G402" s="90">
        <f t="shared" si="125"/>
        <v>861</v>
      </c>
      <c r="H402" s="85">
        <f t="shared" si="128"/>
        <v>912</v>
      </c>
      <c r="I402" s="101"/>
      <c r="J402" s="92">
        <v>125</v>
      </c>
      <c r="K402" s="85">
        <f t="shared" si="132"/>
        <v>1898</v>
      </c>
      <c r="L402" s="92">
        <f t="shared" si="126"/>
        <v>28102</v>
      </c>
    </row>
    <row r="403" spans="1:12" ht="30" customHeight="1" x14ac:dyDescent="0.25">
      <c r="A403" s="230" t="s">
        <v>138</v>
      </c>
      <c r="B403" s="231"/>
      <c r="C403" s="231"/>
      <c r="D403" s="231"/>
      <c r="E403" s="232"/>
      <c r="F403" s="40">
        <f>SUM(F382:F402)</f>
        <v>871493.5</v>
      </c>
      <c r="G403" s="40">
        <f t="shared" ref="G403:L403" si="133">SUM(G382:G402)</f>
        <v>25011.863450000004</v>
      </c>
      <c r="H403" s="40">
        <f t="shared" si="133"/>
        <v>26493.402399999999</v>
      </c>
      <c r="I403" s="40">
        <f t="shared" si="133"/>
        <v>15212.33916666667</v>
      </c>
      <c r="J403" s="40">
        <f t="shared" si="133"/>
        <v>54089.969999999994</v>
      </c>
      <c r="K403" s="40">
        <f t="shared" si="133"/>
        <v>120807.57501666664</v>
      </c>
      <c r="L403" s="40">
        <f t="shared" si="133"/>
        <v>750685.92498333356</v>
      </c>
    </row>
    <row r="404" spans="1:12" ht="30" customHeight="1" thickBot="1" x14ac:dyDescent="0.3">
      <c r="A404" s="44"/>
      <c r="B404" s="51"/>
      <c r="C404" s="155"/>
      <c r="D404" s="51"/>
      <c r="E404" s="51"/>
      <c r="F404" s="52"/>
      <c r="G404" s="42"/>
      <c r="H404" s="42"/>
      <c r="I404" s="42"/>
      <c r="J404" s="42"/>
      <c r="K404" s="42"/>
      <c r="L404" s="42"/>
    </row>
    <row r="405" spans="1:12" ht="30" customHeight="1" thickBot="1" x14ac:dyDescent="0.3">
      <c r="A405" s="57"/>
      <c r="B405" s="58" t="s">
        <v>459</v>
      </c>
      <c r="C405" s="156"/>
      <c r="D405" s="59"/>
      <c r="E405" s="60"/>
      <c r="F405" s="61">
        <f t="shared" ref="F405:L405" si="134">+F16+F20+F24+F30+F37+F44+F49+F57+F63+F72+F76+F81+F87+F94+F98+F102+F106+F115+F119+F126+F132+F141+F146+F154+F159+F167+F172+F176+F180+F188+F198+F206+F211+F215+F224+F229+F242+F249+F254+F259+F265+F270+F287+F316+F347+F356+F374+F403+F379+F364+F360+F325+F238+F233+F202+F282+F277+F219+F351+F369</f>
        <v>15573818.5</v>
      </c>
      <c r="G405" s="61">
        <f t="shared" si="134"/>
        <v>446968.59094999998</v>
      </c>
      <c r="H405" s="61">
        <f t="shared" si="134"/>
        <v>468492.68239999999</v>
      </c>
      <c r="I405" s="61">
        <f t="shared" si="134"/>
        <v>1436947.6344583328</v>
      </c>
      <c r="J405" s="61">
        <f t="shared" si="134"/>
        <v>661838.35999999964</v>
      </c>
      <c r="K405" s="61">
        <f t="shared" si="134"/>
        <v>3014247.267808334</v>
      </c>
      <c r="L405" s="61">
        <f t="shared" si="134"/>
        <v>12559571.232191671</v>
      </c>
    </row>
    <row r="406" spans="1:12" ht="15" x14ac:dyDescent="0.25">
      <c r="A406" s="31"/>
      <c r="B406" s="30"/>
      <c r="C406" s="31"/>
      <c r="D406" s="30"/>
      <c r="E406" s="30"/>
      <c r="F406" s="18"/>
      <c r="G406" s="19"/>
      <c r="H406" s="19"/>
      <c r="I406" s="19"/>
      <c r="J406" s="19"/>
      <c r="K406" s="19"/>
      <c r="L406" s="19"/>
    </row>
    <row r="407" spans="1:12" ht="15" x14ac:dyDescent="0.25">
      <c r="A407" s="31"/>
      <c r="B407" s="30"/>
      <c r="C407" s="31"/>
      <c r="D407" s="30"/>
      <c r="E407" s="30"/>
      <c r="F407" s="18"/>
      <c r="G407" s="19"/>
      <c r="H407" s="19"/>
      <c r="I407" s="19"/>
      <c r="J407" s="19"/>
      <c r="K407" s="19"/>
      <c r="L407" s="19"/>
    </row>
    <row r="408" spans="1:12" ht="15.75" x14ac:dyDescent="0.25">
      <c r="B408" s="21"/>
      <c r="C408" s="157"/>
      <c r="D408" s="22"/>
      <c r="E408" s="21"/>
      <c r="F408" s="1"/>
      <c r="L408" s="7"/>
    </row>
    <row r="409" spans="1:12" ht="15.75" x14ac:dyDescent="0.25">
      <c r="B409" s="23" t="s">
        <v>219</v>
      </c>
      <c r="C409" s="158"/>
      <c r="D409" s="22"/>
      <c r="E409" s="23" t="s">
        <v>546</v>
      </c>
      <c r="F409" s="1"/>
      <c r="L409" s="176"/>
    </row>
    <row r="410" spans="1:12" ht="15.75" x14ac:dyDescent="0.25">
      <c r="B410" s="23" t="s">
        <v>547</v>
      </c>
      <c r="C410" s="158"/>
      <c r="D410" s="22"/>
      <c r="E410" s="23" t="s">
        <v>548</v>
      </c>
      <c r="F410" s="1"/>
    </row>
    <row r="411" spans="1:12" x14ac:dyDescent="0.2">
      <c r="L411" s="7"/>
    </row>
    <row r="16891" spans="2:12" s="4" customFormat="1" x14ac:dyDescent="0.2">
      <c r="B16891" s="25"/>
      <c r="D16891" s="25"/>
      <c r="E16891" s="25"/>
      <c r="F16891" s="2"/>
      <c r="G16891" s="1"/>
      <c r="H16891" s="1"/>
      <c r="I16891" s="1"/>
      <c r="J16891" s="1"/>
      <c r="K16891" s="1"/>
      <c r="L16891" s="1"/>
    </row>
    <row r="16893" spans="2:12" s="4" customFormat="1" x14ac:dyDescent="0.2">
      <c r="B16893" s="25"/>
      <c r="D16893" s="25"/>
      <c r="E16893" s="25"/>
      <c r="F16893" s="2"/>
      <c r="G16893" s="1"/>
      <c r="H16893" s="1"/>
      <c r="I16893" s="1"/>
      <c r="J16893" s="1"/>
      <c r="K16893" s="1"/>
      <c r="L16893" s="1"/>
    </row>
    <row r="16912" spans="7:8" x14ac:dyDescent="0.2">
      <c r="G16912" s="4"/>
      <c r="H16912" s="4"/>
    </row>
    <row r="16914" spans="2:12" x14ac:dyDescent="0.2">
      <c r="G16914" s="4"/>
      <c r="H16914" s="4"/>
    </row>
    <row r="16924" spans="2:12" x14ac:dyDescent="0.2">
      <c r="J16924" s="4"/>
      <c r="K16924" s="4"/>
      <c r="L16924" s="4"/>
    </row>
    <row r="16926" spans="2:12" x14ac:dyDescent="0.2">
      <c r="J16926" s="4"/>
      <c r="K16926" s="4"/>
      <c r="L16926" s="4"/>
    </row>
    <row r="16927" spans="2:12" x14ac:dyDescent="0.2">
      <c r="I16927" s="4"/>
    </row>
    <row r="16928" spans="2:12" x14ac:dyDescent="0.2">
      <c r="B16928" s="25">
        <f>SUM(B6:B16927)</f>
        <v>0</v>
      </c>
    </row>
    <row r="16929" spans="2:9" x14ac:dyDescent="0.2">
      <c r="I16929" s="4"/>
    </row>
    <row r="16930" spans="2:9" x14ac:dyDescent="0.2">
      <c r="B16930" s="25">
        <f>SUM(B16928)</f>
        <v>0</v>
      </c>
    </row>
    <row r="1000253" spans="11:11" x14ac:dyDescent="0.2">
      <c r="K1000253" s="11" t="e">
        <f>SUM(#REF!)</f>
        <v>#REF!</v>
      </c>
    </row>
  </sheetData>
  <mergeCells count="126">
    <mergeCell ref="A366:L366"/>
    <mergeCell ref="A369:E369"/>
    <mergeCell ref="A381:L381"/>
    <mergeCell ref="A376:L376"/>
    <mergeCell ref="A379:E379"/>
    <mergeCell ref="A349:L349"/>
    <mergeCell ref="A351:E351"/>
    <mergeCell ref="A364:E364"/>
    <mergeCell ref="A207:L207"/>
    <mergeCell ref="A256:L256"/>
    <mergeCell ref="A254:E254"/>
    <mergeCell ref="A251:L251"/>
    <mergeCell ref="A249:E249"/>
    <mergeCell ref="A204:L204"/>
    <mergeCell ref="A198:E198"/>
    <mergeCell ref="A206:E206"/>
    <mergeCell ref="A176:E176"/>
    <mergeCell ref="A180:E180"/>
    <mergeCell ref="A99:L99"/>
    <mergeCell ref="A104:L104"/>
    <mergeCell ref="A403:E403"/>
    <mergeCell ref="A356:E356"/>
    <mergeCell ref="A284:L284"/>
    <mergeCell ref="A288:L288"/>
    <mergeCell ref="A370:L370"/>
    <mergeCell ref="A326:L326"/>
    <mergeCell ref="A353:L353"/>
    <mergeCell ref="A287:E287"/>
    <mergeCell ref="A316:E316"/>
    <mergeCell ref="A374:E374"/>
    <mergeCell ref="A347:E347"/>
    <mergeCell ref="A318:L318"/>
    <mergeCell ref="A325:E325"/>
    <mergeCell ref="A358:L358"/>
    <mergeCell ref="A360:E360"/>
    <mergeCell ref="A362:L362"/>
    <mergeCell ref="A202:E202"/>
    <mergeCell ref="A126:E126"/>
    <mergeCell ref="A78:L78"/>
    <mergeCell ref="A83:L83"/>
    <mergeCell ref="A108:L108"/>
    <mergeCell ref="A169:L169"/>
    <mergeCell ref="A167:E167"/>
    <mergeCell ref="A102:E102"/>
    <mergeCell ref="A119:E119"/>
    <mergeCell ref="D115:E115"/>
    <mergeCell ref="A98:E98"/>
    <mergeCell ref="A132:E132"/>
    <mergeCell ref="A141:E141"/>
    <mergeCell ref="A146:E146"/>
    <mergeCell ref="A154:E154"/>
    <mergeCell ref="A156:L156"/>
    <mergeCell ref="A148:L148"/>
    <mergeCell ref="A161:L161"/>
    <mergeCell ref="A182:L182"/>
    <mergeCell ref="A177:L177"/>
    <mergeCell ref="A279:L279"/>
    <mergeCell ref="A217:L217"/>
    <mergeCell ref="A219:E219"/>
    <mergeCell ref="A272:L272"/>
    <mergeCell ref="A277:E277"/>
    <mergeCell ref="A282:E282"/>
    <mergeCell ref="A244:L244"/>
    <mergeCell ref="A242:E242"/>
    <mergeCell ref="A240:L240"/>
    <mergeCell ref="A238:E238"/>
    <mergeCell ref="A235:L235"/>
    <mergeCell ref="A233:E233"/>
    <mergeCell ref="A231:L231"/>
    <mergeCell ref="A229:E229"/>
    <mergeCell ref="A270:E270"/>
    <mergeCell ref="A226:L226"/>
    <mergeCell ref="A224:E224"/>
    <mergeCell ref="A221:L221"/>
    <mergeCell ref="A267:L267"/>
    <mergeCell ref="A265:E265"/>
    <mergeCell ref="A261:L261"/>
    <mergeCell ref="A259:E259"/>
    <mergeCell ref="A190:L190"/>
    <mergeCell ref="A174:L174"/>
    <mergeCell ref="A188:E188"/>
    <mergeCell ref="A127:L127"/>
    <mergeCell ref="A213:L213"/>
    <mergeCell ref="A211:E211"/>
    <mergeCell ref="A215:E215"/>
    <mergeCell ref="A200:L200"/>
    <mergeCell ref="A1:L1"/>
    <mergeCell ref="A2:L2"/>
    <mergeCell ref="A3:L3"/>
    <mergeCell ref="A4:B4"/>
    <mergeCell ref="A7:L7"/>
    <mergeCell ref="G5:H5"/>
    <mergeCell ref="A26:L26"/>
    <mergeCell ref="A32:L32"/>
    <mergeCell ref="A18:L18"/>
    <mergeCell ref="A20:E20"/>
    <mergeCell ref="A22:L22"/>
    <mergeCell ref="A24:E24"/>
    <mergeCell ref="A16:E16"/>
    <mergeCell ref="A30:E30"/>
    <mergeCell ref="A37:E37"/>
    <mergeCell ref="A38:L38"/>
    <mergeCell ref="A44:E44"/>
    <mergeCell ref="A170:L170"/>
    <mergeCell ref="A46:L46"/>
    <mergeCell ref="A51:L51"/>
    <mergeCell ref="A134:L134"/>
    <mergeCell ref="A172:E172"/>
    <mergeCell ref="A106:E106"/>
    <mergeCell ref="A49:E49"/>
    <mergeCell ref="A89:L89"/>
    <mergeCell ref="A96:L96"/>
    <mergeCell ref="A57:E57"/>
    <mergeCell ref="A63:E63"/>
    <mergeCell ref="A72:E72"/>
    <mergeCell ref="A87:E87"/>
    <mergeCell ref="A94:E94"/>
    <mergeCell ref="A59:L59"/>
    <mergeCell ref="A65:L65"/>
    <mergeCell ref="A73:L73"/>
    <mergeCell ref="A76:E76"/>
    <mergeCell ref="A81:E81"/>
    <mergeCell ref="A159:E159"/>
    <mergeCell ref="A143:L143"/>
    <mergeCell ref="A117:L117"/>
    <mergeCell ref="A121:L121"/>
  </mergeCells>
  <pageMargins left="0.15748031496062992" right="0.15748031496062992" top="0.19685039370078741" bottom="0.15748031496062992" header="0.15748031496062992" footer="0.15748031496062992"/>
  <pageSetup scale="51" fitToHeight="0" orientation="landscape" r:id="rId1"/>
  <rowBreaks count="15" manualBreakCount="15">
    <brk id="31" max="11" man="1"/>
    <brk id="58" max="11" man="1"/>
    <brk id="82" max="11" man="1"/>
    <brk id="107" max="11" man="1"/>
    <brk id="133" max="11" man="1"/>
    <brk id="160" max="11" man="1"/>
    <brk id="189" max="11" man="1"/>
    <brk id="216" max="11" man="1"/>
    <brk id="243" max="11" man="1"/>
    <brk id="271" max="11" man="1"/>
    <brk id="287" max="11" man="1"/>
    <brk id="317" max="11" man="1"/>
    <brk id="347" max="11" man="1"/>
    <brk id="379" max="11" man="1"/>
    <brk id="411" max="11" man="1"/>
  </rowBreaks>
  <ignoredErrors>
    <ignoredError sqref="K74 K157 K100 K290:K291 K66 K228 K47 K131 K178 K14 K218" formulaRange="1"/>
    <ignoredError sqref="H165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9"/>
  <sheetViews>
    <sheetView showGridLines="0" view="pageBreakPreview" zoomScale="40" zoomScaleNormal="97" zoomScaleSheetLayoutView="40" workbookViewId="0">
      <pane xSplit="3" ySplit="6" topLeftCell="D106" activePane="bottomRight" state="frozen"/>
      <selection pane="topRight" activeCell="C1" sqref="C1"/>
      <selection pane="bottomLeft" activeCell="A9" sqref="A9"/>
      <selection pane="bottomRight" activeCell="F129" sqref="F129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5" customWidth="1"/>
    <col min="4" max="4" width="9.85546875" style="4" customWidth="1"/>
    <col min="5" max="5" width="48.140625" style="25" customWidth="1"/>
    <col min="6" max="6" width="27.28515625" style="25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3.25" x14ac:dyDescent="0.35">
      <c r="B1" s="242" t="s">
        <v>454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</row>
    <row r="2" spans="2:13" ht="21" x14ac:dyDescent="0.35">
      <c r="B2" s="243" t="s">
        <v>476</v>
      </c>
      <c r="C2" s="243"/>
      <c r="D2" s="243"/>
      <c r="E2" s="243"/>
      <c r="F2" s="243"/>
      <c r="G2" s="243"/>
      <c r="H2" s="243"/>
      <c r="I2" s="243"/>
      <c r="J2" s="243"/>
      <c r="K2" s="243"/>
      <c r="L2" s="243"/>
    </row>
    <row r="3" spans="2:13" ht="18.75" x14ac:dyDescent="0.3">
      <c r="B3" s="244" t="s">
        <v>667</v>
      </c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27"/>
    </row>
    <row r="4" spans="2:13" ht="19.5" thickBot="1" x14ac:dyDescent="0.35">
      <c r="B4" s="244"/>
      <c r="C4" s="244"/>
      <c r="D4" s="17"/>
      <c r="E4" s="24"/>
      <c r="F4" s="24"/>
      <c r="G4" s="17"/>
    </row>
    <row r="5" spans="2:13" ht="25.5" customHeight="1" thickBot="1" x14ac:dyDescent="0.3">
      <c r="B5" s="32"/>
      <c r="C5" s="33"/>
      <c r="D5" s="32"/>
      <c r="E5" s="33"/>
      <c r="F5" s="33"/>
      <c r="G5" s="34"/>
      <c r="H5" s="245" t="s">
        <v>133</v>
      </c>
      <c r="I5" s="246"/>
      <c r="J5" s="35"/>
      <c r="K5" s="35"/>
      <c r="L5" s="35"/>
    </row>
    <row r="6" spans="2:13" s="18" customFormat="1" ht="30" customHeight="1" x14ac:dyDescent="0.25">
      <c r="B6" s="36" t="s">
        <v>0</v>
      </c>
      <c r="C6" s="36" t="s">
        <v>397</v>
      </c>
      <c r="D6" s="36" t="s">
        <v>471</v>
      </c>
      <c r="E6" s="36" t="s">
        <v>140</v>
      </c>
      <c r="F6" s="36" t="s">
        <v>127</v>
      </c>
      <c r="G6" s="36" t="s">
        <v>137</v>
      </c>
      <c r="H6" s="37" t="s">
        <v>1</v>
      </c>
      <c r="I6" s="37" t="s">
        <v>2</v>
      </c>
      <c r="J6" s="38" t="s">
        <v>128</v>
      </c>
      <c r="K6" s="38" t="s">
        <v>3</v>
      </c>
      <c r="L6" s="38" t="s">
        <v>129</v>
      </c>
    </row>
    <row r="7" spans="2:13" s="43" customFormat="1" ht="16.5" customHeight="1" x14ac:dyDescent="0.25">
      <c r="B7" s="53"/>
      <c r="C7" s="53"/>
      <c r="D7" s="53"/>
      <c r="E7" s="53"/>
      <c r="F7" s="53"/>
      <c r="M7" s="41"/>
    </row>
    <row r="8" spans="2:13" s="42" customFormat="1" ht="22.5" customHeight="1" thickBot="1" x14ac:dyDescent="0.3">
      <c r="B8" s="53"/>
      <c r="C8" s="53"/>
      <c r="D8" s="53"/>
      <c r="E8" s="53"/>
      <c r="F8" s="53"/>
      <c r="G8" s="43"/>
      <c r="H8" s="43"/>
      <c r="I8" s="43"/>
      <c r="J8" s="43"/>
      <c r="K8" s="43"/>
      <c r="L8" s="43"/>
    </row>
    <row r="9" spans="2:13" s="42" customFormat="1" ht="30" customHeight="1" thickBot="1" x14ac:dyDescent="0.3">
      <c r="B9" s="233" t="s">
        <v>195</v>
      </c>
      <c r="C9" s="234"/>
      <c r="D9" s="234"/>
      <c r="E9" s="234"/>
      <c r="F9" s="234"/>
      <c r="G9" s="234"/>
      <c r="H9" s="234"/>
      <c r="I9" s="234"/>
      <c r="J9" s="234"/>
      <c r="K9" s="234"/>
      <c r="L9" s="235"/>
    </row>
    <row r="10" spans="2:13" s="42" customFormat="1" ht="30" customHeight="1" x14ac:dyDescent="0.25">
      <c r="B10" s="39">
        <f>1</f>
        <v>1</v>
      </c>
      <c r="C10" s="121" t="s">
        <v>153</v>
      </c>
      <c r="D10" s="39" t="s">
        <v>470</v>
      </c>
      <c r="E10" s="122" t="s">
        <v>517</v>
      </c>
      <c r="F10" s="121" t="s">
        <v>134</v>
      </c>
      <c r="G10" s="123">
        <v>19500</v>
      </c>
      <c r="H10" s="123">
        <v>559.64999999999964</v>
      </c>
      <c r="I10" s="120">
        <v>0</v>
      </c>
      <c r="J10" s="123">
        <v>4735.09</v>
      </c>
      <c r="K10" s="120">
        <f>SUM(H10:J10)</f>
        <v>5294.74</v>
      </c>
      <c r="L10" s="124">
        <f>+G10-K10</f>
        <v>14205.26</v>
      </c>
      <c r="M10" s="228"/>
    </row>
    <row r="11" spans="2:13" s="42" customFormat="1" ht="30" customHeight="1" x14ac:dyDescent="0.25">
      <c r="B11" s="230" t="s">
        <v>138</v>
      </c>
      <c r="C11" s="231"/>
      <c r="D11" s="231"/>
      <c r="E11" s="231"/>
      <c r="F11" s="231"/>
      <c r="G11" s="40">
        <f>SUM(G10)</f>
        <v>19500</v>
      </c>
      <c r="H11" s="40">
        <f t="shared" ref="H11:J11" si="0">SUM(H10)</f>
        <v>559.64999999999964</v>
      </c>
      <c r="I11" s="40">
        <f t="shared" si="0"/>
        <v>0</v>
      </c>
      <c r="J11" s="40">
        <f t="shared" si="0"/>
        <v>4735.09</v>
      </c>
      <c r="K11" s="40">
        <f>SUM(K10)</f>
        <v>5294.74</v>
      </c>
      <c r="L11" s="40">
        <f>SUM(L10)</f>
        <v>14205.26</v>
      </c>
      <c r="M11" s="228"/>
    </row>
    <row r="12" spans="2:13" s="43" customFormat="1" ht="30" customHeight="1" thickBot="1" x14ac:dyDescent="0.3">
      <c r="B12" s="53"/>
      <c r="C12" s="53"/>
      <c r="D12" s="53"/>
      <c r="E12" s="53"/>
      <c r="F12" s="53"/>
      <c r="M12" s="41"/>
    </row>
    <row r="13" spans="2:13" s="77" customFormat="1" ht="30" customHeight="1" thickBot="1" x14ac:dyDescent="0.3">
      <c r="B13" s="233" t="s">
        <v>170</v>
      </c>
      <c r="C13" s="234"/>
      <c r="D13" s="234"/>
      <c r="E13" s="234"/>
      <c r="F13" s="234"/>
      <c r="G13" s="234"/>
      <c r="H13" s="234"/>
      <c r="I13" s="234"/>
      <c r="J13" s="234"/>
      <c r="K13" s="234"/>
      <c r="L13" s="235"/>
    </row>
    <row r="14" spans="2:13" s="42" customFormat="1" ht="46.5" customHeight="1" x14ac:dyDescent="0.25">
      <c r="B14" s="88">
        <f>+B10+1</f>
        <v>2</v>
      </c>
      <c r="C14" s="121" t="s">
        <v>274</v>
      </c>
      <c r="D14" s="39" t="s">
        <v>470</v>
      </c>
      <c r="E14" s="122" t="s">
        <v>552</v>
      </c>
      <c r="F14" s="121" t="s">
        <v>135</v>
      </c>
      <c r="G14" s="123">
        <v>31000</v>
      </c>
      <c r="H14" s="90">
        <f>G14*2.87%</f>
        <v>889.7</v>
      </c>
      <c r="I14" s="90">
        <f>+G14*3.04%</f>
        <v>942.4</v>
      </c>
      <c r="J14" s="90">
        <v>7291.9699999999993</v>
      </c>
      <c r="K14" s="120">
        <f>SUM(H14:J14)</f>
        <v>9124.07</v>
      </c>
      <c r="L14" s="124">
        <f>+G14-K14</f>
        <v>21875.93</v>
      </c>
      <c r="M14" s="228"/>
    </row>
    <row r="15" spans="2:13" s="42" customFormat="1" ht="27" customHeight="1" x14ac:dyDescent="0.25">
      <c r="B15" s="230" t="s">
        <v>138</v>
      </c>
      <c r="C15" s="231"/>
      <c r="D15" s="231"/>
      <c r="E15" s="231"/>
      <c r="F15" s="232"/>
      <c r="G15" s="40">
        <f>SUM(G14)</f>
        <v>31000</v>
      </c>
      <c r="H15" s="40">
        <f t="shared" ref="H15:L15" si="1">SUM(H14)</f>
        <v>889.7</v>
      </c>
      <c r="I15" s="40">
        <f t="shared" si="1"/>
        <v>942.4</v>
      </c>
      <c r="J15" s="40">
        <f t="shared" si="1"/>
        <v>7291.9699999999993</v>
      </c>
      <c r="K15" s="40">
        <f t="shared" si="1"/>
        <v>9124.07</v>
      </c>
      <c r="L15" s="40">
        <f t="shared" si="1"/>
        <v>21875.93</v>
      </c>
    </row>
    <row r="16" spans="2:13" s="42" customFormat="1" ht="27" customHeight="1" thickBot="1" x14ac:dyDescent="0.3">
      <c r="B16" s="53"/>
      <c r="C16" s="53"/>
      <c r="D16" s="53"/>
      <c r="E16" s="53"/>
      <c r="F16" s="53"/>
      <c r="G16" s="94"/>
      <c r="H16" s="94"/>
      <c r="I16" s="94"/>
      <c r="J16" s="94"/>
      <c r="K16" s="94"/>
      <c r="L16" s="94"/>
    </row>
    <row r="17" spans="2:13" s="77" customFormat="1" ht="30" customHeight="1" thickBot="1" x14ac:dyDescent="0.3">
      <c r="B17" s="233" t="s">
        <v>172</v>
      </c>
      <c r="C17" s="234"/>
      <c r="D17" s="234"/>
      <c r="E17" s="234"/>
      <c r="F17" s="234"/>
      <c r="G17" s="234"/>
      <c r="H17" s="234"/>
      <c r="I17" s="234"/>
      <c r="J17" s="234"/>
      <c r="K17" s="234"/>
      <c r="L17" s="235"/>
    </row>
    <row r="18" spans="2:13" s="42" customFormat="1" ht="46.5" customHeight="1" x14ac:dyDescent="0.25">
      <c r="B18" s="88">
        <f>+B14+1</f>
        <v>3</v>
      </c>
      <c r="C18" s="89" t="s">
        <v>277</v>
      </c>
      <c r="D18" s="39" t="s">
        <v>470</v>
      </c>
      <c r="E18" s="93" t="s">
        <v>606</v>
      </c>
      <c r="F18" s="121" t="s">
        <v>216</v>
      </c>
      <c r="G18" s="123">
        <v>25000</v>
      </c>
      <c r="H18" s="90">
        <f>G18*2.87%</f>
        <v>717.5</v>
      </c>
      <c r="I18" s="90">
        <f>+G18*3.04%</f>
        <v>760</v>
      </c>
      <c r="J18" s="90">
        <v>5880.62</v>
      </c>
      <c r="K18" s="120">
        <f>SUM(H18:J18)</f>
        <v>7358.12</v>
      </c>
      <c r="L18" s="124">
        <f>+G18-K18</f>
        <v>17641.88</v>
      </c>
      <c r="M18" s="228"/>
    </row>
    <row r="19" spans="2:13" s="42" customFormat="1" ht="27" customHeight="1" x14ac:dyDescent="0.25">
      <c r="B19" s="230" t="s">
        <v>138</v>
      </c>
      <c r="C19" s="231"/>
      <c r="D19" s="231"/>
      <c r="E19" s="231"/>
      <c r="F19" s="232"/>
      <c r="G19" s="40">
        <f>SUM(G18)</f>
        <v>25000</v>
      </c>
      <c r="H19" s="40">
        <f t="shared" ref="H19:L19" si="2">SUM(H18)</f>
        <v>717.5</v>
      </c>
      <c r="I19" s="40">
        <f t="shared" si="2"/>
        <v>760</v>
      </c>
      <c r="J19" s="40">
        <f t="shared" si="2"/>
        <v>5880.62</v>
      </c>
      <c r="K19" s="40">
        <f>SUM(K18)</f>
        <v>7358.12</v>
      </c>
      <c r="L19" s="40">
        <f t="shared" si="2"/>
        <v>17641.88</v>
      </c>
    </row>
    <row r="20" spans="2:13" s="42" customFormat="1" ht="27" customHeight="1" thickBot="1" x14ac:dyDescent="0.3">
      <c r="B20" s="53"/>
      <c r="C20" s="53"/>
      <c r="D20" s="53"/>
      <c r="E20" s="53"/>
      <c r="F20" s="53"/>
      <c r="G20" s="43"/>
      <c r="H20" s="43"/>
      <c r="I20" s="43"/>
      <c r="J20" s="43"/>
      <c r="K20" s="43"/>
      <c r="L20" s="43"/>
    </row>
    <row r="21" spans="2:13" s="42" customFormat="1" ht="21" customHeight="1" thickBot="1" x14ac:dyDescent="0.3">
      <c r="B21" s="233" t="s">
        <v>267</v>
      </c>
      <c r="C21" s="234"/>
      <c r="D21" s="234"/>
      <c r="E21" s="234"/>
      <c r="F21" s="234"/>
      <c r="G21" s="234"/>
      <c r="H21" s="234"/>
      <c r="I21" s="234"/>
      <c r="J21" s="234"/>
      <c r="K21" s="234"/>
      <c r="L21" s="235"/>
    </row>
    <row r="22" spans="2:13" s="94" customFormat="1" ht="30" customHeight="1" x14ac:dyDescent="0.25">
      <c r="B22" s="83">
        <f>+B18+1</f>
        <v>4</v>
      </c>
      <c r="C22" s="126" t="s">
        <v>63</v>
      </c>
      <c r="D22" s="136" t="s">
        <v>470</v>
      </c>
      <c r="E22" s="137" t="s">
        <v>197</v>
      </c>
      <c r="F22" s="121" t="s">
        <v>135</v>
      </c>
      <c r="G22" s="120">
        <v>63500</v>
      </c>
      <c r="H22" s="85">
        <v>1822.4499999999998</v>
      </c>
      <c r="I22" s="85">
        <v>1098.2000000000003</v>
      </c>
      <c r="J22" s="120">
        <v>15144.840000000004</v>
      </c>
      <c r="K22" s="85">
        <f>SUM(H22:J22)</f>
        <v>18065.490000000005</v>
      </c>
      <c r="L22" s="124">
        <f>+G22-K22</f>
        <v>45434.509999999995</v>
      </c>
      <c r="M22" s="43"/>
    </row>
    <row r="23" spans="2:13" s="42" customFormat="1" ht="28.5" customHeight="1" x14ac:dyDescent="0.25">
      <c r="B23" s="230" t="s">
        <v>138</v>
      </c>
      <c r="C23" s="231"/>
      <c r="D23" s="231"/>
      <c r="E23" s="231"/>
      <c r="F23" s="232"/>
      <c r="G23" s="40">
        <f t="shared" ref="G23:L23" si="3">SUM(G22:G22)</f>
        <v>63500</v>
      </c>
      <c r="H23" s="40">
        <f t="shared" si="3"/>
        <v>1822.4499999999998</v>
      </c>
      <c r="I23" s="40">
        <f t="shared" si="3"/>
        <v>1098.2000000000003</v>
      </c>
      <c r="J23" s="40">
        <f t="shared" si="3"/>
        <v>15144.840000000004</v>
      </c>
      <c r="K23" s="40">
        <f t="shared" si="3"/>
        <v>18065.490000000005</v>
      </c>
      <c r="L23" s="40">
        <f t="shared" si="3"/>
        <v>45434.509999999995</v>
      </c>
    </row>
    <row r="24" spans="2:13" s="42" customFormat="1" ht="28.5" customHeight="1" thickBot="1" x14ac:dyDescent="0.3">
      <c r="B24" s="53"/>
      <c r="C24" s="53"/>
      <c r="D24" s="53"/>
      <c r="E24" s="53"/>
      <c r="F24" s="53"/>
      <c r="G24" s="43"/>
      <c r="H24" s="43"/>
      <c r="I24" s="43"/>
      <c r="J24" s="43"/>
      <c r="K24" s="43"/>
      <c r="L24" s="43"/>
    </row>
    <row r="25" spans="2:13" s="42" customFormat="1" ht="28.5" customHeight="1" thickBot="1" x14ac:dyDescent="0.3">
      <c r="B25" s="233" t="s">
        <v>174</v>
      </c>
      <c r="C25" s="234"/>
      <c r="D25" s="234"/>
      <c r="E25" s="234"/>
      <c r="F25" s="234"/>
      <c r="G25" s="234"/>
      <c r="H25" s="234"/>
      <c r="I25" s="234"/>
      <c r="J25" s="234"/>
      <c r="K25" s="234"/>
      <c r="L25" s="235"/>
    </row>
    <row r="26" spans="2:13" s="42" customFormat="1" ht="28.5" customHeight="1" x14ac:dyDescent="0.25">
      <c r="B26" s="83">
        <f>+B22+1</f>
        <v>5</v>
      </c>
      <c r="C26" s="126" t="s">
        <v>54</v>
      </c>
      <c r="D26" s="136" t="s">
        <v>470</v>
      </c>
      <c r="E26" s="137" t="s">
        <v>512</v>
      </c>
      <c r="F26" s="121" t="s">
        <v>135</v>
      </c>
      <c r="G26" s="85">
        <v>33000</v>
      </c>
      <c r="H26" s="85">
        <v>947.09999999999991</v>
      </c>
      <c r="I26" s="85">
        <v>1003.1999999999998</v>
      </c>
      <c r="J26" s="120">
        <v>7762.4199999999983</v>
      </c>
      <c r="K26" s="85">
        <f>SUM(H26:J26)</f>
        <v>9712.7199999999975</v>
      </c>
      <c r="L26" s="124">
        <f>+G26-K26</f>
        <v>23287.280000000002</v>
      </c>
    </row>
    <row r="27" spans="2:13" s="42" customFormat="1" ht="28.5" customHeight="1" x14ac:dyDescent="0.25">
      <c r="B27" s="230" t="s">
        <v>138</v>
      </c>
      <c r="C27" s="231"/>
      <c r="D27" s="231"/>
      <c r="E27" s="231"/>
      <c r="F27" s="232"/>
      <c r="G27" s="40">
        <f t="shared" ref="G27:L27" si="4">SUM(G26:G26)</f>
        <v>33000</v>
      </c>
      <c r="H27" s="40">
        <f t="shared" si="4"/>
        <v>947.09999999999991</v>
      </c>
      <c r="I27" s="40">
        <f t="shared" si="4"/>
        <v>1003.1999999999998</v>
      </c>
      <c r="J27" s="40">
        <f t="shared" si="4"/>
        <v>7762.4199999999983</v>
      </c>
      <c r="K27" s="40">
        <f t="shared" si="4"/>
        <v>9712.7199999999975</v>
      </c>
      <c r="L27" s="40">
        <f t="shared" si="4"/>
        <v>23287.280000000002</v>
      </c>
    </row>
    <row r="28" spans="2:13" s="43" customFormat="1" ht="25.5" customHeight="1" thickBot="1" x14ac:dyDescent="0.3">
      <c r="B28" s="47"/>
      <c r="C28" s="45"/>
      <c r="D28" s="47"/>
      <c r="E28" s="46"/>
      <c r="F28" s="45"/>
      <c r="G28" s="42"/>
      <c r="H28" s="42"/>
      <c r="I28" s="42"/>
      <c r="J28" s="42"/>
      <c r="K28" s="42"/>
      <c r="L28" s="41"/>
    </row>
    <row r="29" spans="2:13" s="42" customFormat="1" ht="22.5" customHeight="1" thickBot="1" x14ac:dyDescent="0.3">
      <c r="B29" s="236" t="s">
        <v>201</v>
      </c>
      <c r="C29" s="237"/>
      <c r="D29" s="237"/>
      <c r="E29" s="237"/>
      <c r="F29" s="237"/>
      <c r="G29" s="237"/>
      <c r="H29" s="237"/>
      <c r="I29" s="237"/>
      <c r="J29" s="237"/>
      <c r="K29" s="237"/>
      <c r="L29" s="238"/>
    </row>
    <row r="30" spans="2:13" s="95" customFormat="1" ht="33.75" customHeight="1" x14ac:dyDescent="0.25">
      <c r="B30" s="83">
        <f>+B26+1</f>
        <v>6</v>
      </c>
      <c r="C30" s="126" t="s">
        <v>271</v>
      </c>
      <c r="D30" s="136" t="s">
        <v>470</v>
      </c>
      <c r="E30" s="122" t="s">
        <v>272</v>
      </c>
      <c r="F30" s="121" t="s">
        <v>135</v>
      </c>
      <c r="G30" s="120">
        <v>28500</v>
      </c>
      <c r="H30" s="120">
        <v>817.94999999999982</v>
      </c>
      <c r="I30" s="92">
        <v>866.40000000000009</v>
      </c>
      <c r="J30" s="85">
        <v>6703.91</v>
      </c>
      <c r="K30" s="85">
        <f>SUM(H30:J30)</f>
        <v>8388.26</v>
      </c>
      <c r="L30" s="86">
        <f>+G30-K30</f>
        <v>20111.739999999998</v>
      </c>
      <c r="M30" s="50"/>
    </row>
    <row r="31" spans="2:13" s="42" customFormat="1" ht="25.5" customHeight="1" x14ac:dyDescent="0.25">
      <c r="B31" s="230" t="s">
        <v>138</v>
      </c>
      <c r="C31" s="231"/>
      <c r="D31" s="231"/>
      <c r="E31" s="231"/>
      <c r="F31" s="232"/>
      <c r="G31" s="40">
        <f t="shared" ref="G31:L31" si="5">SUM(G30:G30)</f>
        <v>28500</v>
      </c>
      <c r="H31" s="40">
        <f t="shared" si="5"/>
        <v>817.94999999999982</v>
      </c>
      <c r="I31" s="40">
        <f t="shared" si="5"/>
        <v>866.40000000000009</v>
      </c>
      <c r="J31" s="40">
        <f t="shared" si="5"/>
        <v>6703.91</v>
      </c>
      <c r="K31" s="40">
        <f t="shared" si="5"/>
        <v>8388.26</v>
      </c>
      <c r="L31" s="40">
        <f t="shared" si="5"/>
        <v>20111.739999999998</v>
      </c>
    </row>
    <row r="32" spans="2:13" s="42" customFormat="1" ht="25.5" customHeight="1" thickBot="1" x14ac:dyDescent="0.3">
      <c r="B32" s="53"/>
      <c r="C32" s="53"/>
      <c r="D32" s="53"/>
      <c r="E32" s="53"/>
      <c r="F32" s="53"/>
      <c r="G32" s="43"/>
      <c r="H32" s="43"/>
      <c r="I32" s="43"/>
      <c r="J32" s="43"/>
      <c r="K32" s="43"/>
      <c r="L32" s="43"/>
    </row>
    <row r="33" spans="2:13" s="42" customFormat="1" ht="30" customHeight="1" thickBot="1" x14ac:dyDescent="0.3">
      <c r="B33" s="236" t="s">
        <v>175</v>
      </c>
      <c r="C33" s="237"/>
      <c r="D33" s="237"/>
      <c r="E33" s="237"/>
      <c r="F33" s="237"/>
      <c r="G33" s="237"/>
      <c r="H33" s="237"/>
      <c r="I33" s="237"/>
      <c r="J33" s="237"/>
      <c r="K33" s="237"/>
      <c r="L33" s="238"/>
    </row>
    <row r="34" spans="2:13" s="56" customFormat="1" ht="30" customHeight="1" x14ac:dyDescent="0.25">
      <c r="B34" s="83">
        <f>+B30+1</f>
        <v>7</v>
      </c>
      <c r="C34" s="126" t="s">
        <v>69</v>
      </c>
      <c r="D34" s="136" t="s">
        <v>470</v>
      </c>
      <c r="E34" s="122" t="s">
        <v>202</v>
      </c>
      <c r="F34" s="121" t="s">
        <v>135</v>
      </c>
      <c r="G34" s="120">
        <v>52000</v>
      </c>
      <c r="H34" s="85">
        <v>1492.4</v>
      </c>
      <c r="I34" s="85">
        <v>748.6</v>
      </c>
      <c r="J34" s="120">
        <v>12439.750000000004</v>
      </c>
      <c r="K34" s="120">
        <f>SUM(H34:J34)</f>
        <v>14680.750000000004</v>
      </c>
      <c r="L34" s="124">
        <f>+G34-K34</f>
        <v>37319.25</v>
      </c>
      <c r="M34" s="42"/>
    </row>
    <row r="35" spans="2:13" s="42" customFormat="1" ht="30" customHeight="1" x14ac:dyDescent="0.25">
      <c r="B35" s="230" t="s">
        <v>138</v>
      </c>
      <c r="C35" s="231"/>
      <c r="D35" s="231"/>
      <c r="E35" s="231"/>
      <c r="F35" s="232"/>
      <c r="G35" s="40">
        <f t="shared" ref="G35:L35" si="6">SUM(G34:G34)</f>
        <v>52000</v>
      </c>
      <c r="H35" s="40">
        <f t="shared" si="6"/>
        <v>1492.4</v>
      </c>
      <c r="I35" s="40">
        <f t="shared" si="6"/>
        <v>748.6</v>
      </c>
      <c r="J35" s="40">
        <f t="shared" si="6"/>
        <v>12439.750000000004</v>
      </c>
      <c r="K35" s="40">
        <f t="shared" si="6"/>
        <v>14680.750000000004</v>
      </c>
      <c r="L35" s="40">
        <f t="shared" si="6"/>
        <v>37319.25</v>
      </c>
    </row>
    <row r="36" spans="2:13" s="42" customFormat="1" ht="25.5" customHeight="1" thickBot="1" x14ac:dyDescent="0.3">
      <c r="B36" s="47"/>
      <c r="C36" s="45"/>
      <c r="D36" s="47"/>
      <c r="E36" s="46"/>
      <c r="F36" s="45"/>
      <c r="L36" s="41"/>
    </row>
    <row r="37" spans="2:13" ht="30" customHeight="1" thickBot="1" x14ac:dyDescent="0.3">
      <c r="B37" s="236" t="s">
        <v>176</v>
      </c>
      <c r="C37" s="237"/>
      <c r="D37" s="237"/>
      <c r="E37" s="237"/>
      <c r="F37" s="237"/>
      <c r="G37" s="237"/>
      <c r="H37" s="237"/>
      <c r="I37" s="237"/>
      <c r="J37" s="237"/>
      <c r="K37" s="237"/>
      <c r="L37" s="238"/>
    </row>
    <row r="38" spans="2:13" ht="46.5" customHeight="1" x14ac:dyDescent="0.25">
      <c r="B38" s="88">
        <f>+B34+1</f>
        <v>8</v>
      </c>
      <c r="C38" s="197" t="s">
        <v>622</v>
      </c>
      <c r="D38" s="198" t="s">
        <v>470</v>
      </c>
      <c r="E38" s="122" t="s">
        <v>623</v>
      </c>
      <c r="F38" s="197" t="s">
        <v>134</v>
      </c>
      <c r="G38" s="199">
        <v>45000</v>
      </c>
      <c r="H38" s="171">
        <v>1291.5</v>
      </c>
      <c r="I38" s="171">
        <v>1368</v>
      </c>
      <c r="J38" s="171">
        <v>10585.12</v>
      </c>
      <c r="K38" s="172">
        <f>SUM(H38:J38)</f>
        <v>13244.62</v>
      </c>
      <c r="L38" s="173">
        <f>+G38-K38</f>
        <v>31755.379999999997</v>
      </c>
    </row>
    <row r="39" spans="2:13" ht="30" customHeight="1" x14ac:dyDescent="0.25">
      <c r="B39" s="230" t="s">
        <v>138</v>
      </c>
      <c r="C39" s="231"/>
      <c r="D39" s="231"/>
      <c r="E39" s="231"/>
      <c r="F39" s="232"/>
      <c r="G39" s="40">
        <f t="shared" ref="G39:L39" si="7">SUM(G38:G38)</f>
        <v>45000</v>
      </c>
      <c r="H39" s="40">
        <f t="shared" si="7"/>
        <v>1291.5</v>
      </c>
      <c r="I39" s="40">
        <f t="shared" si="7"/>
        <v>1368</v>
      </c>
      <c r="J39" s="40">
        <f t="shared" si="7"/>
        <v>10585.12</v>
      </c>
      <c r="K39" s="40">
        <f>SUM(K38:K38)</f>
        <v>13244.62</v>
      </c>
      <c r="L39" s="40">
        <f t="shared" si="7"/>
        <v>31755.379999999997</v>
      </c>
    </row>
    <row r="40" spans="2:13" s="42" customFormat="1" ht="32.25" customHeight="1" thickBot="1" x14ac:dyDescent="0.3">
      <c r="B40" s="47"/>
      <c r="C40" s="45"/>
      <c r="D40" s="47"/>
      <c r="E40" s="46"/>
      <c r="F40" s="45"/>
      <c r="L40" s="41"/>
    </row>
    <row r="41" spans="2:13" s="42" customFormat="1" ht="32.25" customHeight="1" thickBot="1" x14ac:dyDescent="0.3">
      <c r="B41" s="236" t="s">
        <v>179</v>
      </c>
      <c r="C41" s="237"/>
      <c r="D41" s="237"/>
      <c r="E41" s="237"/>
      <c r="F41" s="237"/>
      <c r="G41" s="237"/>
      <c r="H41" s="237"/>
      <c r="I41" s="237"/>
      <c r="J41" s="237"/>
      <c r="K41" s="237"/>
      <c r="L41" s="238"/>
    </row>
    <row r="42" spans="2:13" s="95" customFormat="1" ht="30" customHeight="1" x14ac:dyDescent="0.25">
      <c r="B42" s="136">
        <f>+B38+1</f>
        <v>9</v>
      </c>
      <c r="C42" s="126" t="s">
        <v>645</v>
      </c>
      <c r="D42" s="136" t="s">
        <v>470</v>
      </c>
      <c r="E42" s="137" t="s">
        <v>203</v>
      </c>
      <c r="F42" s="121" t="s">
        <v>135</v>
      </c>
      <c r="G42" s="120">
        <v>50000</v>
      </c>
      <c r="H42" s="90">
        <v>1435</v>
      </c>
      <c r="I42" s="90">
        <v>1520</v>
      </c>
      <c r="J42" s="90">
        <v>11761.25</v>
      </c>
      <c r="K42" s="85">
        <f>SUM(H42:J42)</f>
        <v>14716.25</v>
      </c>
      <c r="L42" s="86">
        <f>+G42-K42</f>
        <v>35283.75</v>
      </c>
      <c r="M42" s="50"/>
    </row>
    <row r="43" spans="2:13" s="42" customFormat="1" ht="30" customHeight="1" x14ac:dyDescent="0.25">
      <c r="B43" s="230" t="s">
        <v>138</v>
      </c>
      <c r="C43" s="231"/>
      <c r="D43" s="231"/>
      <c r="E43" s="231"/>
      <c r="F43" s="232"/>
      <c r="G43" s="40">
        <f t="shared" ref="G43:L43" si="8">SUM(G42:G42)</f>
        <v>50000</v>
      </c>
      <c r="H43" s="40">
        <f t="shared" si="8"/>
        <v>1435</v>
      </c>
      <c r="I43" s="40">
        <f t="shared" si="8"/>
        <v>1520</v>
      </c>
      <c r="J43" s="40">
        <f t="shared" si="8"/>
        <v>11761.25</v>
      </c>
      <c r="K43" s="40">
        <f t="shared" si="8"/>
        <v>14716.25</v>
      </c>
      <c r="L43" s="40">
        <f t="shared" si="8"/>
        <v>35283.75</v>
      </c>
    </row>
    <row r="44" spans="2:13" ht="26.25" customHeight="1" thickBot="1" x14ac:dyDescent="0.25"/>
    <row r="45" spans="2:13" s="42" customFormat="1" ht="28.5" customHeight="1" thickBot="1" x14ac:dyDescent="0.3">
      <c r="B45" s="236" t="s">
        <v>181</v>
      </c>
      <c r="C45" s="237"/>
      <c r="D45" s="237"/>
      <c r="E45" s="237"/>
      <c r="F45" s="237"/>
      <c r="G45" s="237"/>
      <c r="H45" s="237"/>
      <c r="I45" s="237"/>
      <c r="J45" s="237"/>
      <c r="K45" s="237"/>
      <c r="L45" s="238"/>
    </row>
    <row r="46" spans="2:13" s="56" customFormat="1" ht="30" customHeight="1" x14ac:dyDescent="0.25">
      <c r="B46" s="136">
        <f>+B42+1</f>
        <v>10</v>
      </c>
      <c r="C46" s="126" t="s">
        <v>72</v>
      </c>
      <c r="D46" s="136" t="s">
        <v>470</v>
      </c>
      <c r="E46" s="200" t="s">
        <v>204</v>
      </c>
      <c r="F46" s="121" t="s">
        <v>135</v>
      </c>
      <c r="G46" s="120">
        <v>34750</v>
      </c>
      <c r="H46" s="85">
        <v>997.32499999999982</v>
      </c>
      <c r="I46" s="85">
        <v>224.19999999999982</v>
      </c>
      <c r="J46" s="85">
        <v>8382.17</v>
      </c>
      <c r="K46" s="85">
        <f>SUM(H46:J46)</f>
        <v>9603.6949999999997</v>
      </c>
      <c r="L46" s="86">
        <f>+G46-K46</f>
        <v>25146.305</v>
      </c>
      <c r="M46" s="42"/>
    </row>
    <row r="47" spans="2:13" s="42" customFormat="1" ht="30" customHeight="1" x14ac:dyDescent="0.25">
      <c r="B47" s="230" t="s">
        <v>138</v>
      </c>
      <c r="C47" s="231"/>
      <c r="D47" s="231"/>
      <c r="E47" s="231"/>
      <c r="F47" s="232"/>
      <c r="G47" s="40">
        <f t="shared" ref="G47:L47" si="9">SUM(G46:G46)</f>
        <v>34750</v>
      </c>
      <c r="H47" s="40">
        <f t="shared" si="9"/>
        <v>997.32499999999982</v>
      </c>
      <c r="I47" s="40">
        <f t="shared" si="9"/>
        <v>224.19999999999982</v>
      </c>
      <c r="J47" s="40">
        <f t="shared" si="9"/>
        <v>8382.17</v>
      </c>
      <c r="K47" s="40">
        <f t="shared" si="9"/>
        <v>9603.6949999999997</v>
      </c>
      <c r="L47" s="40">
        <f t="shared" si="9"/>
        <v>25146.305</v>
      </c>
    </row>
    <row r="48" spans="2:13" customFormat="1" ht="33.75" customHeight="1" thickBot="1" x14ac:dyDescent="0.25">
      <c r="D48" s="152"/>
      <c r="M48" s="228"/>
    </row>
    <row r="49" spans="2:13" customFormat="1" ht="33.75" customHeight="1" thickBot="1" x14ac:dyDescent="0.3">
      <c r="B49" s="236" t="s">
        <v>185</v>
      </c>
      <c r="C49" s="237"/>
      <c r="D49" s="237"/>
      <c r="E49" s="237"/>
      <c r="F49" s="237"/>
      <c r="G49" s="237"/>
      <c r="H49" s="237"/>
      <c r="I49" s="237"/>
      <c r="J49" s="237"/>
      <c r="K49" s="237"/>
      <c r="L49" s="238"/>
      <c r="M49" s="228"/>
    </row>
    <row r="50" spans="2:13" customFormat="1" ht="33.75" customHeight="1" x14ac:dyDescent="0.25">
      <c r="B50" s="39">
        <f>+B46+1</f>
        <v>11</v>
      </c>
      <c r="C50" s="121" t="s">
        <v>538</v>
      </c>
      <c r="D50" s="39" t="s">
        <v>469</v>
      </c>
      <c r="E50" s="122" t="s">
        <v>539</v>
      </c>
      <c r="F50" s="121" t="s">
        <v>216</v>
      </c>
      <c r="G50" s="123">
        <v>55000</v>
      </c>
      <c r="H50" s="90">
        <v>1578.5</v>
      </c>
      <c r="I50" s="90">
        <v>1672</v>
      </c>
      <c r="J50" s="90">
        <v>12937.37</v>
      </c>
      <c r="K50" s="85">
        <f>SUM(H50:J50)</f>
        <v>16187.87</v>
      </c>
      <c r="L50" s="86">
        <f>+G50-K50</f>
        <v>38812.129999999997</v>
      </c>
      <c r="M50" s="228"/>
    </row>
    <row r="51" spans="2:13" customFormat="1" ht="33.75" customHeight="1" x14ac:dyDescent="0.25">
      <c r="B51" s="230" t="s">
        <v>138</v>
      </c>
      <c r="C51" s="231"/>
      <c r="D51" s="231"/>
      <c r="E51" s="231"/>
      <c r="F51" s="232"/>
      <c r="G51" s="40">
        <f t="shared" ref="G51:L51" si="10">SUM(G50:G50)</f>
        <v>55000</v>
      </c>
      <c r="H51" s="40">
        <f t="shared" si="10"/>
        <v>1578.5</v>
      </c>
      <c r="I51" s="40">
        <f t="shared" si="10"/>
        <v>1672</v>
      </c>
      <c r="J51" s="40">
        <f t="shared" si="10"/>
        <v>12937.37</v>
      </c>
      <c r="K51" s="40">
        <f t="shared" si="10"/>
        <v>16187.87</v>
      </c>
      <c r="L51" s="40">
        <f t="shared" si="10"/>
        <v>38812.129999999997</v>
      </c>
      <c r="M51" s="228"/>
    </row>
    <row r="52" spans="2:13" customFormat="1" ht="33.75" customHeight="1" thickBot="1" x14ac:dyDescent="0.25">
      <c r="D52" s="152"/>
      <c r="M52" s="228"/>
    </row>
    <row r="53" spans="2:13" s="42" customFormat="1" ht="30" customHeight="1" thickBot="1" x14ac:dyDescent="0.3">
      <c r="B53" s="236" t="s">
        <v>186</v>
      </c>
      <c r="C53" s="237"/>
      <c r="D53" s="237"/>
      <c r="E53" s="237"/>
      <c r="F53" s="237"/>
      <c r="G53" s="237"/>
      <c r="H53" s="237"/>
      <c r="I53" s="237"/>
      <c r="J53" s="237"/>
      <c r="K53" s="237"/>
      <c r="L53" s="238"/>
    </row>
    <row r="54" spans="2:13" s="56" customFormat="1" ht="30" customHeight="1" x14ac:dyDescent="0.25">
      <c r="B54" s="39">
        <f>+B50+1</f>
        <v>12</v>
      </c>
      <c r="C54" s="121" t="s">
        <v>214</v>
      </c>
      <c r="D54" s="39" t="s">
        <v>469</v>
      </c>
      <c r="E54" s="122" t="s">
        <v>289</v>
      </c>
      <c r="F54" s="121" t="s">
        <v>135</v>
      </c>
      <c r="G54" s="123">
        <v>55000</v>
      </c>
      <c r="H54" s="90">
        <v>1578.5</v>
      </c>
      <c r="I54" s="90">
        <v>1672</v>
      </c>
      <c r="J54" s="90">
        <v>12937.370000000003</v>
      </c>
      <c r="K54" s="85">
        <f>SUM(H54:J54)</f>
        <v>16187.870000000003</v>
      </c>
      <c r="L54" s="86">
        <f>+G54-K54</f>
        <v>38812.129999999997</v>
      </c>
      <c r="M54" s="42"/>
    </row>
    <row r="55" spans="2:13" s="50" customFormat="1" ht="30" customHeight="1" x14ac:dyDescent="0.25">
      <c r="B55" s="230" t="s">
        <v>138</v>
      </c>
      <c r="C55" s="231"/>
      <c r="D55" s="231"/>
      <c r="E55" s="231"/>
      <c r="F55" s="232"/>
      <c r="G55" s="40">
        <f t="shared" ref="G55:L55" si="11">SUM(G54:G54)</f>
        <v>55000</v>
      </c>
      <c r="H55" s="40">
        <f t="shared" si="11"/>
        <v>1578.5</v>
      </c>
      <c r="I55" s="40">
        <f t="shared" si="11"/>
        <v>1672</v>
      </c>
      <c r="J55" s="40">
        <f t="shared" si="11"/>
        <v>12937.370000000003</v>
      </c>
      <c r="K55" s="40">
        <f t="shared" si="11"/>
        <v>16187.870000000003</v>
      </c>
      <c r="L55" s="40">
        <f t="shared" si="11"/>
        <v>38812.129999999997</v>
      </c>
    </row>
    <row r="56" spans="2:13" s="42" customFormat="1" ht="31.5" customHeight="1" thickBot="1" x14ac:dyDescent="0.3">
      <c r="B56" s="4"/>
      <c r="C56" s="25"/>
      <c r="D56" s="4"/>
      <c r="E56" s="25"/>
      <c r="F56" s="25"/>
      <c r="G56" s="2"/>
      <c r="H56" s="1"/>
      <c r="I56" s="1"/>
      <c r="J56" s="1"/>
      <c r="K56" s="1"/>
      <c r="L56" s="1"/>
    </row>
    <row r="57" spans="2:13" s="42" customFormat="1" ht="31.5" customHeight="1" thickBot="1" x14ac:dyDescent="0.3">
      <c r="B57" s="236" t="s">
        <v>624</v>
      </c>
      <c r="C57" s="237"/>
      <c r="D57" s="237"/>
      <c r="E57" s="237"/>
      <c r="F57" s="237"/>
      <c r="G57" s="237"/>
      <c r="H57" s="237"/>
      <c r="I57" s="237"/>
      <c r="J57" s="237"/>
      <c r="K57" s="237"/>
      <c r="L57" s="238"/>
    </row>
    <row r="58" spans="2:13" s="42" customFormat="1" ht="31.5" customHeight="1" x14ac:dyDescent="0.25">
      <c r="B58" s="39">
        <f>+B54+1</f>
        <v>13</v>
      </c>
      <c r="C58" s="121" t="s">
        <v>114</v>
      </c>
      <c r="D58" s="39" t="s">
        <v>470</v>
      </c>
      <c r="E58" s="122" t="s">
        <v>625</v>
      </c>
      <c r="F58" s="89" t="s">
        <v>216</v>
      </c>
      <c r="G58" s="123">
        <v>45000</v>
      </c>
      <c r="H58" s="90">
        <v>1291.5</v>
      </c>
      <c r="I58" s="90">
        <v>1368</v>
      </c>
      <c r="J58" s="90">
        <v>10585.12</v>
      </c>
      <c r="K58" s="85">
        <f>SUM(H58:J58)</f>
        <v>13244.62</v>
      </c>
      <c r="L58" s="86">
        <f>+G58-K58</f>
        <v>31755.379999999997</v>
      </c>
    </row>
    <row r="59" spans="2:13" s="42" customFormat="1" ht="31.5" customHeight="1" x14ac:dyDescent="0.25">
      <c r="B59" s="230" t="s">
        <v>138</v>
      </c>
      <c r="C59" s="231"/>
      <c r="D59" s="231"/>
      <c r="E59" s="231"/>
      <c r="F59" s="232"/>
      <c r="G59" s="40">
        <f t="shared" ref="G59:L59" si="12">SUM(G58:G58)</f>
        <v>45000</v>
      </c>
      <c r="H59" s="40">
        <f t="shared" si="12"/>
        <v>1291.5</v>
      </c>
      <c r="I59" s="40">
        <f t="shared" si="12"/>
        <v>1368</v>
      </c>
      <c r="J59" s="40">
        <f t="shared" si="12"/>
        <v>10585.12</v>
      </c>
      <c r="K59" s="40">
        <f t="shared" si="12"/>
        <v>13244.62</v>
      </c>
      <c r="L59" s="40">
        <f t="shared" si="12"/>
        <v>31755.379999999997</v>
      </c>
    </row>
    <row r="60" spans="2:13" s="42" customFormat="1" ht="31.5" customHeight="1" thickBot="1" x14ac:dyDescent="0.3">
      <c r="B60" s="4"/>
      <c r="C60" s="25"/>
      <c r="D60" s="4"/>
      <c r="E60" s="25"/>
      <c r="F60" s="25"/>
      <c r="G60" s="2"/>
      <c r="H60" s="1"/>
      <c r="I60" s="1"/>
      <c r="J60" s="1"/>
      <c r="K60" s="1"/>
      <c r="L60" s="1"/>
    </row>
    <row r="61" spans="2:13" s="56" customFormat="1" ht="28.5" customHeight="1" thickBot="1" x14ac:dyDescent="0.3">
      <c r="B61" s="236" t="s">
        <v>189</v>
      </c>
      <c r="C61" s="237"/>
      <c r="D61" s="237"/>
      <c r="E61" s="237"/>
      <c r="F61" s="237"/>
      <c r="G61" s="237"/>
      <c r="H61" s="237"/>
      <c r="I61" s="237"/>
      <c r="J61" s="237"/>
      <c r="K61" s="237"/>
      <c r="L61" s="238"/>
      <c r="M61" s="42"/>
    </row>
    <row r="62" spans="2:13" s="56" customFormat="1" ht="30" customHeight="1" x14ac:dyDescent="0.25">
      <c r="B62" s="83">
        <f>B58+1</f>
        <v>14</v>
      </c>
      <c r="C62" s="126" t="s">
        <v>297</v>
      </c>
      <c r="D62" s="136" t="s">
        <v>469</v>
      </c>
      <c r="E62" s="137" t="s">
        <v>298</v>
      </c>
      <c r="F62" s="121" t="s">
        <v>135</v>
      </c>
      <c r="G62" s="120">
        <v>28500</v>
      </c>
      <c r="H62" s="90">
        <v>817.94999999999982</v>
      </c>
      <c r="I62" s="90">
        <v>866.40000000000009</v>
      </c>
      <c r="J62" s="90">
        <v>6703.91</v>
      </c>
      <c r="K62" s="85">
        <f>SUM(H62:J62)</f>
        <v>8388.26</v>
      </c>
      <c r="L62" s="86">
        <f>+G62-K62</f>
        <v>20111.739999999998</v>
      </c>
      <c r="M62" s="42"/>
    </row>
    <row r="63" spans="2:13" ht="29.25" customHeight="1" x14ac:dyDescent="0.25">
      <c r="B63" s="230" t="s">
        <v>138</v>
      </c>
      <c r="C63" s="231"/>
      <c r="D63" s="231"/>
      <c r="E63" s="231"/>
      <c r="F63" s="232"/>
      <c r="G63" s="40">
        <f t="shared" ref="G63:L63" si="13">SUM(G62:G62)</f>
        <v>28500</v>
      </c>
      <c r="H63" s="40">
        <f t="shared" si="13"/>
        <v>817.94999999999982</v>
      </c>
      <c r="I63" s="40">
        <f t="shared" si="13"/>
        <v>866.40000000000009</v>
      </c>
      <c r="J63" s="40">
        <f t="shared" si="13"/>
        <v>6703.91</v>
      </c>
      <c r="K63" s="40">
        <f t="shared" si="13"/>
        <v>8388.26</v>
      </c>
      <c r="L63" s="40">
        <f t="shared" si="13"/>
        <v>20111.739999999998</v>
      </c>
    </row>
    <row r="64" spans="2:13" ht="29.25" customHeight="1" thickBot="1" x14ac:dyDescent="0.3">
      <c r="B64" s="53"/>
      <c r="C64" s="53"/>
      <c r="D64" s="53"/>
      <c r="E64" s="53"/>
      <c r="F64" s="53"/>
      <c r="G64" s="43"/>
      <c r="H64" s="43"/>
      <c r="I64" s="43"/>
      <c r="J64" s="43"/>
      <c r="K64" s="43"/>
      <c r="L64" s="43"/>
    </row>
    <row r="65" spans="2:13" s="56" customFormat="1" ht="30" customHeight="1" thickBot="1" x14ac:dyDescent="0.3">
      <c r="B65" s="233" t="s">
        <v>190</v>
      </c>
      <c r="C65" s="234"/>
      <c r="D65" s="234"/>
      <c r="E65" s="234"/>
      <c r="F65" s="234"/>
      <c r="G65" s="234"/>
      <c r="H65" s="234"/>
      <c r="I65" s="234"/>
      <c r="J65" s="234"/>
      <c r="K65" s="234"/>
      <c r="L65" s="235"/>
      <c r="M65" s="42"/>
    </row>
    <row r="66" spans="2:13" s="50" customFormat="1" ht="37.5" customHeight="1" x14ac:dyDescent="0.25">
      <c r="B66" s="88">
        <f>+B62+1</f>
        <v>15</v>
      </c>
      <c r="C66" s="121" t="s">
        <v>79</v>
      </c>
      <c r="D66" s="39" t="s">
        <v>470</v>
      </c>
      <c r="E66" s="122" t="s">
        <v>220</v>
      </c>
      <c r="F66" s="121" t="s">
        <v>135</v>
      </c>
      <c r="G66" s="123">
        <v>41500</v>
      </c>
      <c r="H66" s="90">
        <v>1191.0500000000002</v>
      </c>
      <c r="I66" s="90">
        <v>429.40000000000055</v>
      </c>
      <c r="J66" s="90">
        <v>9969.89</v>
      </c>
      <c r="K66" s="85">
        <f>SUM(H66:J66)</f>
        <v>11590.34</v>
      </c>
      <c r="L66" s="92">
        <f>+G66-K66</f>
        <v>29909.66</v>
      </c>
    </row>
    <row r="67" spans="2:13" customFormat="1" ht="27" customHeight="1" x14ac:dyDescent="0.25">
      <c r="B67" s="230" t="s">
        <v>138</v>
      </c>
      <c r="C67" s="231"/>
      <c r="D67" s="231"/>
      <c r="E67" s="231"/>
      <c r="F67" s="232"/>
      <c r="G67" s="40">
        <f>SUM(G66)</f>
        <v>41500</v>
      </c>
      <c r="H67" s="40">
        <f t="shared" ref="H67:L67" si="14">SUM(H65:H66)</f>
        <v>1191.0500000000002</v>
      </c>
      <c r="I67" s="40">
        <f t="shared" si="14"/>
        <v>429.40000000000055</v>
      </c>
      <c r="J67" s="40">
        <f t="shared" si="14"/>
        <v>9969.89</v>
      </c>
      <c r="K67" s="40">
        <f t="shared" si="14"/>
        <v>11590.34</v>
      </c>
      <c r="L67" s="40">
        <f t="shared" si="14"/>
        <v>29909.66</v>
      </c>
      <c r="M67" s="228"/>
    </row>
    <row r="68" spans="2:13" customFormat="1" ht="27" customHeight="1" thickBot="1" x14ac:dyDescent="0.3">
      <c r="B68" s="53"/>
      <c r="C68" s="53"/>
      <c r="D68" s="53"/>
      <c r="E68" s="53"/>
      <c r="F68" s="53"/>
      <c r="G68" s="94"/>
      <c r="H68" s="94"/>
      <c r="I68" s="94"/>
      <c r="J68" s="94"/>
      <c r="K68" s="94"/>
      <c r="L68" s="94"/>
      <c r="M68" s="228"/>
    </row>
    <row r="69" spans="2:13" customFormat="1" ht="27" customHeight="1" thickBot="1" x14ac:dyDescent="0.3">
      <c r="B69" s="233" t="s">
        <v>174</v>
      </c>
      <c r="C69" s="234"/>
      <c r="D69" s="234"/>
      <c r="E69" s="234"/>
      <c r="F69" s="234"/>
      <c r="G69" s="234"/>
      <c r="H69" s="234"/>
      <c r="I69" s="234"/>
      <c r="J69" s="234"/>
      <c r="K69" s="234"/>
      <c r="L69" s="235"/>
      <c r="M69" s="228"/>
    </row>
    <row r="70" spans="2:13" customFormat="1" ht="75" customHeight="1" x14ac:dyDescent="0.25">
      <c r="B70" s="83">
        <f>+B66+1</f>
        <v>16</v>
      </c>
      <c r="C70" s="126" t="s">
        <v>59</v>
      </c>
      <c r="D70" s="136" t="s">
        <v>470</v>
      </c>
      <c r="E70" s="137" t="s">
        <v>615</v>
      </c>
      <c r="F70" s="121" t="s">
        <v>135</v>
      </c>
      <c r="G70" s="85">
        <v>33000</v>
      </c>
      <c r="H70" s="85">
        <v>947.09999999999991</v>
      </c>
      <c r="I70" s="85">
        <v>1003.1999999999998</v>
      </c>
      <c r="J70" s="120">
        <v>7762.4199999999983</v>
      </c>
      <c r="K70" s="85">
        <f>SUM(H70:J70)</f>
        <v>9712.7199999999975</v>
      </c>
      <c r="L70" s="124">
        <f>+G70-K70</f>
        <v>23287.280000000002</v>
      </c>
      <c r="M70" s="228"/>
    </row>
    <row r="71" spans="2:13" s="42" customFormat="1" ht="30" customHeight="1" x14ac:dyDescent="0.25">
      <c r="B71" s="230" t="s">
        <v>138</v>
      </c>
      <c r="C71" s="231"/>
      <c r="D71" s="231"/>
      <c r="E71" s="231"/>
      <c r="F71" s="232"/>
      <c r="G71" s="40">
        <f t="shared" ref="G71:L71" si="15">SUM(G70:G70)</f>
        <v>33000</v>
      </c>
      <c r="H71" s="40">
        <f t="shared" si="15"/>
        <v>947.09999999999991</v>
      </c>
      <c r="I71" s="40">
        <f t="shared" si="15"/>
        <v>1003.1999999999998</v>
      </c>
      <c r="J71" s="40">
        <f t="shared" si="15"/>
        <v>7762.4199999999983</v>
      </c>
      <c r="K71" s="40">
        <f t="shared" si="15"/>
        <v>9712.7199999999975</v>
      </c>
      <c r="L71" s="40">
        <f t="shared" si="15"/>
        <v>23287.280000000002</v>
      </c>
    </row>
    <row r="72" spans="2:13" s="42" customFormat="1" ht="30" customHeight="1" thickBot="1" x14ac:dyDescent="0.3">
      <c r="B72" s="53"/>
      <c r="C72" s="53"/>
      <c r="D72" s="53"/>
      <c r="E72" s="53"/>
      <c r="F72" s="53"/>
      <c r="G72" s="43"/>
      <c r="H72" s="43"/>
      <c r="I72" s="43"/>
      <c r="J72" s="43"/>
      <c r="K72" s="43"/>
      <c r="L72" s="43"/>
    </row>
    <row r="73" spans="2:13" s="56" customFormat="1" ht="27" customHeight="1" thickBot="1" x14ac:dyDescent="0.3">
      <c r="B73" s="233" t="s">
        <v>103</v>
      </c>
      <c r="C73" s="234"/>
      <c r="D73" s="234"/>
      <c r="E73" s="234"/>
      <c r="F73" s="234"/>
      <c r="G73" s="234"/>
      <c r="H73" s="234"/>
      <c r="I73" s="234"/>
      <c r="J73" s="234"/>
      <c r="K73" s="234"/>
      <c r="L73" s="235"/>
      <c r="M73" s="42"/>
    </row>
    <row r="74" spans="2:13" s="56" customFormat="1" ht="30" customHeight="1" x14ac:dyDescent="0.25">
      <c r="B74" s="83">
        <f>+B70+1</f>
        <v>17</v>
      </c>
      <c r="C74" s="126" t="s">
        <v>306</v>
      </c>
      <c r="D74" s="136" t="s">
        <v>470</v>
      </c>
      <c r="E74" s="137" t="s">
        <v>307</v>
      </c>
      <c r="F74" s="121" t="s">
        <v>135</v>
      </c>
      <c r="G74" s="120">
        <v>29500</v>
      </c>
      <c r="H74" s="90">
        <v>846.64999999999964</v>
      </c>
      <c r="I74" s="85">
        <v>0</v>
      </c>
      <c r="J74" s="90">
        <v>7163.3400000000038</v>
      </c>
      <c r="K74" s="85">
        <f>SUM(H74:J74)</f>
        <v>8009.9900000000034</v>
      </c>
      <c r="L74" s="92">
        <f>+G74-K74</f>
        <v>21490.009999999995</v>
      </c>
      <c r="M74" s="42"/>
    </row>
    <row r="75" spans="2:13" s="56" customFormat="1" ht="31.5" x14ac:dyDescent="0.25">
      <c r="B75" s="39">
        <f>+B74+1</f>
        <v>18</v>
      </c>
      <c r="C75" s="121" t="s">
        <v>14</v>
      </c>
      <c r="D75" s="39" t="s">
        <v>470</v>
      </c>
      <c r="E75" s="122" t="s">
        <v>594</v>
      </c>
      <c r="F75" s="121" t="s">
        <v>216</v>
      </c>
      <c r="G75" s="123">
        <v>5000</v>
      </c>
      <c r="H75" s="90">
        <v>143.5</v>
      </c>
      <c r="I75" s="90">
        <v>152</v>
      </c>
      <c r="J75" s="90">
        <v>1176.130000000001</v>
      </c>
      <c r="K75" s="85">
        <f>SUM(H75:J75)</f>
        <v>1471.630000000001</v>
      </c>
      <c r="L75" s="86">
        <f>+G75-K75</f>
        <v>3528.369999999999</v>
      </c>
      <c r="M75" s="42"/>
    </row>
    <row r="76" spans="2:13" s="42" customFormat="1" ht="25.5" customHeight="1" x14ac:dyDescent="0.25">
      <c r="B76" s="230" t="s">
        <v>138</v>
      </c>
      <c r="C76" s="231"/>
      <c r="D76" s="231"/>
      <c r="E76" s="231"/>
      <c r="F76" s="232"/>
      <c r="G76" s="40">
        <f>SUM(G74:G75)</f>
        <v>34500</v>
      </c>
      <c r="H76" s="40">
        <f t="shared" ref="H76:L76" si="16">SUM(H74:H75)</f>
        <v>990.14999999999964</v>
      </c>
      <c r="I76" s="40">
        <f t="shared" si="16"/>
        <v>152</v>
      </c>
      <c r="J76" s="40">
        <f t="shared" si="16"/>
        <v>8339.4700000000048</v>
      </c>
      <c r="K76" s="40">
        <f t="shared" si="16"/>
        <v>9481.6200000000044</v>
      </c>
      <c r="L76" s="40">
        <f t="shared" si="16"/>
        <v>25018.379999999994</v>
      </c>
    </row>
    <row r="77" spans="2:13" s="42" customFormat="1" ht="25.5" customHeight="1" thickBot="1" x14ac:dyDescent="0.3">
      <c r="B77" s="53"/>
      <c r="C77" s="53"/>
      <c r="D77" s="53"/>
      <c r="E77" s="53"/>
      <c r="F77" s="53"/>
      <c r="G77" s="43"/>
      <c r="H77" s="43"/>
      <c r="I77" s="43"/>
      <c r="J77" s="43"/>
      <c r="K77" s="43"/>
      <c r="L77" s="43"/>
    </row>
    <row r="78" spans="2:13" s="42" customFormat="1" ht="25.5" customHeight="1" thickBot="1" x14ac:dyDescent="0.3">
      <c r="B78" s="236" t="s">
        <v>626</v>
      </c>
      <c r="C78" s="237"/>
      <c r="D78" s="237"/>
      <c r="E78" s="237"/>
      <c r="F78" s="237"/>
      <c r="G78" s="237"/>
      <c r="H78" s="237"/>
      <c r="I78" s="237"/>
      <c r="J78" s="237"/>
      <c r="K78" s="237"/>
      <c r="L78" s="238"/>
    </row>
    <row r="79" spans="2:13" s="42" customFormat="1" ht="30" customHeight="1" x14ac:dyDescent="0.25">
      <c r="B79" s="39">
        <f>B75+1</f>
        <v>19</v>
      </c>
      <c r="C79" s="121" t="s">
        <v>627</v>
      </c>
      <c r="D79" s="39" t="s">
        <v>470</v>
      </c>
      <c r="E79" s="122" t="s">
        <v>628</v>
      </c>
      <c r="F79" s="121" t="s">
        <v>216</v>
      </c>
      <c r="G79" s="90">
        <v>85000</v>
      </c>
      <c r="H79" s="90">
        <v>2439.5</v>
      </c>
      <c r="I79" s="90">
        <v>2359.8000000000002</v>
      </c>
      <c r="J79" s="216">
        <v>20050.18</v>
      </c>
      <c r="K79" s="85">
        <f>SUM(H79:J79)</f>
        <v>24849.48</v>
      </c>
      <c r="L79" s="86">
        <f>+G79-K79</f>
        <v>60150.520000000004</v>
      </c>
    </row>
    <row r="80" spans="2:13" s="42" customFormat="1" ht="30" customHeight="1" x14ac:dyDescent="0.25">
      <c r="B80" s="39">
        <f>+B79+1</f>
        <v>20</v>
      </c>
      <c r="C80" s="121" t="s">
        <v>678</v>
      </c>
      <c r="D80" s="39" t="s">
        <v>470</v>
      </c>
      <c r="E80" s="122" t="s">
        <v>679</v>
      </c>
      <c r="F80" s="121" t="s">
        <v>216</v>
      </c>
      <c r="G80" s="90">
        <v>20000</v>
      </c>
      <c r="H80" s="90">
        <v>574</v>
      </c>
      <c r="I80" s="90">
        <v>608</v>
      </c>
      <c r="J80" s="216">
        <v>3438.83</v>
      </c>
      <c r="K80" s="85">
        <f>SUM(H80:J80)</f>
        <v>4620.83</v>
      </c>
      <c r="L80" s="86">
        <f>+G80-K80</f>
        <v>15379.17</v>
      </c>
    </row>
    <row r="81" spans="2:13" s="42" customFormat="1" ht="25.5" customHeight="1" x14ac:dyDescent="0.25">
      <c r="B81" s="230" t="s">
        <v>138</v>
      </c>
      <c r="C81" s="231"/>
      <c r="D81" s="231"/>
      <c r="E81" s="231"/>
      <c r="F81" s="232"/>
      <c r="G81" s="40">
        <f>SUM(G79:G80)</f>
        <v>105000</v>
      </c>
      <c r="H81" s="40">
        <f t="shared" ref="H81:L81" si="17">SUM(H79:H80)</f>
        <v>3013.5</v>
      </c>
      <c r="I81" s="40">
        <f t="shared" si="17"/>
        <v>2967.8</v>
      </c>
      <c r="J81" s="40">
        <f t="shared" si="17"/>
        <v>23489.010000000002</v>
      </c>
      <c r="K81" s="40">
        <f t="shared" si="17"/>
        <v>29470.309999999998</v>
      </c>
      <c r="L81" s="40">
        <f t="shared" si="17"/>
        <v>75529.69</v>
      </c>
    </row>
    <row r="82" spans="2:13" s="42" customFormat="1" ht="25.5" customHeight="1" thickBot="1" x14ac:dyDescent="0.3">
      <c r="B82" s="53"/>
      <c r="C82" s="53"/>
      <c r="D82" s="53"/>
      <c r="E82" s="53"/>
      <c r="F82" s="53"/>
      <c r="G82" s="43"/>
      <c r="H82" s="43"/>
      <c r="I82" s="43"/>
      <c r="J82" s="43"/>
      <c r="K82" s="43"/>
      <c r="L82" s="43"/>
    </row>
    <row r="83" spans="2:13" s="42" customFormat="1" ht="25.5" customHeight="1" thickBot="1" x14ac:dyDescent="0.3">
      <c r="B83" s="236" t="s">
        <v>104</v>
      </c>
      <c r="C83" s="237"/>
      <c r="D83" s="237"/>
      <c r="E83" s="237"/>
      <c r="F83" s="237"/>
      <c r="G83" s="237"/>
      <c r="H83" s="237"/>
      <c r="I83" s="237"/>
      <c r="J83" s="237"/>
      <c r="K83" s="237"/>
      <c r="L83" s="238"/>
    </row>
    <row r="84" spans="2:13" s="42" customFormat="1" ht="31.5" customHeight="1" x14ac:dyDescent="0.25">
      <c r="B84" s="39">
        <f>+B80+1</f>
        <v>21</v>
      </c>
      <c r="C84" s="121" t="s">
        <v>542</v>
      </c>
      <c r="D84" s="39" t="s">
        <v>470</v>
      </c>
      <c r="E84" s="122" t="s">
        <v>543</v>
      </c>
      <c r="F84" s="121" t="s">
        <v>216</v>
      </c>
      <c r="G84" s="123">
        <v>90000</v>
      </c>
      <c r="H84" s="90">
        <v>2583</v>
      </c>
      <c r="I84" s="90">
        <v>2511.8000000000002</v>
      </c>
      <c r="J84" s="177">
        <v>21226.3</v>
      </c>
      <c r="K84" s="85">
        <f>SUM(H84:J84)</f>
        <v>26321.1</v>
      </c>
      <c r="L84" s="86">
        <f>+G84-K84</f>
        <v>63678.9</v>
      </c>
    </row>
    <row r="85" spans="2:13" s="42" customFormat="1" ht="30" customHeight="1" x14ac:dyDescent="0.25">
      <c r="B85" s="39">
        <f>+B84+1</f>
        <v>22</v>
      </c>
      <c r="C85" s="121" t="s">
        <v>151</v>
      </c>
      <c r="D85" s="39" t="s">
        <v>470</v>
      </c>
      <c r="E85" s="122" t="s">
        <v>680</v>
      </c>
      <c r="F85" s="121" t="s">
        <v>134</v>
      </c>
      <c r="G85" s="123">
        <v>25000</v>
      </c>
      <c r="H85" s="123">
        <v>717.5</v>
      </c>
      <c r="I85" s="123">
        <v>760</v>
      </c>
      <c r="J85" s="123">
        <v>4220.12</v>
      </c>
      <c r="K85" s="120">
        <f>SUM(H85:J85)</f>
        <v>5697.62</v>
      </c>
      <c r="L85" s="124">
        <f>+G85-K85</f>
        <v>19302.38</v>
      </c>
      <c r="M85" s="41"/>
    </row>
    <row r="86" spans="2:13" s="42" customFormat="1" ht="25.5" customHeight="1" x14ac:dyDescent="0.25">
      <c r="B86" s="230" t="s">
        <v>138</v>
      </c>
      <c r="C86" s="231"/>
      <c r="D86" s="231"/>
      <c r="E86" s="231"/>
      <c r="F86" s="232"/>
      <c r="G86" s="40">
        <f>SUM(G84:G85)</f>
        <v>115000</v>
      </c>
      <c r="H86" s="40">
        <f t="shared" ref="H86:L86" si="18">SUM(H84:H85)</f>
        <v>3300.5</v>
      </c>
      <c r="I86" s="40">
        <f t="shared" si="18"/>
        <v>3271.8</v>
      </c>
      <c r="J86" s="40">
        <f t="shared" si="18"/>
        <v>25446.42</v>
      </c>
      <c r="K86" s="40">
        <f t="shared" si="18"/>
        <v>32018.719999999998</v>
      </c>
      <c r="L86" s="40">
        <f t="shared" si="18"/>
        <v>82981.279999999999</v>
      </c>
    </row>
    <row r="87" spans="2:13" s="42" customFormat="1" ht="25.5" customHeight="1" thickBot="1" x14ac:dyDescent="0.3">
      <c r="B87" s="53"/>
      <c r="C87" s="53"/>
      <c r="D87" s="53"/>
      <c r="E87" s="53"/>
      <c r="F87" s="53"/>
      <c r="G87" s="43"/>
      <c r="H87" s="43"/>
      <c r="I87" s="43"/>
      <c r="J87" s="43"/>
      <c r="K87" s="43"/>
      <c r="L87" s="43"/>
    </row>
    <row r="88" spans="2:13" s="42" customFormat="1" ht="25.5" customHeight="1" thickBot="1" x14ac:dyDescent="0.3">
      <c r="B88" s="233" t="s">
        <v>556</v>
      </c>
      <c r="C88" s="234"/>
      <c r="D88" s="234"/>
      <c r="E88" s="234"/>
      <c r="F88" s="234"/>
      <c r="G88" s="234"/>
      <c r="H88" s="234"/>
      <c r="I88" s="234"/>
      <c r="J88" s="234"/>
      <c r="K88" s="234"/>
      <c r="L88" s="235"/>
    </row>
    <row r="89" spans="2:13" s="42" customFormat="1" ht="25.5" customHeight="1" x14ac:dyDescent="0.25">
      <c r="B89" s="88">
        <f>+B85+1</f>
        <v>23</v>
      </c>
      <c r="C89" s="121" t="s">
        <v>555</v>
      </c>
      <c r="D89" s="39" t="s">
        <v>470</v>
      </c>
      <c r="E89" s="121" t="s">
        <v>121</v>
      </c>
      <c r="F89" s="121" t="s">
        <v>216</v>
      </c>
      <c r="G89" s="123">
        <v>25000</v>
      </c>
      <c r="H89" s="90">
        <v>717.5</v>
      </c>
      <c r="I89" s="90">
        <v>760</v>
      </c>
      <c r="J89" s="90">
        <v>4220.12</v>
      </c>
      <c r="K89" s="85">
        <f>SUM(H89:J89)</f>
        <v>5697.62</v>
      </c>
      <c r="L89" s="85">
        <f>+G89-K89</f>
        <v>19302.38</v>
      </c>
    </row>
    <row r="90" spans="2:13" s="42" customFormat="1" ht="25.5" customHeight="1" x14ac:dyDescent="0.25">
      <c r="B90" s="230" t="s">
        <v>138</v>
      </c>
      <c r="C90" s="231"/>
      <c r="D90" s="231"/>
      <c r="E90" s="231"/>
      <c r="F90" s="232"/>
      <c r="G90" s="40">
        <f t="shared" ref="G90:L90" si="19">SUM(G89:G89)</f>
        <v>25000</v>
      </c>
      <c r="H90" s="40">
        <f t="shared" si="19"/>
        <v>717.5</v>
      </c>
      <c r="I90" s="40">
        <f t="shared" si="19"/>
        <v>760</v>
      </c>
      <c r="J90" s="40">
        <f t="shared" si="19"/>
        <v>4220.12</v>
      </c>
      <c r="K90" s="40">
        <f>SUM(K89:K89)</f>
        <v>5697.62</v>
      </c>
      <c r="L90" s="40">
        <f t="shared" si="19"/>
        <v>19302.38</v>
      </c>
    </row>
    <row r="91" spans="2:13" s="42" customFormat="1" ht="27" customHeight="1" thickBot="1" x14ac:dyDescent="0.3">
      <c r="B91" s="53"/>
      <c r="C91" s="53"/>
      <c r="D91" s="53"/>
      <c r="E91" s="53"/>
      <c r="F91" s="53"/>
      <c r="G91"/>
      <c r="H91"/>
      <c r="I91"/>
      <c r="J91"/>
      <c r="K91"/>
      <c r="L91"/>
    </row>
    <row r="92" spans="2:13" s="56" customFormat="1" ht="30" customHeight="1" thickBot="1" x14ac:dyDescent="0.3">
      <c r="B92" s="239" t="s">
        <v>321</v>
      </c>
      <c r="C92" s="240"/>
      <c r="D92" s="240"/>
      <c r="E92" s="240"/>
      <c r="F92" s="240"/>
      <c r="G92" s="240"/>
      <c r="H92" s="240"/>
      <c r="I92" s="240"/>
      <c r="J92" s="240"/>
      <c r="K92" s="240"/>
      <c r="L92" s="241"/>
      <c r="M92" s="42"/>
    </row>
    <row r="93" spans="2:13" s="95" customFormat="1" ht="30" customHeight="1" x14ac:dyDescent="0.25">
      <c r="B93" s="88">
        <f>+B89+1</f>
        <v>24</v>
      </c>
      <c r="C93" s="121" t="s">
        <v>675</v>
      </c>
      <c r="D93" s="39" t="s">
        <v>469</v>
      </c>
      <c r="E93" s="140" t="s">
        <v>477</v>
      </c>
      <c r="F93" s="121" t="s">
        <v>216</v>
      </c>
      <c r="G93" s="123">
        <v>35000</v>
      </c>
      <c r="H93" s="90">
        <v>1004.5</v>
      </c>
      <c r="I93" s="90">
        <v>1064</v>
      </c>
      <c r="J93" s="85">
        <v>8232.8799999999992</v>
      </c>
      <c r="K93" s="85">
        <f>SUM(H93:J93)</f>
        <v>10301.379999999999</v>
      </c>
      <c r="L93" s="86">
        <f>+G93-K93</f>
        <v>24698.620000000003</v>
      </c>
      <c r="M93" s="50"/>
    </row>
    <row r="94" spans="2:13" s="42" customFormat="1" ht="30" customHeight="1" x14ac:dyDescent="0.25">
      <c r="B94" s="230" t="s">
        <v>138</v>
      </c>
      <c r="C94" s="231"/>
      <c r="D94" s="231"/>
      <c r="E94" s="231"/>
      <c r="F94" s="232"/>
      <c r="G94" s="40">
        <f t="shared" ref="G94:J94" si="20">SUM(G93:G93)</f>
        <v>35000</v>
      </c>
      <c r="H94" s="40">
        <f t="shared" si="20"/>
        <v>1004.5</v>
      </c>
      <c r="I94" s="40">
        <f t="shared" si="20"/>
        <v>1064</v>
      </c>
      <c r="J94" s="40">
        <f t="shared" si="20"/>
        <v>8232.8799999999992</v>
      </c>
      <c r="K94" s="40">
        <f>SUM(K93:K93)</f>
        <v>10301.379999999999</v>
      </c>
      <c r="L94" s="40">
        <f t="shared" ref="L94" si="21">SUM(L93:L93)</f>
        <v>24698.620000000003</v>
      </c>
    </row>
    <row r="95" spans="2:13" s="42" customFormat="1" ht="30" customHeight="1" thickBot="1" x14ac:dyDescent="0.3">
      <c r="B95" s="53"/>
      <c r="C95" s="53"/>
      <c r="D95" s="53"/>
      <c r="E95" s="53"/>
      <c r="F95" s="53"/>
      <c r="G95"/>
      <c r="H95"/>
      <c r="I95"/>
      <c r="J95"/>
      <c r="K95"/>
      <c r="L95"/>
    </row>
    <row r="96" spans="2:13" s="56" customFormat="1" ht="30" customHeight="1" thickBot="1" x14ac:dyDescent="0.3">
      <c r="B96" s="239" t="s">
        <v>501</v>
      </c>
      <c r="C96" s="240"/>
      <c r="D96" s="240"/>
      <c r="E96" s="240"/>
      <c r="F96" s="240"/>
      <c r="G96" s="240"/>
      <c r="H96" s="240"/>
      <c r="I96" s="240"/>
      <c r="J96" s="240"/>
      <c r="K96" s="240"/>
      <c r="L96" s="241"/>
      <c r="M96" s="42"/>
    </row>
    <row r="97" spans="2:13" s="95" customFormat="1" ht="30" customHeight="1" x14ac:dyDescent="0.25">
      <c r="B97" s="88">
        <f>+B93+1</f>
        <v>25</v>
      </c>
      <c r="C97" s="121" t="s">
        <v>13</v>
      </c>
      <c r="D97" s="39" t="s">
        <v>469</v>
      </c>
      <c r="E97" s="140" t="s">
        <v>477</v>
      </c>
      <c r="F97" s="121" t="s">
        <v>216</v>
      </c>
      <c r="G97" s="123">
        <v>50000</v>
      </c>
      <c r="H97" s="90">
        <v>1435</v>
      </c>
      <c r="I97" s="90">
        <v>1520</v>
      </c>
      <c r="J97" s="85">
        <v>11761.250000000002</v>
      </c>
      <c r="K97" s="85">
        <f>SUM(H97:J97)</f>
        <v>14716.250000000002</v>
      </c>
      <c r="L97" s="86">
        <f>+G97-K97</f>
        <v>35283.75</v>
      </c>
      <c r="M97" s="50"/>
    </row>
    <row r="98" spans="2:13" s="42" customFormat="1" ht="30" customHeight="1" x14ac:dyDescent="0.25">
      <c r="B98" s="230" t="s">
        <v>138</v>
      </c>
      <c r="C98" s="231"/>
      <c r="D98" s="231"/>
      <c r="E98" s="231"/>
      <c r="F98" s="232"/>
      <c r="G98" s="40">
        <f t="shared" ref="G98:L98" si="22">SUM(G97:G97)</f>
        <v>50000</v>
      </c>
      <c r="H98" s="40">
        <f t="shared" si="22"/>
        <v>1435</v>
      </c>
      <c r="I98" s="40">
        <f t="shared" si="22"/>
        <v>1520</v>
      </c>
      <c r="J98" s="40">
        <f t="shared" si="22"/>
        <v>11761.250000000002</v>
      </c>
      <c r="K98" s="40">
        <f>SUM(K97:K97)</f>
        <v>14716.250000000002</v>
      </c>
      <c r="L98" s="40">
        <f t="shared" si="22"/>
        <v>35283.75</v>
      </c>
    </row>
    <row r="99" spans="2:13" s="42" customFormat="1" ht="30" customHeight="1" thickBot="1" x14ac:dyDescent="0.3">
      <c r="B99" s="53"/>
      <c r="C99" s="53"/>
      <c r="D99" s="53"/>
      <c r="E99" s="53"/>
      <c r="F99" s="53"/>
      <c r="G99"/>
      <c r="H99"/>
      <c r="I99"/>
      <c r="J99"/>
      <c r="K99"/>
      <c r="L99"/>
    </row>
    <row r="100" spans="2:13" s="56" customFormat="1" ht="30" customHeight="1" thickBot="1" x14ac:dyDescent="0.3">
      <c r="B100" s="233" t="s">
        <v>328</v>
      </c>
      <c r="C100" s="234"/>
      <c r="D100" s="234"/>
      <c r="E100" s="234"/>
      <c r="F100" s="234"/>
      <c r="G100" s="234"/>
      <c r="H100" s="234"/>
      <c r="I100" s="234"/>
      <c r="J100" s="234"/>
      <c r="K100" s="234"/>
      <c r="L100" s="235"/>
      <c r="M100" s="42"/>
    </row>
    <row r="101" spans="2:13" s="99" customFormat="1" ht="30" customHeight="1" x14ac:dyDescent="0.25">
      <c r="B101" s="88">
        <f>+B97+1</f>
        <v>26</v>
      </c>
      <c r="C101" s="121" t="s">
        <v>329</v>
      </c>
      <c r="D101" s="39" t="s">
        <v>469</v>
      </c>
      <c r="E101" s="121" t="s">
        <v>473</v>
      </c>
      <c r="F101" s="121" t="s">
        <v>216</v>
      </c>
      <c r="G101" s="123">
        <v>20000</v>
      </c>
      <c r="H101" s="90">
        <v>574</v>
      </c>
      <c r="I101" s="90">
        <v>608</v>
      </c>
      <c r="J101" s="90">
        <v>2559.6748749999997</v>
      </c>
      <c r="K101" s="85">
        <f>SUM(H101:J101)</f>
        <v>3741.6748749999997</v>
      </c>
      <c r="L101" s="85">
        <f>+G101-K101</f>
        <v>16258.325124999999</v>
      </c>
      <c r="M101" s="229"/>
    </row>
    <row r="102" spans="2:13" s="42" customFormat="1" ht="23.25" customHeight="1" x14ac:dyDescent="0.25">
      <c r="B102" s="230" t="s">
        <v>138</v>
      </c>
      <c r="C102" s="231"/>
      <c r="D102" s="231"/>
      <c r="E102" s="231"/>
      <c r="F102" s="232"/>
      <c r="G102" s="40">
        <f t="shared" ref="G102:L102" si="23">SUM(G101:G101)</f>
        <v>20000</v>
      </c>
      <c r="H102" s="40">
        <f t="shared" si="23"/>
        <v>574</v>
      </c>
      <c r="I102" s="40">
        <f t="shared" si="23"/>
        <v>608</v>
      </c>
      <c r="J102" s="40">
        <f t="shared" si="23"/>
        <v>2559.6748749999997</v>
      </c>
      <c r="K102" s="40">
        <f t="shared" si="23"/>
        <v>3741.6748749999997</v>
      </c>
      <c r="L102" s="40">
        <f t="shared" si="23"/>
        <v>16258.325124999999</v>
      </c>
    </row>
    <row r="103" spans="2:13" s="42" customFormat="1" ht="23.25" customHeight="1" thickBot="1" x14ac:dyDescent="0.3">
      <c r="B103" s="53"/>
      <c r="C103" s="53"/>
      <c r="D103" s="53"/>
      <c r="E103" s="53"/>
      <c r="F103" s="53"/>
      <c r="G103" s="43"/>
      <c r="H103" s="43"/>
      <c r="I103" s="43"/>
      <c r="J103" s="43"/>
      <c r="K103" s="43"/>
      <c r="L103" s="43"/>
    </row>
    <row r="104" spans="2:13" s="42" customFormat="1" ht="23.25" customHeight="1" thickBot="1" x14ac:dyDescent="0.3">
      <c r="B104" s="239" t="s">
        <v>193</v>
      </c>
      <c r="C104" s="240"/>
      <c r="D104" s="240"/>
      <c r="E104" s="240"/>
      <c r="F104" s="240"/>
      <c r="G104" s="240"/>
      <c r="H104" s="240"/>
      <c r="I104" s="240"/>
      <c r="J104" s="240"/>
      <c r="K104" s="240"/>
      <c r="L104" s="241"/>
    </row>
    <row r="105" spans="2:13" s="42" customFormat="1" ht="30.75" customHeight="1" x14ac:dyDescent="0.25">
      <c r="B105" s="39">
        <f>+B101+1</f>
        <v>27</v>
      </c>
      <c r="C105" s="121" t="s">
        <v>540</v>
      </c>
      <c r="D105" s="39" t="s">
        <v>469</v>
      </c>
      <c r="E105" s="140" t="s">
        <v>541</v>
      </c>
      <c r="F105" s="121" t="s">
        <v>216</v>
      </c>
      <c r="G105" s="123">
        <v>75000</v>
      </c>
      <c r="H105" s="90">
        <v>2152.5</v>
      </c>
      <c r="I105" s="90">
        <v>2280</v>
      </c>
      <c r="J105" s="85">
        <v>16851.560000000001</v>
      </c>
      <c r="K105" s="85">
        <f>SUM(H105:J105)</f>
        <v>21284.06</v>
      </c>
      <c r="L105" s="86">
        <f>+G105-K105</f>
        <v>53715.94</v>
      </c>
    </row>
    <row r="106" spans="2:13" s="42" customFormat="1" ht="23.25" customHeight="1" x14ac:dyDescent="0.25">
      <c r="B106" s="230" t="s">
        <v>138</v>
      </c>
      <c r="C106" s="231"/>
      <c r="D106" s="231"/>
      <c r="E106" s="231"/>
      <c r="F106" s="232"/>
      <c r="G106" s="40">
        <f t="shared" ref="G106:L106" si="24">SUM(G105:G105)</f>
        <v>75000</v>
      </c>
      <c r="H106" s="40">
        <f t="shared" si="24"/>
        <v>2152.5</v>
      </c>
      <c r="I106" s="40">
        <f t="shared" si="24"/>
        <v>2280</v>
      </c>
      <c r="J106" s="40">
        <f t="shared" si="24"/>
        <v>16851.560000000001</v>
      </c>
      <c r="K106" s="40">
        <f t="shared" si="24"/>
        <v>21284.06</v>
      </c>
      <c r="L106" s="40">
        <f t="shared" si="24"/>
        <v>53715.94</v>
      </c>
    </row>
    <row r="107" spans="2:13" s="42" customFormat="1" ht="23.25" customHeight="1" thickBot="1" x14ac:dyDescent="0.3">
      <c r="B107" s="53"/>
      <c r="C107" s="53"/>
      <c r="D107" s="53"/>
      <c r="E107" s="53"/>
      <c r="F107" s="53"/>
      <c r="G107" s="43"/>
      <c r="H107" s="43"/>
      <c r="I107" s="43"/>
      <c r="J107" s="43"/>
      <c r="K107" s="43"/>
      <c r="L107" s="43"/>
    </row>
    <row r="108" spans="2:13" s="87" customFormat="1" ht="30" customHeight="1" thickBot="1" x14ac:dyDescent="0.3">
      <c r="B108" s="233" t="s">
        <v>346</v>
      </c>
      <c r="C108" s="234"/>
      <c r="D108" s="234"/>
      <c r="E108" s="234"/>
      <c r="F108" s="234"/>
      <c r="G108" s="234"/>
      <c r="H108" s="234"/>
      <c r="I108" s="234"/>
      <c r="J108" s="234"/>
      <c r="K108" s="234"/>
      <c r="L108" s="235"/>
      <c r="M108" s="35"/>
    </row>
    <row r="109" spans="2:13" s="87" customFormat="1" ht="25.5" customHeight="1" x14ac:dyDescent="0.25">
      <c r="B109" s="88">
        <f>+B105+1</f>
        <v>28</v>
      </c>
      <c r="C109" s="121" t="s">
        <v>166</v>
      </c>
      <c r="D109" s="39" t="s">
        <v>469</v>
      </c>
      <c r="E109" s="121" t="s">
        <v>474</v>
      </c>
      <c r="F109" s="121" t="s">
        <v>134</v>
      </c>
      <c r="G109" s="123">
        <v>25000</v>
      </c>
      <c r="H109" s="123">
        <v>717.5</v>
      </c>
      <c r="I109" s="90">
        <v>760</v>
      </c>
      <c r="J109" s="90">
        <v>3486.6498333333329</v>
      </c>
      <c r="K109" s="120">
        <f>SUM(H109:J109)</f>
        <v>4964.1498333333329</v>
      </c>
      <c r="L109" s="86">
        <f>+G109-K109</f>
        <v>20035.850166666667</v>
      </c>
      <c r="M109" s="35"/>
    </row>
    <row r="110" spans="2:13" s="42" customFormat="1" ht="33.75" customHeight="1" x14ac:dyDescent="0.25">
      <c r="B110" s="230" t="s">
        <v>138</v>
      </c>
      <c r="C110" s="231"/>
      <c r="D110" s="231"/>
      <c r="E110" s="231"/>
      <c r="F110" s="232"/>
      <c r="G110" s="40">
        <f t="shared" ref="G110:J110" si="25">SUM(G109:G109)</f>
        <v>25000</v>
      </c>
      <c r="H110" s="40">
        <f t="shared" si="25"/>
        <v>717.5</v>
      </c>
      <c r="I110" s="40">
        <f t="shared" si="25"/>
        <v>760</v>
      </c>
      <c r="J110" s="40">
        <f t="shared" si="25"/>
        <v>3486.6498333333329</v>
      </c>
      <c r="K110" s="40">
        <f>SUM(K109:K109)</f>
        <v>4964.1498333333329</v>
      </c>
      <c r="L110" s="40">
        <f>SUM(L109:L109)</f>
        <v>20035.850166666667</v>
      </c>
    </row>
    <row r="111" spans="2:13" s="42" customFormat="1" ht="24.95" customHeight="1" thickBot="1" x14ac:dyDescent="0.3">
      <c r="B111" s="53"/>
      <c r="C111" s="53"/>
      <c r="D111" s="53"/>
      <c r="E111" s="53"/>
      <c r="F111" s="53"/>
      <c r="G111" s="43"/>
      <c r="H111" s="43"/>
      <c r="I111" s="43"/>
      <c r="J111" s="43"/>
      <c r="K111" s="43"/>
      <c r="L111" s="43"/>
    </row>
    <row r="112" spans="2:13" s="42" customFormat="1" ht="24.95" customHeight="1" thickBot="1" x14ac:dyDescent="0.3">
      <c r="B112" s="255" t="s">
        <v>629</v>
      </c>
      <c r="C112" s="256"/>
      <c r="D112" s="256"/>
      <c r="E112" s="256"/>
      <c r="F112" s="256"/>
      <c r="G112" s="256"/>
      <c r="H112" s="256"/>
      <c r="I112" s="256"/>
      <c r="J112" s="256"/>
      <c r="K112" s="256"/>
      <c r="L112" s="257"/>
    </row>
    <row r="113" spans="2:13" s="42" customFormat="1" ht="24.95" customHeight="1" x14ac:dyDescent="0.25">
      <c r="B113" s="88">
        <f>+B109+1</f>
        <v>29</v>
      </c>
      <c r="C113" s="121" t="s">
        <v>364</v>
      </c>
      <c r="D113" s="39" t="s">
        <v>469</v>
      </c>
      <c r="E113" s="89" t="s">
        <v>145</v>
      </c>
      <c r="F113" s="121" t="s">
        <v>134</v>
      </c>
      <c r="G113" s="123">
        <v>15000</v>
      </c>
      <c r="H113" s="123">
        <v>430.5</v>
      </c>
      <c r="I113" s="90">
        <v>456</v>
      </c>
      <c r="J113" s="90"/>
      <c r="K113" s="120">
        <f>SUM(H113:J113)</f>
        <v>886.5</v>
      </c>
      <c r="L113" s="86">
        <f>+G113-K113</f>
        <v>14113.5</v>
      </c>
    </row>
    <row r="114" spans="2:13" s="42" customFormat="1" ht="24.95" customHeight="1" x14ac:dyDescent="0.25">
      <c r="B114" s="230" t="s">
        <v>138</v>
      </c>
      <c r="C114" s="231"/>
      <c r="D114" s="231"/>
      <c r="E114" s="231"/>
      <c r="F114" s="232"/>
      <c r="G114" s="40">
        <f t="shared" ref="G114:L114" si="26">SUM(G113:G113)</f>
        <v>15000</v>
      </c>
      <c r="H114" s="40">
        <f t="shared" si="26"/>
        <v>430.5</v>
      </c>
      <c r="I114" s="40">
        <f t="shared" si="26"/>
        <v>456</v>
      </c>
      <c r="J114" s="40">
        <f t="shared" si="26"/>
        <v>0</v>
      </c>
      <c r="K114" s="40">
        <f t="shared" si="26"/>
        <v>886.5</v>
      </c>
      <c r="L114" s="40">
        <f t="shared" si="26"/>
        <v>14113.5</v>
      </c>
    </row>
    <row r="115" spans="2:13" s="42" customFormat="1" ht="24.95" customHeight="1" thickBot="1" x14ac:dyDescent="0.3">
      <c r="B115" s="53"/>
      <c r="C115" s="53"/>
      <c r="D115" s="53"/>
      <c r="E115" s="53"/>
      <c r="F115" s="53"/>
      <c r="G115" s="43"/>
      <c r="H115" s="43"/>
      <c r="I115" s="43"/>
      <c r="J115" s="43"/>
      <c r="K115" s="43"/>
      <c r="L115" s="43"/>
    </row>
    <row r="116" spans="2:13" s="56" customFormat="1" ht="30" customHeight="1" thickBot="1" x14ac:dyDescent="0.3">
      <c r="B116" s="233" t="s">
        <v>227</v>
      </c>
      <c r="C116" s="234"/>
      <c r="D116" s="234"/>
      <c r="E116" s="234"/>
      <c r="F116" s="234"/>
      <c r="G116" s="234"/>
      <c r="H116" s="234"/>
      <c r="I116" s="234"/>
      <c r="J116" s="234"/>
      <c r="K116" s="234"/>
      <c r="L116" s="235"/>
      <c r="M116" s="42"/>
    </row>
    <row r="117" spans="2:13" s="56" customFormat="1" ht="30" customHeight="1" x14ac:dyDescent="0.25">
      <c r="B117" s="83">
        <f>B113+1</f>
        <v>30</v>
      </c>
      <c r="C117" s="179" t="s">
        <v>93</v>
      </c>
      <c r="D117" s="180" t="s">
        <v>469</v>
      </c>
      <c r="E117" s="181" t="s">
        <v>677</v>
      </c>
      <c r="F117" s="126" t="s">
        <v>134</v>
      </c>
      <c r="G117" s="120">
        <v>30000</v>
      </c>
      <c r="H117" s="178">
        <v>861</v>
      </c>
      <c r="I117" s="178">
        <v>912</v>
      </c>
      <c r="J117" s="85">
        <v>6190.9149583333328</v>
      </c>
      <c r="K117" s="120">
        <f>SUM(H117:J117)</f>
        <v>7963.9149583333328</v>
      </c>
      <c r="L117" s="86">
        <f>+G117-K117</f>
        <v>22036.085041666665</v>
      </c>
      <c r="M117" s="42"/>
    </row>
    <row r="118" spans="2:13" s="56" customFormat="1" ht="30" customHeight="1" x14ac:dyDescent="0.25">
      <c r="B118" s="83">
        <f>+B117+1</f>
        <v>31</v>
      </c>
      <c r="C118" s="126" t="s">
        <v>353</v>
      </c>
      <c r="D118" s="136" t="s">
        <v>470</v>
      </c>
      <c r="E118" s="126" t="s">
        <v>475</v>
      </c>
      <c r="F118" s="126" t="s">
        <v>134</v>
      </c>
      <c r="G118" s="120">
        <v>15800</v>
      </c>
      <c r="H118" s="178">
        <v>453.46</v>
      </c>
      <c r="I118" s="178">
        <v>480.32</v>
      </c>
      <c r="J118" s="85">
        <v>0</v>
      </c>
      <c r="K118" s="120">
        <f>SUM(H118:J118)</f>
        <v>933.78</v>
      </c>
      <c r="L118" s="86">
        <f>+G118-K118</f>
        <v>14866.22</v>
      </c>
      <c r="M118" s="42"/>
    </row>
    <row r="119" spans="2:13" s="42" customFormat="1" ht="22.5" customHeight="1" x14ac:dyDescent="0.25">
      <c r="B119" s="230" t="s">
        <v>138</v>
      </c>
      <c r="C119" s="231"/>
      <c r="D119" s="231"/>
      <c r="E119" s="231"/>
      <c r="F119" s="232"/>
      <c r="G119" s="40">
        <f>SUM(G117:G118)</f>
        <v>45800</v>
      </c>
      <c r="H119" s="40">
        <f t="shared" ref="H119:L119" si="27">SUM(H117:H118)</f>
        <v>1314.46</v>
      </c>
      <c r="I119" s="40">
        <f t="shared" si="27"/>
        <v>1392.32</v>
      </c>
      <c r="J119" s="40">
        <f t="shared" si="27"/>
        <v>6190.9149583333328</v>
      </c>
      <c r="K119" s="40">
        <f t="shared" si="27"/>
        <v>8897.6949583333335</v>
      </c>
      <c r="L119" s="40">
        <f t="shared" si="27"/>
        <v>36902.305041666667</v>
      </c>
    </row>
    <row r="120" spans="2:13" s="42" customFormat="1" ht="24.95" customHeight="1" thickBot="1" x14ac:dyDescent="0.3">
      <c r="B120" s="53"/>
      <c r="C120" s="53"/>
      <c r="D120" s="53"/>
      <c r="E120" s="53"/>
      <c r="F120" s="53"/>
      <c r="G120" s="43"/>
      <c r="H120" s="43"/>
      <c r="I120" s="43"/>
      <c r="J120" s="43"/>
      <c r="K120" s="43"/>
      <c r="L120" s="43"/>
    </row>
    <row r="121" spans="2:13" s="87" customFormat="1" ht="30" customHeight="1" thickBot="1" x14ac:dyDescent="0.3">
      <c r="B121" s="233" t="s">
        <v>346</v>
      </c>
      <c r="C121" s="234"/>
      <c r="D121" s="234"/>
      <c r="E121" s="234"/>
      <c r="F121" s="234"/>
      <c r="G121" s="234"/>
      <c r="H121" s="234"/>
      <c r="I121" s="234"/>
      <c r="J121" s="234"/>
      <c r="K121" s="234"/>
      <c r="L121" s="235"/>
      <c r="M121" s="35"/>
    </row>
    <row r="122" spans="2:13" s="87" customFormat="1" ht="25.5" customHeight="1" x14ac:dyDescent="0.25">
      <c r="B122" s="88">
        <f>+B118+1</f>
        <v>32</v>
      </c>
      <c r="C122" s="121" t="s">
        <v>676</v>
      </c>
      <c r="D122" s="39" t="s">
        <v>469</v>
      </c>
      <c r="E122" s="121" t="s">
        <v>474</v>
      </c>
      <c r="F122" s="121" t="s">
        <v>134</v>
      </c>
      <c r="G122" s="123">
        <v>15000</v>
      </c>
      <c r="H122" s="123">
        <v>430.5</v>
      </c>
      <c r="I122" s="90">
        <v>456</v>
      </c>
      <c r="J122" s="90">
        <v>2117.0300000000002</v>
      </c>
      <c r="K122" s="120">
        <f>SUM(H122:J122)</f>
        <v>3003.53</v>
      </c>
      <c r="L122" s="86">
        <f>+G122-K122</f>
        <v>11996.47</v>
      </c>
      <c r="M122" s="35"/>
    </row>
    <row r="123" spans="2:13" s="42" customFormat="1" ht="33.75" customHeight="1" x14ac:dyDescent="0.25">
      <c r="B123" s="230" t="s">
        <v>138</v>
      </c>
      <c r="C123" s="231"/>
      <c r="D123" s="231"/>
      <c r="E123" s="231"/>
      <c r="F123" s="232"/>
      <c r="G123" s="40">
        <f t="shared" ref="G123:J123" si="28">SUM(G122:G122)</f>
        <v>15000</v>
      </c>
      <c r="H123" s="40">
        <f t="shared" si="28"/>
        <v>430.5</v>
      </c>
      <c r="I123" s="40">
        <f t="shared" si="28"/>
        <v>456</v>
      </c>
      <c r="J123" s="40">
        <f t="shared" si="28"/>
        <v>2117.0300000000002</v>
      </c>
      <c r="K123" s="40">
        <f>SUM(K122:K122)</f>
        <v>3003.53</v>
      </c>
      <c r="L123" s="40">
        <f>SUM(L122:L122)</f>
        <v>11996.47</v>
      </c>
    </row>
    <row r="124" spans="2:13" s="42" customFormat="1" ht="24.95" customHeight="1" thickBot="1" x14ac:dyDescent="0.3">
      <c r="B124" s="53"/>
      <c r="C124" s="53"/>
      <c r="D124" s="53"/>
      <c r="E124" s="53"/>
      <c r="F124" s="53"/>
      <c r="G124" s="43"/>
      <c r="H124" s="43"/>
      <c r="I124" s="43"/>
      <c r="J124" s="43"/>
      <c r="K124" s="43"/>
      <c r="L124" s="43"/>
    </row>
    <row r="125" spans="2:13" s="42" customFormat="1" ht="24.95" customHeight="1" thickBot="1" x14ac:dyDescent="0.3">
      <c r="B125" s="233" t="s">
        <v>194</v>
      </c>
      <c r="C125" s="234"/>
      <c r="D125" s="234"/>
      <c r="E125" s="234"/>
      <c r="F125" s="234"/>
      <c r="G125" s="234"/>
      <c r="H125" s="234"/>
      <c r="I125" s="234"/>
      <c r="J125" s="234"/>
      <c r="K125" s="234"/>
      <c r="L125" s="235"/>
    </row>
    <row r="126" spans="2:13" s="42" customFormat="1" ht="24.95" customHeight="1" x14ac:dyDescent="0.25">
      <c r="B126" s="88">
        <f>+B122+1</f>
        <v>33</v>
      </c>
      <c r="C126" s="121" t="s">
        <v>553</v>
      </c>
      <c r="D126" s="39" t="s">
        <v>469</v>
      </c>
      <c r="E126" s="121" t="s">
        <v>554</v>
      </c>
      <c r="F126" s="121" t="s">
        <v>134</v>
      </c>
      <c r="G126" s="123">
        <v>35000</v>
      </c>
      <c r="H126" s="123">
        <v>1004.5</v>
      </c>
      <c r="I126" s="90">
        <v>1064</v>
      </c>
      <c r="J126" s="90">
        <v>6101.37</v>
      </c>
      <c r="K126" s="120">
        <f>SUM(H126:J126)</f>
        <v>8169.87</v>
      </c>
      <c r="L126" s="86">
        <f>+G126-K126</f>
        <v>26830.13</v>
      </c>
    </row>
    <row r="127" spans="2:13" s="42" customFormat="1" ht="24.95" customHeight="1" x14ac:dyDescent="0.25">
      <c r="B127" s="88">
        <f>+B126+1</f>
        <v>34</v>
      </c>
      <c r="C127" s="121" t="s">
        <v>28</v>
      </c>
      <c r="D127" s="39"/>
      <c r="E127" s="42" t="s">
        <v>161</v>
      </c>
      <c r="F127" s="121" t="s">
        <v>134</v>
      </c>
      <c r="G127" s="123">
        <v>30000</v>
      </c>
      <c r="H127" s="123">
        <v>861</v>
      </c>
      <c r="I127" s="90">
        <v>912</v>
      </c>
      <c r="J127" s="90"/>
      <c r="K127" s="120">
        <f>SUM(H127:J127)</f>
        <v>1773</v>
      </c>
      <c r="L127" s="86">
        <f>+G127-K127</f>
        <v>28227</v>
      </c>
    </row>
    <row r="128" spans="2:13" s="42" customFormat="1" ht="24.95" customHeight="1" x14ac:dyDescent="0.25">
      <c r="B128" s="230" t="s">
        <v>138</v>
      </c>
      <c r="C128" s="231"/>
      <c r="D128" s="231"/>
      <c r="E128" s="231"/>
      <c r="F128" s="232"/>
      <c r="G128" s="40">
        <f>SUM(G126:G127)</f>
        <v>65000</v>
      </c>
      <c r="H128" s="40">
        <f t="shared" ref="H128:L128" si="29">SUM(H126:H127)</f>
        <v>1865.5</v>
      </c>
      <c r="I128" s="40">
        <f t="shared" si="29"/>
        <v>1976</v>
      </c>
      <c r="J128" s="40">
        <f t="shared" si="29"/>
        <v>6101.37</v>
      </c>
      <c r="K128" s="40">
        <f t="shared" si="29"/>
        <v>9942.869999999999</v>
      </c>
      <c r="L128" s="40">
        <f t="shared" si="29"/>
        <v>55057.130000000005</v>
      </c>
    </row>
    <row r="129" spans="2:13" s="35" customFormat="1" ht="30" customHeight="1" thickBot="1" x14ac:dyDescent="0.3">
      <c r="B129" s="44"/>
      <c r="C129" s="51"/>
      <c r="D129" s="155"/>
      <c r="E129" s="51"/>
      <c r="F129" s="51"/>
      <c r="G129" s="52"/>
      <c r="H129" s="42"/>
      <c r="I129" s="42"/>
      <c r="J129" s="42"/>
      <c r="K129" s="42"/>
      <c r="L129" s="42"/>
    </row>
    <row r="130" spans="2:13" ht="36" customHeight="1" thickBot="1" x14ac:dyDescent="0.3">
      <c r="B130" s="57"/>
      <c r="C130" s="58" t="s">
        <v>478</v>
      </c>
      <c r="D130" s="156"/>
      <c r="E130" s="59"/>
      <c r="F130" s="60"/>
      <c r="G130" s="61">
        <f>G15+G23+G31+G35+G43+G47+G55+G63+G67+G98+G102+G119+G110+G76+G39+G51+G106+G86+G128+G27+G11+G90+G19+G71+G59+G81+G114+G123+G94</f>
        <v>1265550</v>
      </c>
      <c r="H130" s="61">
        <f t="shared" ref="H130:L130" si="30">H15+H23+H31+H35+H43+H47+H55+H63+H67+H98+H102+H119+H110+H76+H39+H51+H106+H86+H128+H27+H11+H90+H19+H71+H59+H81+H114+H123+H94</f>
        <v>36321.284999999996</v>
      </c>
      <c r="I130" s="61">
        <f t="shared" si="30"/>
        <v>33205.919999999998</v>
      </c>
      <c r="J130" s="61">
        <f t="shared" si="30"/>
        <v>270379.56966666668</v>
      </c>
      <c r="K130" s="61">
        <f t="shared" si="30"/>
        <v>339906.77466666664</v>
      </c>
      <c r="L130" s="61">
        <f t="shared" si="30"/>
        <v>925643.22533333336</v>
      </c>
      <c r="M130" s="228"/>
    </row>
    <row r="131" spans="2:13" ht="15" x14ac:dyDescent="0.25">
      <c r="B131" s="31"/>
      <c r="C131" s="30"/>
      <c r="D131" s="31"/>
      <c r="E131" s="30"/>
      <c r="F131" s="30"/>
      <c r="G131" s="18"/>
      <c r="H131" s="19"/>
      <c r="I131" s="19"/>
      <c r="J131" s="19"/>
      <c r="K131" s="19"/>
      <c r="L131" s="19"/>
    </row>
    <row r="132" spans="2:13" ht="15" x14ac:dyDescent="0.25">
      <c r="B132" s="31"/>
      <c r="C132" s="30"/>
      <c r="D132" s="31"/>
      <c r="E132" s="30"/>
      <c r="F132" s="30"/>
      <c r="G132" s="18"/>
      <c r="H132" s="19"/>
      <c r="I132" s="19"/>
      <c r="J132" s="19"/>
      <c r="K132" s="19"/>
      <c r="L132" s="19"/>
    </row>
    <row r="133" spans="2:13" ht="15.75" x14ac:dyDescent="0.25">
      <c r="C133" s="1"/>
      <c r="E133" s="1"/>
      <c r="F133" s="20"/>
      <c r="G133" s="67"/>
    </row>
    <row r="134" spans="2:13" ht="15.75" x14ac:dyDescent="0.25">
      <c r="C134" s="21"/>
      <c r="D134" s="157"/>
      <c r="E134" s="22"/>
      <c r="F134" s="21"/>
      <c r="G134" s="1"/>
      <c r="L134" s="7"/>
    </row>
    <row r="135" spans="2:13" ht="15.75" x14ac:dyDescent="0.25">
      <c r="C135" s="23" t="s">
        <v>219</v>
      </c>
      <c r="D135" s="158"/>
      <c r="E135" s="22"/>
      <c r="F135" s="23" t="s">
        <v>546</v>
      </c>
      <c r="G135" s="1"/>
    </row>
    <row r="136" spans="2:13" ht="15.75" x14ac:dyDescent="0.25">
      <c r="C136" s="23" t="s">
        <v>547</v>
      </c>
      <c r="D136" s="158"/>
      <c r="E136" s="22"/>
      <c r="F136" s="23" t="s">
        <v>548</v>
      </c>
      <c r="G136" s="1"/>
    </row>
    <row r="16620" spans="3:12" s="4" customFormat="1" x14ac:dyDescent="0.2">
      <c r="C16620" s="25"/>
      <c r="E16620" s="25"/>
      <c r="F16620" s="25"/>
      <c r="G16620" s="2"/>
      <c r="H16620" s="1"/>
      <c r="I16620" s="1"/>
      <c r="J16620" s="1"/>
      <c r="K16620" s="1"/>
      <c r="L16620" s="1"/>
    </row>
    <row r="16622" spans="3:12" s="4" customFormat="1" x14ac:dyDescent="0.2">
      <c r="C16622" s="25"/>
      <c r="E16622" s="25"/>
      <c r="F16622" s="25"/>
      <c r="G16622" s="2"/>
      <c r="H16622" s="1"/>
      <c r="I16622" s="1"/>
      <c r="J16622" s="1"/>
      <c r="K16622" s="1"/>
      <c r="L16622" s="1"/>
    </row>
    <row r="16638" spans="8:9" x14ac:dyDescent="0.2">
      <c r="H16638" s="4"/>
      <c r="I16638" s="4"/>
    </row>
    <row r="16640" spans="8:9" x14ac:dyDescent="0.2">
      <c r="H16640" s="4"/>
      <c r="I16640" s="4"/>
    </row>
    <row r="16650" spans="3:12" x14ac:dyDescent="0.2">
      <c r="K16650" s="4"/>
      <c r="L16650" s="4"/>
    </row>
    <row r="16652" spans="3:12" x14ac:dyDescent="0.2">
      <c r="K16652" s="4"/>
      <c r="L16652" s="4"/>
    </row>
    <row r="16653" spans="3:12" x14ac:dyDescent="0.2">
      <c r="J16653" s="4"/>
    </row>
    <row r="16654" spans="3:12" x14ac:dyDescent="0.2">
      <c r="C16654" s="25">
        <f>SUM(C6:C16653)</f>
        <v>0</v>
      </c>
    </row>
    <row r="16655" spans="3:12" x14ac:dyDescent="0.2">
      <c r="J16655" s="4"/>
    </row>
    <row r="16656" spans="3:12" x14ac:dyDescent="0.2">
      <c r="C16656" s="25">
        <f>SUM(C16654)</f>
        <v>0</v>
      </c>
    </row>
    <row r="999979" spans="11:11" x14ac:dyDescent="0.2">
      <c r="K999979" s="11" t="e">
        <f>SUM(#REF!)</f>
        <v>#REF!</v>
      </c>
    </row>
  </sheetData>
  <mergeCells count="63">
    <mergeCell ref="B121:L121"/>
    <mergeCell ref="B123:F123"/>
    <mergeCell ref="B81:F81"/>
    <mergeCell ref="B57:L57"/>
    <mergeCell ref="B59:F59"/>
    <mergeCell ref="B78:L78"/>
    <mergeCell ref="B116:L116"/>
    <mergeCell ref="B96:L96"/>
    <mergeCell ref="B98:F98"/>
    <mergeCell ref="B76:F76"/>
    <mergeCell ref="B92:L92"/>
    <mergeCell ref="B94:F94"/>
    <mergeCell ref="B119:F119"/>
    <mergeCell ref="B108:L108"/>
    <mergeCell ref="B110:F110"/>
    <mergeCell ref="B100:L100"/>
    <mergeCell ref="B102:F102"/>
    <mergeCell ref="B112:L112"/>
    <mergeCell ref="B114:F114"/>
    <mergeCell ref="B9:L9"/>
    <mergeCell ref="B11:F11"/>
    <mergeCell ref="B47:F47"/>
    <mergeCell ref="B41:L41"/>
    <mergeCell ref="B43:F43"/>
    <mergeCell ref="B45:L45"/>
    <mergeCell ref="B37:L37"/>
    <mergeCell ref="B39:F39"/>
    <mergeCell ref="B31:F31"/>
    <mergeCell ref="B33:L33"/>
    <mergeCell ref="B35:F35"/>
    <mergeCell ref="B23:F23"/>
    <mergeCell ref="B29:L29"/>
    <mergeCell ref="B13:L13"/>
    <mergeCell ref="B1:L1"/>
    <mergeCell ref="B2:L2"/>
    <mergeCell ref="B3:L3"/>
    <mergeCell ref="B4:C4"/>
    <mergeCell ref="H5:I5"/>
    <mergeCell ref="B15:F15"/>
    <mergeCell ref="B21:L21"/>
    <mergeCell ref="B25:L25"/>
    <mergeCell ref="B27:F27"/>
    <mergeCell ref="B73:L73"/>
    <mergeCell ref="B17:L17"/>
    <mergeCell ref="B19:F19"/>
    <mergeCell ref="B69:L69"/>
    <mergeCell ref="B71:F71"/>
    <mergeCell ref="B125:L125"/>
    <mergeCell ref="B128:F128"/>
    <mergeCell ref="B88:L88"/>
    <mergeCell ref="B90:F90"/>
    <mergeCell ref="B49:L49"/>
    <mergeCell ref="B51:F51"/>
    <mergeCell ref="B104:L104"/>
    <mergeCell ref="B106:F106"/>
    <mergeCell ref="B83:L83"/>
    <mergeCell ref="B86:F86"/>
    <mergeCell ref="B55:F55"/>
    <mergeCell ref="B53:L53"/>
    <mergeCell ref="B67:F67"/>
    <mergeCell ref="B61:L61"/>
    <mergeCell ref="B63:F63"/>
    <mergeCell ref="B65:L65"/>
  </mergeCells>
  <pageMargins left="0.15748031496062992" right="0.15748031496062992" top="0.15748031496062992" bottom="0.15748031496062992" header="0.15748031496062992" footer="0.15748031496062992"/>
  <pageSetup scale="52" fitToHeight="0" orientation="landscape" r:id="rId1"/>
  <rowBreaks count="4" manualBreakCount="4">
    <brk id="28" min="1" max="11" man="1"/>
    <brk id="55" min="1" max="11" man="1"/>
    <brk id="82" min="1" max="11" man="1"/>
    <brk id="115" min="1" max="11" man="1"/>
  </rowBreaks>
  <ignoredErrors>
    <ignoredError sqref="K22:K23 K30 K34 K38 K42 K46 K62 K84 K101 K105 K118 K74:K75 K66 K117:L117 K10 K26 K97 K89 K54 K50 K79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048181"/>
  <sheetViews>
    <sheetView showGridLines="0" view="pageBreakPreview" zoomScale="40" zoomScaleNormal="90" zoomScaleSheetLayoutView="40" workbookViewId="0">
      <pane xSplit="2" ySplit="8" topLeftCell="D9" activePane="bottomRight" state="frozen"/>
      <selection pane="topRight" activeCell="C1" sqref="C1"/>
      <selection pane="bottomLeft" activeCell="A9" sqref="A9"/>
      <selection pane="bottomRight" activeCell="O1" sqref="O1:Q1048576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5" customWidth="1"/>
    <col min="3" max="3" width="11.7109375" style="4" customWidth="1"/>
    <col min="4" max="4" width="38.5703125" style="25" customWidth="1"/>
    <col min="5" max="5" width="20.42578125" style="25" customWidth="1"/>
    <col min="6" max="6" width="25.140625" style="25" customWidth="1"/>
    <col min="7" max="7" width="25.5703125" style="25" customWidth="1"/>
    <col min="8" max="8" width="17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9" style="1" bestFit="1" customWidth="1"/>
    <col min="13" max="13" width="20" style="1" customWidth="1"/>
    <col min="14" max="14" width="17" style="1" bestFit="1" customWidth="1"/>
    <col min="15" max="16384" width="11.42578125" style="1"/>
  </cols>
  <sheetData>
    <row r="1" spans="1:14" x14ac:dyDescent="0.2">
      <c r="B1" s="24"/>
      <c r="C1" s="152"/>
    </row>
    <row r="2" spans="1:14" ht="23.25" x14ac:dyDescent="0.35">
      <c r="A2" s="242" t="s">
        <v>454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</row>
    <row r="3" spans="1:14" ht="21" x14ac:dyDescent="0.35">
      <c r="A3" s="243" t="s">
        <v>457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</row>
    <row r="4" spans="1:14" ht="18.75" x14ac:dyDescent="0.3">
      <c r="A4" s="244" t="s">
        <v>667</v>
      </c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</row>
    <row r="5" spans="1:14" ht="6.75" customHeight="1" thickBot="1" x14ac:dyDescent="0.35">
      <c r="A5" s="244"/>
      <c r="B5" s="244"/>
      <c r="C5" s="17"/>
      <c r="D5" s="24"/>
      <c r="E5" s="24"/>
      <c r="F5" s="24"/>
      <c r="G5" s="24"/>
      <c r="H5" s="17"/>
    </row>
    <row r="6" spans="1:14" ht="24.75" customHeight="1" thickBot="1" x14ac:dyDescent="0.3">
      <c r="A6" s="273"/>
      <c r="B6" s="273"/>
      <c r="C6" s="53"/>
      <c r="D6" s="45"/>
      <c r="E6" s="45"/>
      <c r="F6" s="45"/>
      <c r="G6" s="45"/>
      <c r="H6" s="42"/>
      <c r="I6" s="245" t="s">
        <v>133</v>
      </c>
      <c r="J6" s="246"/>
      <c r="K6" s="35"/>
      <c r="L6" s="35"/>
      <c r="M6" s="35"/>
      <c r="N6" s="35"/>
    </row>
    <row r="7" spans="1:14" s="2" customFormat="1" ht="28.5" customHeight="1" thickBot="1" x14ac:dyDescent="0.25">
      <c r="A7" s="36" t="s">
        <v>0</v>
      </c>
      <c r="B7" s="36" t="s">
        <v>465</v>
      </c>
      <c r="C7" s="36" t="s">
        <v>471</v>
      </c>
      <c r="D7" s="36" t="s">
        <v>492</v>
      </c>
      <c r="E7" s="36" t="s">
        <v>127</v>
      </c>
      <c r="F7" s="36" t="s">
        <v>131</v>
      </c>
      <c r="G7" s="36" t="s">
        <v>132</v>
      </c>
      <c r="H7" s="38" t="s">
        <v>137</v>
      </c>
      <c r="I7" s="36" t="s">
        <v>1</v>
      </c>
      <c r="J7" s="36" t="s">
        <v>2</v>
      </c>
      <c r="K7" s="38" t="s">
        <v>128</v>
      </c>
      <c r="L7" s="38" t="s">
        <v>130</v>
      </c>
      <c r="M7" s="38" t="s">
        <v>3</v>
      </c>
      <c r="N7" s="38" t="s">
        <v>129</v>
      </c>
    </row>
    <row r="8" spans="1:14" s="2" customFormat="1" ht="24.95" customHeight="1" thickBot="1" x14ac:dyDescent="0.25">
      <c r="A8" s="270" t="s">
        <v>403</v>
      </c>
      <c r="B8" s="271"/>
      <c r="C8" s="271"/>
      <c r="D8" s="271"/>
      <c r="E8" s="271"/>
      <c r="F8" s="271"/>
      <c r="G8" s="271"/>
      <c r="H8" s="271"/>
      <c r="I8" s="271"/>
      <c r="J8" s="271"/>
      <c r="K8" s="271"/>
      <c r="L8" s="271"/>
      <c r="M8" s="271"/>
      <c r="N8" s="272"/>
    </row>
    <row r="9" spans="1:14" s="71" customFormat="1" ht="24.95" customHeight="1" x14ac:dyDescent="0.2">
      <c r="A9" s="108">
        <v>1</v>
      </c>
      <c r="B9" s="62" t="s">
        <v>405</v>
      </c>
      <c r="C9" s="161" t="s">
        <v>469</v>
      </c>
      <c r="D9" s="129" t="s">
        <v>466</v>
      </c>
      <c r="E9" s="129" t="s">
        <v>233</v>
      </c>
      <c r="F9" s="218" t="s">
        <v>573</v>
      </c>
      <c r="G9" s="218" t="s">
        <v>632</v>
      </c>
      <c r="H9" s="182">
        <v>130000</v>
      </c>
      <c r="I9" s="8">
        <f>H9*2.87%</f>
        <v>3731</v>
      </c>
      <c r="J9" s="8">
        <f>+H9*3.04%</f>
        <v>3952</v>
      </c>
      <c r="K9" s="8">
        <v>19162.12</v>
      </c>
      <c r="L9" s="9">
        <v>25</v>
      </c>
      <c r="M9" s="8">
        <f>SUM(I9:L9)</f>
        <v>26870.12</v>
      </c>
      <c r="N9" s="9">
        <f>+H9-M9</f>
        <v>103129.88</v>
      </c>
    </row>
    <row r="10" spans="1:14" s="71" customFormat="1" ht="24.95" customHeight="1" x14ac:dyDescent="0.2">
      <c r="A10" s="69">
        <v>2</v>
      </c>
      <c r="B10" s="215" t="s">
        <v>646</v>
      </c>
      <c r="C10" s="160" t="s">
        <v>469</v>
      </c>
      <c r="D10" s="132" t="s">
        <v>145</v>
      </c>
      <c r="E10" s="129" t="s">
        <v>233</v>
      </c>
      <c r="F10" s="208" t="s">
        <v>580</v>
      </c>
      <c r="G10" s="218" t="s">
        <v>633</v>
      </c>
      <c r="H10" s="10">
        <v>50000</v>
      </c>
      <c r="I10" s="5">
        <f>H10*2.87%</f>
        <v>1435</v>
      </c>
      <c r="J10" s="5">
        <f>+H10*3.04%</f>
        <v>1520</v>
      </c>
      <c r="K10" s="5">
        <v>1854</v>
      </c>
      <c r="L10" s="128">
        <v>25</v>
      </c>
      <c r="M10" s="5">
        <f>I10+J10+K10+L10</f>
        <v>4834</v>
      </c>
      <c r="N10" s="128">
        <f>H10-M10</f>
        <v>45166</v>
      </c>
    </row>
    <row r="11" spans="1:14" s="71" customFormat="1" ht="24.95" customHeight="1" x14ac:dyDescent="0.2">
      <c r="A11" s="69">
        <v>3</v>
      </c>
      <c r="B11" s="215" t="s">
        <v>668</v>
      </c>
      <c r="C11" s="160" t="s">
        <v>469</v>
      </c>
      <c r="D11" s="132" t="s">
        <v>145</v>
      </c>
      <c r="E11" s="129" t="s">
        <v>233</v>
      </c>
      <c r="F11" s="208" t="s">
        <v>669</v>
      </c>
      <c r="G11" s="218" t="s">
        <v>670</v>
      </c>
      <c r="H11" s="10">
        <v>50000</v>
      </c>
      <c r="I11" s="5">
        <f>H11*2.87%</f>
        <v>1435</v>
      </c>
      <c r="J11" s="5">
        <f>+H11*3.04%</f>
        <v>1520</v>
      </c>
      <c r="K11" s="5">
        <v>1854</v>
      </c>
      <c r="L11" s="128">
        <v>25</v>
      </c>
      <c r="M11" s="5">
        <f>I11+J11+K11+L11</f>
        <v>4834</v>
      </c>
      <c r="N11" s="128">
        <f>H11-M11</f>
        <v>45166</v>
      </c>
    </row>
    <row r="12" spans="1:14" s="2" customFormat="1" ht="20.25" customHeight="1" x14ac:dyDescent="0.2">
      <c r="A12" s="261">
        <v>3</v>
      </c>
      <c r="B12" s="261"/>
      <c r="C12" s="261"/>
      <c r="D12" s="261"/>
      <c r="E12" s="261"/>
      <c r="F12" s="261"/>
      <c r="G12" s="261"/>
      <c r="H12" s="16">
        <f>SUM(H9:H11)</f>
        <v>230000</v>
      </c>
      <c r="I12" s="16">
        <f t="shared" ref="I12:N12" si="0">SUM(I9:I11)</f>
        <v>6601</v>
      </c>
      <c r="J12" s="16">
        <f t="shared" si="0"/>
        <v>6992</v>
      </c>
      <c r="K12" s="16">
        <f t="shared" si="0"/>
        <v>22870.12</v>
      </c>
      <c r="L12" s="16">
        <f t="shared" si="0"/>
        <v>75</v>
      </c>
      <c r="M12" s="16">
        <f t="shared" si="0"/>
        <v>36538.119999999995</v>
      </c>
      <c r="N12" s="16">
        <f t="shared" si="0"/>
        <v>193461.88</v>
      </c>
    </row>
    <row r="13" spans="1:14" s="2" customFormat="1" ht="21" customHeight="1" thickBot="1" x14ac:dyDescent="0.25">
      <c r="A13"/>
      <c r="B13"/>
      <c r="C13" s="152"/>
      <c r="D13"/>
      <c r="E13"/>
      <c r="F13"/>
      <c r="G13"/>
      <c r="H13"/>
      <c r="I13"/>
      <c r="J13"/>
      <c r="K13"/>
      <c r="L13"/>
      <c r="M13"/>
      <c r="N13"/>
    </row>
    <row r="14" spans="1:14" s="29" customFormat="1" ht="24.95" customHeight="1" thickBot="1" x14ac:dyDescent="0.25">
      <c r="A14" s="282" t="s">
        <v>317</v>
      </c>
      <c r="B14" s="283"/>
      <c r="C14" s="283"/>
      <c r="D14" s="283"/>
      <c r="E14" s="283"/>
      <c r="F14" s="283"/>
      <c r="G14" s="283"/>
      <c r="H14" s="283"/>
      <c r="I14" s="283"/>
      <c r="J14" s="283"/>
      <c r="K14" s="283"/>
      <c r="L14" s="283"/>
      <c r="M14" s="283"/>
      <c r="N14" s="284"/>
    </row>
    <row r="15" spans="1:14" s="82" customFormat="1" ht="24.95" customHeight="1" x14ac:dyDescent="0.2">
      <c r="A15" s="69">
        <v>4</v>
      </c>
      <c r="B15" s="215" t="s">
        <v>407</v>
      </c>
      <c r="C15" s="160" t="s">
        <v>470</v>
      </c>
      <c r="D15" s="132" t="s">
        <v>234</v>
      </c>
      <c r="E15" s="129" t="s">
        <v>233</v>
      </c>
      <c r="F15" s="149" t="s">
        <v>544</v>
      </c>
      <c r="G15" s="2" t="s">
        <v>619</v>
      </c>
      <c r="H15" s="9">
        <v>70000</v>
      </c>
      <c r="I15" s="112">
        <f>H15*2.87%</f>
        <v>2009</v>
      </c>
      <c r="J15" s="112">
        <f>+H15*3.04%</f>
        <v>2128</v>
      </c>
      <c r="K15" s="112">
        <v>5368.45</v>
      </c>
      <c r="L15" s="111">
        <v>25</v>
      </c>
      <c r="M15" s="112">
        <f>SUM(I15:L15)</f>
        <v>9530.4500000000007</v>
      </c>
      <c r="N15" s="111">
        <f>+H15-M15</f>
        <v>60469.55</v>
      </c>
    </row>
    <row r="16" spans="1:14" s="71" customFormat="1" ht="24.95" customHeight="1" x14ac:dyDescent="0.2">
      <c r="A16" s="69">
        <v>3</v>
      </c>
      <c r="B16" s="215" t="s">
        <v>668</v>
      </c>
      <c r="C16" s="160" t="s">
        <v>469</v>
      </c>
      <c r="D16" s="132" t="s">
        <v>671</v>
      </c>
      <c r="E16" s="129" t="s">
        <v>233</v>
      </c>
      <c r="F16" s="208" t="s">
        <v>669</v>
      </c>
      <c r="G16" s="218" t="s">
        <v>670</v>
      </c>
      <c r="H16" s="10">
        <v>70000</v>
      </c>
      <c r="I16" s="5">
        <f>H16*2.87%</f>
        <v>2009</v>
      </c>
      <c r="J16" s="5">
        <f>+H16*3.04%</f>
        <v>2128</v>
      </c>
      <c r="K16" s="5">
        <v>5368.45</v>
      </c>
      <c r="L16" s="128">
        <v>25</v>
      </c>
      <c r="M16" s="5">
        <f>I16+J16+K16+L16</f>
        <v>9530.4500000000007</v>
      </c>
      <c r="N16" s="128">
        <f>H16-M16</f>
        <v>60469.55</v>
      </c>
    </row>
    <row r="17" spans="1:14" s="2" customFormat="1" ht="24.95" customHeight="1" x14ac:dyDescent="0.2">
      <c r="A17" s="261" t="s">
        <v>138</v>
      </c>
      <c r="B17" s="261"/>
      <c r="C17" s="261"/>
      <c r="D17" s="261"/>
      <c r="E17" s="261"/>
      <c r="F17" s="261"/>
      <c r="G17" s="261"/>
      <c r="H17" s="16">
        <f>SUM(H15:H16)</f>
        <v>140000</v>
      </c>
      <c r="I17" s="16">
        <f t="shared" ref="I17:N17" si="1">SUM(I15:I16)</f>
        <v>4018</v>
      </c>
      <c r="J17" s="16">
        <f t="shared" si="1"/>
        <v>4256</v>
      </c>
      <c r="K17" s="16">
        <f t="shared" si="1"/>
        <v>10736.9</v>
      </c>
      <c r="L17" s="16">
        <f t="shared" si="1"/>
        <v>50</v>
      </c>
      <c r="M17" s="16">
        <f t="shared" si="1"/>
        <v>19060.900000000001</v>
      </c>
      <c r="N17" s="16">
        <f t="shared" si="1"/>
        <v>120939.1</v>
      </c>
    </row>
    <row r="18" spans="1:14" s="2" customFormat="1" ht="20.25" customHeight="1" thickBot="1" x14ac:dyDescent="0.25">
      <c r="A18" s="65"/>
      <c r="B18" s="65"/>
      <c r="C18" s="65"/>
      <c r="D18" s="65"/>
      <c r="E18" s="65"/>
      <c r="F18" s="65"/>
      <c r="G18" s="65"/>
      <c r="H18"/>
      <c r="I18"/>
      <c r="J18"/>
      <c r="K18"/>
      <c r="L18"/>
      <c r="M18"/>
      <c r="N18"/>
    </row>
    <row r="19" spans="1:14" s="2" customFormat="1" ht="24.95" customHeight="1" thickBot="1" x14ac:dyDescent="0.25">
      <c r="A19" s="270" t="s">
        <v>102</v>
      </c>
      <c r="B19" s="271"/>
      <c r="C19" s="271"/>
      <c r="D19" s="271"/>
      <c r="E19" s="271"/>
      <c r="F19" s="271"/>
      <c r="G19" s="271"/>
      <c r="H19" s="271"/>
      <c r="I19" s="271"/>
      <c r="J19" s="271"/>
      <c r="K19" s="271"/>
      <c r="L19" s="271"/>
      <c r="M19" s="271"/>
      <c r="N19" s="272"/>
    </row>
    <row r="20" spans="1:14" s="82" customFormat="1" ht="24.95" customHeight="1" x14ac:dyDescent="0.2">
      <c r="A20" s="108">
        <v>5</v>
      </c>
      <c r="B20" s="62" t="s">
        <v>406</v>
      </c>
      <c r="C20" s="161" t="s">
        <v>469</v>
      </c>
      <c r="D20" s="132" t="s">
        <v>607</v>
      </c>
      <c r="E20" s="129" t="s">
        <v>233</v>
      </c>
      <c r="F20" s="26" t="s">
        <v>647</v>
      </c>
      <c r="G20" s="26" t="s">
        <v>648</v>
      </c>
      <c r="H20" s="9">
        <v>170000</v>
      </c>
      <c r="I20" s="112">
        <f>H20*2.87%</f>
        <v>4879</v>
      </c>
      <c r="J20" s="112">
        <f>162625*3.04%</f>
        <v>4943.8</v>
      </c>
      <c r="K20" s="5">
        <v>28627.24</v>
      </c>
      <c r="L20" s="111">
        <v>25</v>
      </c>
      <c r="M20" s="112">
        <f>SUM(I20:L20)</f>
        <v>38475.040000000001</v>
      </c>
      <c r="N20" s="111">
        <f>+H20-M20</f>
        <v>131524.96</v>
      </c>
    </row>
    <row r="21" spans="1:14" s="71" customFormat="1" ht="24.95" customHeight="1" x14ac:dyDescent="0.2">
      <c r="A21" s="202">
        <f>+A20+1</f>
        <v>6</v>
      </c>
      <c r="B21" s="222" t="s">
        <v>409</v>
      </c>
      <c r="C21" s="219" t="s">
        <v>469</v>
      </c>
      <c r="D21" s="203" t="s">
        <v>157</v>
      </c>
      <c r="E21" s="203" t="s">
        <v>233</v>
      </c>
      <c r="F21" s="149" t="s">
        <v>544</v>
      </c>
      <c r="G21" s="2" t="s">
        <v>619</v>
      </c>
      <c r="H21" s="9">
        <v>70000</v>
      </c>
      <c r="I21" s="220">
        <f>H21*2.87%</f>
        <v>2009</v>
      </c>
      <c r="J21" s="220">
        <f>+H21*3.04%</f>
        <v>2128</v>
      </c>
      <c r="K21" s="220">
        <v>5368.48</v>
      </c>
      <c r="L21" s="221">
        <v>25</v>
      </c>
      <c r="M21" s="220">
        <f>SUM(I21:L21)</f>
        <v>9530.48</v>
      </c>
      <c r="N21" s="221">
        <f>+H21-M21</f>
        <v>60469.520000000004</v>
      </c>
    </row>
    <row r="22" spans="1:14" s="71" customFormat="1" ht="24.95" customHeight="1" x14ac:dyDescent="0.2">
      <c r="A22" s="133">
        <f>A21+1</f>
        <v>7</v>
      </c>
      <c r="B22" s="5" t="s">
        <v>649</v>
      </c>
      <c r="C22" s="160" t="s">
        <v>469</v>
      </c>
      <c r="D22" s="132" t="s">
        <v>157</v>
      </c>
      <c r="E22" s="203" t="s">
        <v>233</v>
      </c>
      <c r="F22" s="131" t="s">
        <v>580</v>
      </c>
      <c r="G22" s="5" t="s">
        <v>633</v>
      </c>
      <c r="H22" s="128">
        <v>70000</v>
      </c>
      <c r="I22" s="64">
        <f>H22*2.87%</f>
        <v>2009</v>
      </c>
      <c r="J22" s="64">
        <f>+H22*3.04%</f>
        <v>2128</v>
      </c>
      <c r="K22" s="64">
        <v>5368.48</v>
      </c>
      <c r="L22" s="70">
        <f>25+886.92</f>
        <v>911.92</v>
      </c>
      <c r="M22" s="64">
        <f>I22+J22+K22+L22</f>
        <v>10417.4</v>
      </c>
      <c r="N22" s="70">
        <f>H22-M22</f>
        <v>59582.6</v>
      </c>
    </row>
    <row r="23" spans="1:14" s="2" customFormat="1" ht="24.95" customHeight="1" x14ac:dyDescent="0.2">
      <c r="A23" s="261" t="s">
        <v>138</v>
      </c>
      <c r="B23" s="261"/>
      <c r="C23" s="261"/>
      <c r="D23" s="261"/>
      <c r="E23" s="261"/>
      <c r="F23" s="261"/>
      <c r="G23" s="261"/>
      <c r="H23" s="16">
        <f t="shared" ref="H23:M23" si="2">SUM(H20:H22)</f>
        <v>310000</v>
      </c>
      <c r="I23" s="16">
        <f t="shared" si="2"/>
        <v>8897</v>
      </c>
      <c r="J23" s="16">
        <f t="shared" si="2"/>
        <v>9199.7999999999993</v>
      </c>
      <c r="K23" s="16">
        <f t="shared" si="2"/>
        <v>39364.199999999997</v>
      </c>
      <c r="L23" s="16">
        <f t="shared" si="2"/>
        <v>961.92</v>
      </c>
      <c r="M23" s="16">
        <f t="shared" si="2"/>
        <v>58422.920000000006</v>
      </c>
      <c r="N23" s="16">
        <f>SUM(N20:N22)</f>
        <v>251577.08</v>
      </c>
    </row>
    <row r="24" spans="1:14" s="2" customFormat="1" ht="15.75" customHeight="1" thickBot="1" x14ac:dyDescent="0.25">
      <c r="A24" s="65"/>
      <c r="B24" s="65"/>
      <c r="C24" s="65"/>
      <c r="D24" s="65"/>
      <c r="E24" s="65"/>
      <c r="F24" s="65"/>
      <c r="G24" s="65"/>
      <c r="H24" s="6"/>
      <c r="I24" s="6"/>
      <c r="J24" s="6"/>
      <c r="K24" s="6"/>
      <c r="L24" s="6"/>
      <c r="M24" s="6"/>
      <c r="N24" s="6"/>
    </row>
    <row r="25" spans="1:14" s="2" customFormat="1" ht="24.95" customHeight="1" thickBot="1" x14ac:dyDescent="0.25">
      <c r="A25" s="262" t="s">
        <v>480</v>
      </c>
      <c r="B25" s="263"/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4"/>
    </row>
    <row r="26" spans="1:14" s="82" customFormat="1" ht="28.5" customHeight="1" x14ac:dyDescent="0.2">
      <c r="A26" s="113">
        <f>A22+1</f>
        <v>8</v>
      </c>
      <c r="B26" s="201" t="s">
        <v>481</v>
      </c>
      <c r="C26" s="202" t="s">
        <v>470</v>
      </c>
      <c r="D26" s="203" t="s">
        <v>482</v>
      </c>
      <c r="E26" s="129" t="s">
        <v>233</v>
      </c>
      <c r="F26" s="134" t="s">
        <v>579</v>
      </c>
      <c r="G26" s="134" t="s">
        <v>652</v>
      </c>
      <c r="H26" s="10">
        <v>130000</v>
      </c>
      <c r="I26" s="8">
        <f>H26*2.87%</f>
        <v>3731</v>
      </c>
      <c r="J26" s="8">
        <f>+H26*3.04%</f>
        <v>3952</v>
      </c>
      <c r="K26" s="5">
        <v>19162.12</v>
      </c>
      <c r="L26" s="9">
        <v>25</v>
      </c>
      <c r="M26" s="8">
        <f>SUM(I26:L26)</f>
        <v>26870.12</v>
      </c>
      <c r="N26" s="9">
        <f>+H26-M26</f>
        <v>103129.88</v>
      </c>
    </row>
    <row r="27" spans="1:14" s="6" customFormat="1" ht="24.95" customHeight="1" x14ac:dyDescent="0.2">
      <c r="A27" s="261" t="s">
        <v>138</v>
      </c>
      <c r="B27" s="261"/>
      <c r="C27" s="261"/>
      <c r="D27" s="261"/>
      <c r="E27" s="261"/>
      <c r="F27" s="261"/>
      <c r="G27" s="261"/>
      <c r="H27" s="16">
        <f>SUM(H26)</f>
        <v>130000</v>
      </c>
      <c r="I27" s="16">
        <f t="shared" ref="I27:N27" si="3">SUM(I26)</f>
        <v>3731</v>
      </c>
      <c r="J27" s="16">
        <f t="shared" si="3"/>
        <v>3952</v>
      </c>
      <c r="K27" s="16">
        <f t="shared" si="3"/>
        <v>19162.12</v>
      </c>
      <c r="L27" s="16">
        <f t="shared" si="3"/>
        <v>25</v>
      </c>
      <c r="M27" s="16">
        <f t="shared" si="3"/>
        <v>26870.12</v>
      </c>
      <c r="N27" s="16">
        <f t="shared" si="3"/>
        <v>103129.88</v>
      </c>
    </row>
    <row r="28" spans="1:14" s="6" customFormat="1" ht="24.95" customHeight="1" thickBot="1" x14ac:dyDescent="0.25">
      <c r="A28" s="65"/>
      <c r="B28" s="65"/>
      <c r="C28" s="65"/>
      <c r="D28" s="65"/>
      <c r="E28" s="65"/>
      <c r="F28" s="65"/>
      <c r="G28" s="65"/>
    </row>
    <row r="29" spans="1:14" s="2" customFormat="1" ht="24.95" customHeight="1" thickBot="1" x14ac:dyDescent="0.25">
      <c r="A29" s="270" t="s">
        <v>410</v>
      </c>
      <c r="B29" s="271"/>
      <c r="C29" s="271"/>
      <c r="D29" s="271"/>
      <c r="E29" s="271"/>
      <c r="F29" s="271"/>
      <c r="G29" s="271"/>
      <c r="H29" s="271"/>
      <c r="I29" s="271"/>
      <c r="J29" s="271"/>
      <c r="K29" s="271"/>
      <c r="L29" s="271"/>
      <c r="M29" s="271"/>
      <c r="N29" s="272"/>
    </row>
    <row r="30" spans="1:14" s="2" customFormat="1" ht="24.95" customHeight="1" x14ac:dyDescent="0.2">
      <c r="A30" s="133">
        <f>+A26+1</f>
        <v>9</v>
      </c>
      <c r="B30" s="5" t="s">
        <v>408</v>
      </c>
      <c r="C30" s="161" t="s">
        <v>469</v>
      </c>
      <c r="D30" s="129" t="s">
        <v>630</v>
      </c>
      <c r="E30" s="129" t="s">
        <v>233</v>
      </c>
      <c r="F30" s="148" t="s">
        <v>573</v>
      </c>
      <c r="G30" s="148" t="s">
        <v>632</v>
      </c>
      <c r="H30" s="9">
        <v>100000</v>
      </c>
      <c r="I30" s="112">
        <f>H30*2.87%</f>
        <v>2870</v>
      </c>
      <c r="J30" s="112">
        <f>+H30*3.04%</f>
        <v>3040</v>
      </c>
      <c r="K30" s="112">
        <v>12105.37</v>
      </c>
      <c r="L30" s="111">
        <f>12560.42+10000</f>
        <v>22560.42</v>
      </c>
      <c r="M30" s="112">
        <f>SUM(I30:L30)</f>
        <v>40575.79</v>
      </c>
      <c r="N30" s="111">
        <f>+H30-M30</f>
        <v>59424.21</v>
      </c>
    </row>
    <row r="31" spans="1:14" s="71" customFormat="1" ht="27" customHeight="1" x14ac:dyDescent="0.2">
      <c r="A31" s="12">
        <f>A30+1</f>
        <v>10</v>
      </c>
      <c r="B31" s="8" t="s">
        <v>411</v>
      </c>
      <c r="C31" s="161" t="s">
        <v>470</v>
      </c>
      <c r="D31" s="129" t="s">
        <v>160</v>
      </c>
      <c r="E31" s="129" t="s">
        <v>233</v>
      </c>
      <c r="F31" s="26" t="s">
        <v>580</v>
      </c>
      <c r="G31" s="26" t="s">
        <v>633</v>
      </c>
      <c r="H31" s="9">
        <v>90000</v>
      </c>
      <c r="I31" s="112">
        <f>H31*2.87%</f>
        <v>2583</v>
      </c>
      <c r="J31" s="112">
        <f>+H31*3.04%</f>
        <v>2736</v>
      </c>
      <c r="K31" s="112">
        <v>9753.1200000000008</v>
      </c>
      <c r="L31" s="111">
        <v>900</v>
      </c>
      <c r="M31" s="112">
        <f>SUM(I31:L31)</f>
        <v>15972.12</v>
      </c>
      <c r="N31" s="111">
        <f>+H31-M31</f>
        <v>74027.88</v>
      </c>
    </row>
    <row r="32" spans="1:14" s="71" customFormat="1" ht="32.25" customHeight="1" x14ac:dyDescent="0.2">
      <c r="A32" s="12">
        <f>+A31+1</f>
        <v>11</v>
      </c>
      <c r="B32" s="8" t="s">
        <v>557</v>
      </c>
      <c r="C32" s="161" t="s">
        <v>469</v>
      </c>
      <c r="D32" s="129" t="s">
        <v>558</v>
      </c>
      <c r="E32" s="129" t="s">
        <v>233</v>
      </c>
      <c r="F32" s="26" t="s">
        <v>572</v>
      </c>
      <c r="G32" s="26" t="s">
        <v>650</v>
      </c>
      <c r="H32" s="9">
        <v>60000</v>
      </c>
      <c r="I32" s="112">
        <f>H32*2.87%</f>
        <v>1722</v>
      </c>
      <c r="J32" s="112">
        <f>+H32*3.04%</f>
        <v>1824</v>
      </c>
      <c r="K32" s="112">
        <v>3486.68</v>
      </c>
      <c r="L32" s="111">
        <v>911.92</v>
      </c>
      <c r="M32" s="112">
        <f>SUM(I32:L32)</f>
        <v>7944.6</v>
      </c>
      <c r="N32" s="111">
        <f>+H32-M32</f>
        <v>52055.4</v>
      </c>
    </row>
    <row r="33" spans="1:14" s="2" customFormat="1" ht="24.95" customHeight="1" x14ac:dyDescent="0.2">
      <c r="A33" s="261" t="s">
        <v>138</v>
      </c>
      <c r="B33" s="261"/>
      <c r="C33" s="261"/>
      <c r="D33" s="261"/>
      <c r="E33" s="261"/>
      <c r="F33" s="261"/>
      <c r="G33" s="261"/>
      <c r="H33" s="16">
        <f t="shared" ref="H33:N33" si="4">SUM(H30:H32)</f>
        <v>250000</v>
      </c>
      <c r="I33" s="16">
        <f t="shared" si="4"/>
        <v>7175</v>
      </c>
      <c r="J33" s="16">
        <f t="shared" si="4"/>
        <v>7600</v>
      </c>
      <c r="K33" s="16">
        <f t="shared" si="4"/>
        <v>25345.170000000002</v>
      </c>
      <c r="L33" s="16">
        <f t="shared" si="4"/>
        <v>24372.339999999997</v>
      </c>
      <c r="M33" s="16">
        <f t="shared" si="4"/>
        <v>64492.51</v>
      </c>
      <c r="N33" s="16">
        <f t="shared" si="4"/>
        <v>185507.49</v>
      </c>
    </row>
    <row r="34" spans="1:14" s="6" customFormat="1" ht="15" customHeight="1" thickBot="1" x14ac:dyDescent="0.25">
      <c r="A34" s="65"/>
      <c r="B34" s="65"/>
      <c r="C34" s="65"/>
      <c r="D34" s="65"/>
      <c r="E34" s="65"/>
      <c r="F34" s="65"/>
      <c r="G34" s="65"/>
    </row>
    <row r="35" spans="1:14" s="2" customFormat="1" ht="24.95" customHeight="1" x14ac:dyDescent="0.2">
      <c r="A35" s="276" t="s">
        <v>104</v>
      </c>
      <c r="B35" s="280"/>
      <c r="C35" s="280"/>
      <c r="D35" s="280"/>
      <c r="E35" s="280"/>
      <c r="F35" s="280"/>
      <c r="G35" s="280"/>
      <c r="H35" s="280"/>
      <c r="I35" s="280"/>
      <c r="J35" s="280"/>
      <c r="K35" s="280"/>
      <c r="L35" s="280"/>
      <c r="M35" s="280"/>
      <c r="N35" s="281"/>
    </row>
    <row r="36" spans="1:14" s="82" customFormat="1" ht="35.25" customHeight="1" x14ac:dyDescent="0.2">
      <c r="A36" s="133">
        <f>+A32+1</f>
        <v>12</v>
      </c>
      <c r="B36" s="134" t="s">
        <v>412</v>
      </c>
      <c r="C36" s="133" t="s">
        <v>470</v>
      </c>
      <c r="D36" s="132" t="s">
        <v>506</v>
      </c>
      <c r="E36" s="132" t="s">
        <v>233</v>
      </c>
      <c r="F36" s="131" t="s">
        <v>545</v>
      </c>
      <c r="G36" s="5" t="s">
        <v>618</v>
      </c>
      <c r="H36" s="5">
        <v>110000</v>
      </c>
      <c r="I36" s="64">
        <f>H36*2.87%</f>
        <v>3157</v>
      </c>
      <c r="J36" s="64">
        <f>+H36*3.04%</f>
        <v>3344</v>
      </c>
      <c r="K36" s="5">
        <v>14457.62</v>
      </c>
      <c r="L36" s="70">
        <v>25</v>
      </c>
      <c r="M36" s="64">
        <f>SUM(I36:L36)</f>
        <v>20983.620000000003</v>
      </c>
      <c r="N36" s="70">
        <f>+H36-M36</f>
        <v>89016.38</v>
      </c>
    </row>
    <row r="37" spans="1:14" s="82" customFormat="1" ht="35.25" customHeight="1" x14ac:dyDescent="0.2">
      <c r="A37" s="69">
        <f>+A36+1</f>
        <v>13</v>
      </c>
      <c r="B37" s="134" t="s">
        <v>483</v>
      </c>
      <c r="C37" s="133" t="s">
        <v>470</v>
      </c>
      <c r="D37" s="132" t="s">
        <v>312</v>
      </c>
      <c r="E37" s="132" t="s">
        <v>233</v>
      </c>
      <c r="F37" s="26" t="s">
        <v>578</v>
      </c>
      <c r="G37" s="26" t="s">
        <v>648</v>
      </c>
      <c r="H37" s="8">
        <v>70000</v>
      </c>
      <c r="I37" s="112">
        <f>H37*2.87%</f>
        <v>2009</v>
      </c>
      <c r="J37" s="112">
        <f>+H37*3.04%</f>
        <v>2128</v>
      </c>
      <c r="K37" s="112">
        <v>5368.45</v>
      </c>
      <c r="L37" s="111">
        <v>25</v>
      </c>
      <c r="M37" s="112">
        <f>SUM(I37:L37)</f>
        <v>9530.4500000000007</v>
      </c>
      <c r="N37" s="111">
        <f>+H37-M37</f>
        <v>60469.55</v>
      </c>
    </row>
    <row r="38" spans="1:14" s="6" customFormat="1" ht="24.95" customHeight="1" x14ac:dyDescent="0.2">
      <c r="A38" s="261" t="s">
        <v>138</v>
      </c>
      <c r="B38" s="261"/>
      <c r="C38" s="261"/>
      <c r="D38" s="261"/>
      <c r="E38" s="261"/>
      <c r="F38" s="261"/>
      <c r="G38" s="261"/>
      <c r="H38" s="16">
        <f>SUM(H36:H37)</f>
        <v>180000</v>
      </c>
      <c r="I38" s="16">
        <f t="shared" ref="I38:N38" si="5">SUM(I36:I37)</f>
        <v>5166</v>
      </c>
      <c r="J38" s="16">
        <f t="shared" si="5"/>
        <v>5472</v>
      </c>
      <c r="K38" s="16">
        <f t="shared" si="5"/>
        <v>19826.07</v>
      </c>
      <c r="L38" s="16">
        <f t="shared" si="5"/>
        <v>50</v>
      </c>
      <c r="M38" s="16">
        <f t="shared" si="5"/>
        <v>30514.070000000003</v>
      </c>
      <c r="N38" s="16">
        <f t="shared" si="5"/>
        <v>149485.93</v>
      </c>
    </row>
    <row r="39" spans="1:14" s="82" customFormat="1" ht="24.95" customHeight="1" thickBot="1" x14ac:dyDescent="0.25">
      <c r="A39" s="223"/>
      <c r="B39" s="223"/>
      <c r="C39" s="223"/>
      <c r="D39" s="223"/>
      <c r="E39" s="223"/>
      <c r="F39" s="223"/>
      <c r="G39" s="223"/>
    </row>
    <row r="40" spans="1:14" s="2" customFormat="1" ht="24.95" customHeight="1" thickBot="1" x14ac:dyDescent="0.25">
      <c r="A40" s="262" t="s">
        <v>170</v>
      </c>
      <c r="B40" s="263"/>
      <c r="C40" s="263"/>
      <c r="D40" s="263"/>
      <c r="E40" s="263"/>
      <c r="F40" s="263"/>
      <c r="G40" s="263"/>
      <c r="H40" s="263"/>
      <c r="I40" s="263"/>
      <c r="J40" s="263"/>
      <c r="K40" s="263"/>
      <c r="L40" s="263"/>
      <c r="M40" s="263"/>
      <c r="N40" s="264"/>
    </row>
    <row r="41" spans="1:14" s="82" customFormat="1" ht="24.95" customHeight="1" x14ac:dyDescent="0.2">
      <c r="A41" s="108">
        <f>+A37+1</f>
        <v>14</v>
      </c>
      <c r="B41" s="1" t="s">
        <v>141</v>
      </c>
      <c r="C41" s="4" t="s">
        <v>469</v>
      </c>
      <c r="D41" s="129" t="s">
        <v>57</v>
      </c>
      <c r="E41" s="129" t="s">
        <v>233</v>
      </c>
      <c r="F41" s="26" t="s">
        <v>578</v>
      </c>
      <c r="G41" s="26" t="s">
        <v>648</v>
      </c>
      <c r="H41" s="8">
        <v>80000</v>
      </c>
      <c r="I41" s="112">
        <f>H41*2.87%</f>
        <v>2296</v>
      </c>
      <c r="J41" s="112">
        <f>+H41*3.04%</f>
        <v>2432</v>
      </c>
      <c r="K41" s="5">
        <v>7400.87</v>
      </c>
      <c r="L41" s="111">
        <v>25</v>
      </c>
      <c r="M41" s="112">
        <f>SUM(I41:L41)</f>
        <v>12153.869999999999</v>
      </c>
      <c r="N41" s="111">
        <f>+H41-M41</f>
        <v>67846.13</v>
      </c>
    </row>
    <row r="42" spans="1:14" s="6" customFormat="1" ht="24.95" customHeight="1" x14ac:dyDescent="0.2">
      <c r="A42" s="261" t="s">
        <v>138</v>
      </c>
      <c r="B42" s="261"/>
      <c r="C42" s="261"/>
      <c r="D42" s="261"/>
      <c r="E42" s="261"/>
      <c r="F42" s="261"/>
      <c r="G42" s="261"/>
      <c r="H42" s="16">
        <f>SUM(H41)</f>
        <v>80000</v>
      </c>
      <c r="I42" s="16">
        <f t="shared" ref="I42:N42" si="6">SUM(I41)</f>
        <v>2296</v>
      </c>
      <c r="J42" s="16">
        <f t="shared" si="6"/>
        <v>2432</v>
      </c>
      <c r="K42" s="16">
        <f t="shared" si="6"/>
        <v>7400.87</v>
      </c>
      <c r="L42" s="16">
        <f t="shared" si="6"/>
        <v>25</v>
      </c>
      <c r="M42" s="16">
        <f t="shared" si="6"/>
        <v>12153.869999999999</v>
      </c>
      <c r="N42" s="16">
        <f t="shared" si="6"/>
        <v>67846.13</v>
      </c>
    </row>
    <row r="43" spans="1:14" s="6" customFormat="1" ht="18.75" customHeight="1" thickBot="1" x14ac:dyDescent="0.25">
      <c r="A43" s="65"/>
      <c r="B43" s="65"/>
      <c r="C43" s="65"/>
      <c r="D43" s="65"/>
      <c r="E43" s="65"/>
      <c r="F43" s="65"/>
      <c r="G43" s="65"/>
    </row>
    <row r="44" spans="1:14" s="2" customFormat="1" ht="24.95" customHeight="1" thickBot="1" x14ac:dyDescent="0.25">
      <c r="A44" s="262" t="s">
        <v>171</v>
      </c>
      <c r="B44" s="263"/>
      <c r="C44" s="263"/>
      <c r="D44" s="263"/>
      <c r="E44" s="263"/>
      <c r="F44" s="263"/>
      <c r="G44" s="263"/>
      <c r="H44" s="263"/>
      <c r="I44" s="263"/>
      <c r="J44" s="263"/>
      <c r="K44" s="263"/>
      <c r="L44" s="263"/>
      <c r="M44" s="263"/>
      <c r="N44" s="264"/>
    </row>
    <row r="45" spans="1:14" s="82" customFormat="1" ht="30.75" customHeight="1" x14ac:dyDescent="0.2">
      <c r="A45" s="108">
        <f>+A41+1</f>
        <v>15</v>
      </c>
      <c r="B45" s="148" t="s">
        <v>235</v>
      </c>
      <c r="C45" s="12" t="s">
        <v>470</v>
      </c>
      <c r="D45" s="129" t="s">
        <v>161</v>
      </c>
      <c r="E45" s="129" t="s">
        <v>233</v>
      </c>
      <c r="F45" s="131" t="s">
        <v>545</v>
      </c>
      <c r="G45" s="131" t="s">
        <v>618</v>
      </c>
      <c r="H45" s="8">
        <v>70000</v>
      </c>
      <c r="I45" s="112">
        <f>H45*2.87%</f>
        <v>2009</v>
      </c>
      <c r="J45" s="112">
        <f>+H45*3.04%</f>
        <v>2128</v>
      </c>
      <c r="K45" s="112">
        <v>5368.45</v>
      </c>
      <c r="L45" s="111">
        <v>1025</v>
      </c>
      <c r="M45" s="112">
        <f>SUM(I45:L45)</f>
        <v>10530.45</v>
      </c>
      <c r="N45" s="111">
        <f>+H45-M45</f>
        <v>59469.55</v>
      </c>
    </row>
    <row r="46" spans="1:14" s="82" customFormat="1" ht="27" customHeight="1" x14ac:dyDescent="0.2">
      <c r="A46" s="108">
        <f>+A45+1</f>
        <v>16</v>
      </c>
      <c r="B46" s="131" t="s">
        <v>484</v>
      </c>
      <c r="C46" s="133" t="s">
        <v>470</v>
      </c>
      <c r="D46" s="132" t="s">
        <v>161</v>
      </c>
      <c r="E46" s="132" t="s">
        <v>233</v>
      </c>
      <c r="F46" s="26" t="s">
        <v>578</v>
      </c>
      <c r="G46" s="26" t="s">
        <v>648</v>
      </c>
      <c r="H46" s="8">
        <v>70000</v>
      </c>
      <c r="I46" s="112">
        <f>H46*2.87%</f>
        <v>2009</v>
      </c>
      <c r="J46" s="112">
        <f>+H46*3.04%</f>
        <v>2128</v>
      </c>
      <c r="K46" s="112">
        <v>5368.48</v>
      </c>
      <c r="L46" s="111">
        <v>25</v>
      </c>
      <c r="M46" s="112">
        <f>SUM(I46:L46)</f>
        <v>9530.48</v>
      </c>
      <c r="N46" s="111">
        <f>+H46-M46</f>
        <v>60469.520000000004</v>
      </c>
    </row>
    <row r="47" spans="1:14" s="82" customFormat="1" ht="36.75" customHeight="1" x14ac:dyDescent="0.2">
      <c r="A47" s="108">
        <f>+A46+1</f>
        <v>17</v>
      </c>
      <c r="B47" s="208" t="s">
        <v>413</v>
      </c>
      <c r="C47" s="69" t="s">
        <v>470</v>
      </c>
      <c r="D47" s="115" t="s">
        <v>161</v>
      </c>
      <c r="E47" s="115" t="s">
        <v>233</v>
      </c>
      <c r="F47" s="110" t="s">
        <v>573</v>
      </c>
      <c r="G47" s="110" t="s">
        <v>632</v>
      </c>
      <c r="H47" s="210">
        <v>60000</v>
      </c>
      <c r="I47" s="8">
        <f>H47*2.87%</f>
        <v>1722</v>
      </c>
      <c r="J47" s="8">
        <f>+H47*3.04%</f>
        <v>1824</v>
      </c>
      <c r="K47" s="112">
        <v>3486.65</v>
      </c>
      <c r="L47" s="111">
        <v>2025</v>
      </c>
      <c r="M47" s="112">
        <f>SUM(I47:L47)</f>
        <v>9057.65</v>
      </c>
      <c r="N47" s="111">
        <f>+H47-M47</f>
        <v>50942.35</v>
      </c>
    </row>
    <row r="48" spans="1:14" s="6" customFormat="1" ht="24.75" customHeight="1" x14ac:dyDescent="0.2">
      <c r="A48" s="261" t="s">
        <v>138</v>
      </c>
      <c r="B48" s="261"/>
      <c r="C48" s="261"/>
      <c r="D48" s="261"/>
      <c r="E48" s="261"/>
      <c r="F48" s="261"/>
      <c r="G48" s="261"/>
      <c r="H48" s="16">
        <f t="shared" ref="H48:N48" si="7">SUM(H45:H47)</f>
        <v>200000</v>
      </c>
      <c r="I48" s="16">
        <f t="shared" si="7"/>
        <v>5740</v>
      </c>
      <c r="J48" s="16">
        <f t="shared" si="7"/>
        <v>6080</v>
      </c>
      <c r="K48" s="16">
        <f t="shared" si="7"/>
        <v>14223.58</v>
      </c>
      <c r="L48" s="16">
        <f t="shared" si="7"/>
        <v>3075</v>
      </c>
      <c r="M48" s="16">
        <f t="shared" si="7"/>
        <v>29118.58</v>
      </c>
      <c r="N48" s="16">
        <f t="shared" si="7"/>
        <v>170881.42</v>
      </c>
    </row>
    <row r="49" spans="1:14" s="6" customFormat="1" ht="14.25" customHeight="1" x14ac:dyDescent="0.2">
      <c r="A49" s="65"/>
      <c r="B49" s="65"/>
      <c r="C49" s="65"/>
      <c r="D49" s="65"/>
      <c r="E49" s="65"/>
      <c r="F49" s="65"/>
      <c r="G49" s="65"/>
    </row>
    <row r="50" spans="1:14" s="6" customFormat="1" ht="16.5" customHeight="1" thickBot="1" x14ac:dyDescent="0.25">
      <c r="A50" s="65"/>
      <c r="B50" s="65"/>
      <c r="C50" s="65"/>
      <c r="D50" s="65"/>
      <c r="E50" s="65"/>
      <c r="F50" s="65"/>
      <c r="G50" s="65"/>
    </row>
    <row r="51" spans="1:14" s="6" customFormat="1" ht="23.25" customHeight="1" thickBot="1" x14ac:dyDescent="0.25">
      <c r="A51" s="270" t="s">
        <v>174</v>
      </c>
      <c r="B51" s="271"/>
      <c r="C51" s="271"/>
      <c r="D51" s="271"/>
      <c r="E51" s="271"/>
      <c r="F51" s="271"/>
      <c r="G51" s="271"/>
      <c r="H51" s="271"/>
      <c r="I51" s="271"/>
      <c r="J51" s="271"/>
      <c r="K51" s="271"/>
      <c r="L51" s="271"/>
      <c r="M51" s="271"/>
      <c r="N51" s="272"/>
    </row>
    <row r="52" spans="1:14" s="6" customFormat="1" ht="28.5" customHeight="1" x14ac:dyDescent="0.2">
      <c r="A52" s="12">
        <f>A47+1</f>
        <v>18</v>
      </c>
      <c r="B52" s="5" t="s">
        <v>514</v>
      </c>
      <c r="C52" s="161" t="s">
        <v>469</v>
      </c>
      <c r="D52" s="129" t="s">
        <v>161</v>
      </c>
      <c r="E52" s="129" t="s">
        <v>233</v>
      </c>
      <c r="F52" s="26" t="s">
        <v>515</v>
      </c>
      <c r="G52" s="26" t="s">
        <v>614</v>
      </c>
      <c r="H52" s="9">
        <v>60000</v>
      </c>
      <c r="I52" s="8">
        <f>H52*2.87%</f>
        <v>1722</v>
      </c>
      <c r="J52" s="8">
        <f>+H52*3.04%</f>
        <v>1824</v>
      </c>
      <c r="K52" s="205">
        <v>3486.68</v>
      </c>
      <c r="L52" s="9">
        <v>2525</v>
      </c>
      <c r="M52" s="8">
        <f>SUM(I52:L52)</f>
        <v>9557.68</v>
      </c>
      <c r="N52" s="9">
        <f>+H52-M52</f>
        <v>50442.32</v>
      </c>
    </row>
    <row r="53" spans="1:14" s="6" customFormat="1" ht="23.25" customHeight="1" x14ac:dyDescent="0.2">
      <c r="A53" s="261" t="s">
        <v>138</v>
      </c>
      <c r="B53" s="261"/>
      <c r="C53" s="261"/>
      <c r="D53" s="261"/>
      <c r="E53" s="261"/>
      <c r="F53" s="261"/>
      <c r="G53" s="261"/>
      <c r="H53" s="16">
        <f>SUM(H52)</f>
        <v>60000</v>
      </c>
      <c r="I53" s="16">
        <f t="shared" ref="I53:N53" si="8">SUM(I52)</f>
        <v>1722</v>
      </c>
      <c r="J53" s="16">
        <f t="shared" si="8"/>
        <v>1824</v>
      </c>
      <c r="K53" s="16">
        <f t="shared" si="8"/>
        <v>3486.68</v>
      </c>
      <c r="L53" s="16">
        <f t="shared" si="8"/>
        <v>2525</v>
      </c>
      <c r="M53" s="16">
        <f t="shared" si="8"/>
        <v>9557.68</v>
      </c>
      <c r="N53" s="16">
        <f t="shared" si="8"/>
        <v>50442.32</v>
      </c>
    </row>
    <row r="54" spans="1:14" s="6" customFormat="1" ht="23.25" customHeight="1" thickBot="1" x14ac:dyDescent="0.25">
      <c r="A54" s="65"/>
      <c r="B54" s="65"/>
      <c r="C54" s="65"/>
      <c r="D54" s="65"/>
      <c r="E54" s="65"/>
      <c r="F54" s="65"/>
      <c r="G54" s="65"/>
      <c r="J54" s="82"/>
      <c r="K54" s="82"/>
      <c r="L54" s="82"/>
      <c r="M54" s="82"/>
      <c r="N54" s="82"/>
    </row>
    <row r="55" spans="1:14" s="6" customFormat="1" ht="23.25" customHeight="1" thickBot="1" x14ac:dyDescent="0.25">
      <c r="A55" s="270" t="s">
        <v>560</v>
      </c>
      <c r="B55" s="271"/>
      <c r="C55" s="271"/>
      <c r="D55" s="271"/>
      <c r="E55" s="271"/>
      <c r="F55" s="271"/>
      <c r="G55" s="271"/>
      <c r="H55" s="271"/>
      <c r="I55" s="271"/>
      <c r="J55" s="271"/>
      <c r="K55" s="271"/>
      <c r="L55" s="271"/>
      <c r="M55" s="271"/>
      <c r="N55" s="272"/>
    </row>
    <row r="56" spans="1:14" s="6" customFormat="1" ht="29.25" customHeight="1" x14ac:dyDescent="0.2">
      <c r="A56" s="12">
        <f>+A52+1</f>
        <v>19</v>
      </c>
      <c r="B56" s="5" t="s">
        <v>559</v>
      </c>
      <c r="C56" s="161" t="s">
        <v>470</v>
      </c>
      <c r="D56" s="129" t="s">
        <v>161</v>
      </c>
      <c r="E56" s="129" t="s">
        <v>233</v>
      </c>
      <c r="F56" s="26" t="s">
        <v>572</v>
      </c>
      <c r="G56" s="26" t="s">
        <v>650</v>
      </c>
      <c r="H56" s="9">
        <v>60000</v>
      </c>
      <c r="I56" s="8">
        <f>H56*2.87%</f>
        <v>1722</v>
      </c>
      <c r="J56" s="8">
        <f>+H56*3.04%</f>
        <v>1824</v>
      </c>
      <c r="K56" s="9">
        <v>3486.68</v>
      </c>
      <c r="L56" s="9">
        <v>25</v>
      </c>
      <c r="M56" s="8">
        <f>SUM(I56:L56)</f>
        <v>7057.68</v>
      </c>
      <c r="N56" s="9">
        <f>+H56-M56</f>
        <v>52942.32</v>
      </c>
    </row>
    <row r="57" spans="1:14" s="6" customFormat="1" ht="23.25" customHeight="1" x14ac:dyDescent="0.2">
      <c r="A57" s="261" t="s">
        <v>138</v>
      </c>
      <c r="B57" s="261"/>
      <c r="C57" s="261"/>
      <c r="D57" s="261"/>
      <c r="E57" s="261"/>
      <c r="F57" s="261"/>
      <c r="G57" s="261"/>
      <c r="H57" s="16">
        <f>SUM(H56)</f>
        <v>60000</v>
      </c>
      <c r="I57" s="16">
        <f t="shared" ref="I57:N57" si="9">SUM(I56)</f>
        <v>1722</v>
      </c>
      <c r="J57" s="16">
        <f t="shared" si="9"/>
        <v>1824</v>
      </c>
      <c r="K57" s="16">
        <f t="shared" si="9"/>
        <v>3486.68</v>
      </c>
      <c r="L57" s="16">
        <f t="shared" si="9"/>
        <v>25</v>
      </c>
      <c r="M57" s="16">
        <f t="shared" si="9"/>
        <v>7057.68</v>
      </c>
      <c r="N57" s="16">
        <f t="shared" si="9"/>
        <v>52942.32</v>
      </c>
    </row>
    <row r="58" spans="1:14" s="6" customFormat="1" ht="23.25" customHeight="1" x14ac:dyDescent="0.2">
      <c r="A58" s="65"/>
      <c r="B58" s="65"/>
      <c r="C58" s="65"/>
      <c r="D58" s="65"/>
      <c r="E58" s="65"/>
      <c r="F58" s="65"/>
      <c r="G58" s="65"/>
    </row>
    <row r="59" spans="1:14" s="2" customFormat="1" ht="12" customHeight="1" thickBot="1" x14ac:dyDescent="0.25">
      <c r="A59" s="65"/>
      <c r="B59" s="65"/>
      <c r="C59" s="65"/>
      <c r="D59" s="65"/>
      <c r="E59" s="65"/>
      <c r="F59" s="65"/>
      <c r="G59" s="65"/>
      <c r="H59" s="6"/>
      <c r="I59" s="6"/>
      <c r="J59" s="6"/>
      <c r="K59" s="6"/>
      <c r="L59" s="6"/>
      <c r="M59" s="6"/>
      <c r="N59" s="6"/>
    </row>
    <row r="60" spans="1:14" s="71" customFormat="1" ht="27" customHeight="1" thickBot="1" x14ac:dyDescent="0.25">
      <c r="A60" s="270" t="s">
        <v>213</v>
      </c>
      <c r="B60" s="271"/>
      <c r="C60" s="271"/>
      <c r="D60" s="271"/>
      <c r="E60" s="271"/>
      <c r="F60" s="271"/>
      <c r="G60" s="271"/>
      <c r="H60" s="271"/>
      <c r="I60" s="271"/>
      <c r="J60" s="271"/>
      <c r="K60" s="271"/>
      <c r="L60" s="271"/>
      <c r="M60" s="271"/>
      <c r="N60" s="272"/>
    </row>
    <row r="61" spans="1:14" s="71" customFormat="1" ht="39" customHeight="1" x14ac:dyDescent="0.2">
      <c r="A61" s="108">
        <f>A56+1</f>
        <v>20</v>
      </c>
      <c r="B61" s="5" t="s">
        <v>414</v>
      </c>
      <c r="C61" s="161" t="s">
        <v>470</v>
      </c>
      <c r="D61" s="129" t="s">
        <v>161</v>
      </c>
      <c r="E61" s="129" t="s">
        <v>233</v>
      </c>
      <c r="F61" s="26" t="s">
        <v>580</v>
      </c>
      <c r="G61" s="26" t="s">
        <v>633</v>
      </c>
      <c r="H61" s="9">
        <v>80000</v>
      </c>
      <c r="I61" s="112">
        <f>H61*2.87%</f>
        <v>2296</v>
      </c>
      <c r="J61" s="112">
        <f>+H61*3.04%</f>
        <v>2432</v>
      </c>
      <c r="K61" s="111">
        <v>7400.87</v>
      </c>
      <c r="L61" s="111">
        <f>25+9460.27</f>
        <v>9485.27</v>
      </c>
      <c r="M61" s="112">
        <f>SUM(I61:L61)</f>
        <v>21614.14</v>
      </c>
      <c r="N61" s="111">
        <f>+H61-M61</f>
        <v>58385.86</v>
      </c>
    </row>
    <row r="62" spans="1:14" s="71" customFormat="1" ht="39" customHeight="1" x14ac:dyDescent="0.2">
      <c r="A62" s="108">
        <f>+A61+1</f>
        <v>21</v>
      </c>
      <c r="B62" s="5" t="s">
        <v>415</v>
      </c>
      <c r="C62" s="161" t="s">
        <v>470</v>
      </c>
      <c r="D62" s="129" t="s">
        <v>161</v>
      </c>
      <c r="E62" s="129" t="s">
        <v>233</v>
      </c>
      <c r="F62" s="134" t="s">
        <v>672</v>
      </c>
      <c r="G62" s="134" t="s">
        <v>673</v>
      </c>
      <c r="H62" s="9">
        <v>70000</v>
      </c>
      <c r="I62" s="112">
        <f>H62*2.87%</f>
        <v>2009</v>
      </c>
      <c r="J62" s="112">
        <f>+H62*3.04%</f>
        <v>2128</v>
      </c>
      <c r="K62" s="111">
        <v>5368.45</v>
      </c>
      <c r="L62" s="111">
        <f>25+7892.55</f>
        <v>7917.55</v>
      </c>
      <c r="M62" s="112">
        <f>SUM(I62:L62)</f>
        <v>17423</v>
      </c>
      <c r="N62" s="111">
        <f>+H62-M62</f>
        <v>52577</v>
      </c>
    </row>
    <row r="63" spans="1:14" s="2" customFormat="1" ht="23.25" customHeight="1" x14ac:dyDescent="0.2">
      <c r="A63" s="261" t="s">
        <v>138</v>
      </c>
      <c r="B63" s="261"/>
      <c r="C63" s="261"/>
      <c r="D63" s="261"/>
      <c r="E63" s="261"/>
      <c r="F63" s="261"/>
      <c r="G63" s="261"/>
      <c r="H63" s="16">
        <f t="shared" ref="H63:M63" si="10">SUM(H61:H62)</f>
        <v>150000</v>
      </c>
      <c r="I63" s="16">
        <f t="shared" si="10"/>
        <v>4305</v>
      </c>
      <c r="J63" s="16">
        <f t="shared" si="10"/>
        <v>4560</v>
      </c>
      <c r="K63" s="16">
        <f t="shared" si="10"/>
        <v>12769.32</v>
      </c>
      <c r="L63" s="16">
        <f t="shared" si="10"/>
        <v>17402.82</v>
      </c>
      <c r="M63" s="16">
        <f t="shared" si="10"/>
        <v>39037.14</v>
      </c>
      <c r="N63" s="16">
        <f>SUM(N61:N62)</f>
        <v>110962.86</v>
      </c>
    </row>
    <row r="64" spans="1:14" s="6" customFormat="1" ht="24.75" customHeight="1" thickBot="1" x14ac:dyDescent="0.25">
      <c r="A64" s="65"/>
      <c r="B64" s="65"/>
      <c r="C64" s="65"/>
      <c r="D64" s="65"/>
      <c r="E64" s="65"/>
      <c r="F64" s="65"/>
      <c r="G64" s="65"/>
    </row>
    <row r="65" spans="1:14" s="82" customFormat="1" ht="30" customHeight="1" thickBot="1" x14ac:dyDescent="0.25">
      <c r="A65" s="270" t="s">
        <v>177</v>
      </c>
      <c r="B65" s="271"/>
      <c r="C65" s="271"/>
      <c r="D65" s="271"/>
      <c r="E65" s="271"/>
      <c r="F65" s="271"/>
      <c r="G65" s="271"/>
      <c r="H65" s="271"/>
      <c r="I65" s="271"/>
      <c r="J65" s="271"/>
      <c r="K65" s="271"/>
      <c r="L65" s="271"/>
      <c r="M65" s="271"/>
      <c r="N65" s="272"/>
    </row>
    <row r="66" spans="1:14" s="82" customFormat="1" ht="38.25" x14ac:dyDescent="0.2">
      <c r="A66" s="108">
        <f>A62+1</f>
        <v>22</v>
      </c>
      <c r="B66" s="5" t="s">
        <v>167</v>
      </c>
      <c r="C66" s="161" t="s">
        <v>469</v>
      </c>
      <c r="D66" s="129" t="s">
        <v>642</v>
      </c>
      <c r="E66" s="129" t="s">
        <v>233</v>
      </c>
      <c r="F66" s="26" t="s">
        <v>515</v>
      </c>
      <c r="G66" s="26" t="s">
        <v>614</v>
      </c>
      <c r="H66" s="9">
        <v>155000</v>
      </c>
      <c r="I66" s="112">
        <f>H66*2.87%</f>
        <v>4448.5</v>
      </c>
      <c r="J66" s="112">
        <f>+H66*3.04%</f>
        <v>4712</v>
      </c>
      <c r="K66" s="112">
        <v>25042.74</v>
      </c>
      <c r="L66" s="111">
        <v>25</v>
      </c>
      <c r="M66" s="112">
        <f>SUM(I66:L66)</f>
        <v>34228.240000000005</v>
      </c>
      <c r="N66" s="111">
        <f>+H66-M66</f>
        <v>120771.76</v>
      </c>
    </row>
    <row r="67" spans="1:14" s="6" customFormat="1" ht="31.5" customHeight="1" x14ac:dyDescent="0.2">
      <c r="A67" s="12">
        <f>A66+1</f>
        <v>23</v>
      </c>
      <c r="B67" s="5" t="s">
        <v>416</v>
      </c>
      <c r="C67" s="161" t="s">
        <v>469</v>
      </c>
      <c r="D67" s="129" t="s">
        <v>161</v>
      </c>
      <c r="E67" s="129" t="s">
        <v>233</v>
      </c>
      <c r="F67" s="134" t="s">
        <v>578</v>
      </c>
      <c r="G67" s="134" t="s">
        <v>648</v>
      </c>
      <c r="H67" s="9">
        <v>70000</v>
      </c>
      <c r="I67" s="112">
        <f>H67*2.87%</f>
        <v>2009</v>
      </c>
      <c r="J67" s="112">
        <f>+H67*3.04%</f>
        <v>2128</v>
      </c>
      <c r="K67" s="111">
        <v>5368.48</v>
      </c>
      <c r="L67" s="111">
        <f>25+10309.92+1773.84</f>
        <v>12108.76</v>
      </c>
      <c r="M67" s="112">
        <f>SUM(I67:L67)</f>
        <v>21614.239999999998</v>
      </c>
      <c r="N67" s="111">
        <f>+H67-M67</f>
        <v>48385.760000000002</v>
      </c>
    </row>
    <row r="68" spans="1:14" s="6" customFormat="1" ht="29.25" customHeight="1" x14ac:dyDescent="0.2">
      <c r="A68" s="12">
        <f>+A67+1</f>
        <v>24</v>
      </c>
      <c r="B68" s="5" t="s">
        <v>561</v>
      </c>
      <c r="C68" s="161" t="s">
        <v>470</v>
      </c>
      <c r="D68" s="129" t="s">
        <v>161</v>
      </c>
      <c r="E68" s="129" t="s">
        <v>233</v>
      </c>
      <c r="F68" s="134" t="s">
        <v>572</v>
      </c>
      <c r="G68" s="134" t="s">
        <v>650</v>
      </c>
      <c r="H68" s="9">
        <v>60000</v>
      </c>
      <c r="I68" s="112">
        <f>H68*2.87%</f>
        <v>1722</v>
      </c>
      <c r="J68" s="112">
        <f>+H68*3.04%</f>
        <v>1824</v>
      </c>
      <c r="K68" s="111">
        <v>3486.68</v>
      </c>
      <c r="L68" s="111">
        <v>25</v>
      </c>
      <c r="M68" s="112">
        <f>SUM(I68:L68)</f>
        <v>7057.68</v>
      </c>
      <c r="N68" s="111">
        <f>+H68-M68</f>
        <v>52942.32</v>
      </c>
    </row>
    <row r="69" spans="1:14" s="6" customFormat="1" ht="23.25" customHeight="1" x14ac:dyDescent="0.2">
      <c r="A69" s="261" t="s">
        <v>138</v>
      </c>
      <c r="B69" s="261"/>
      <c r="C69" s="261"/>
      <c r="D69" s="261"/>
      <c r="E69" s="261"/>
      <c r="F69" s="261"/>
      <c r="G69" s="261"/>
      <c r="H69" s="16">
        <f t="shared" ref="H69:N69" si="11">SUM(H66:H68)</f>
        <v>285000</v>
      </c>
      <c r="I69" s="16">
        <f t="shared" si="11"/>
        <v>8179.5</v>
      </c>
      <c r="J69" s="16">
        <f t="shared" si="11"/>
        <v>8664</v>
      </c>
      <c r="K69" s="16">
        <f t="shared" si="11"/>
        <v>33897.9</v>
      </c>
      <c r="L69" s="16">
        <f t="shared" si="11"/>
        <v>12158.76</v>
      </c>
      <c r="M69" s="16">
        <f t="shared" si="11"/>
        <v>62900.160000000003</v>
      </c>
      <c r="N69" s="16">
        <f t="shared" si="11"/>
        <v>222099.84</v>
      </c>
    </row>
    <row r="70" spans="1:14" s="6" customFormat="1" ht="24.75" customHeight="1" thickBot="1" x14ac:dyDescent="0.25">
      <c r="A70" s="65"/>
      <c r="B70" s="65"/>
      <c r="C70" s="65"/>
      <c r="D70" s="65"/>
      <c r="E70" s="65"/>
      <c r="F70" s="65"/>
      <c r="G70" s="65"/>
    </row>
    <row r="71" spans="1:14" s="82" customFormat="1" ht="30" customHeight="1" thickBot="1" x14ac:dyDescent="0.25">
      <c r="A71" s="270" t="s">
        <v>180</v>
      </c>
      <c r="B71" s="271"/>
      <c r="C71" s="271"/>
      <c r="D71" s="271"/>
      <c r="E71" s="271"/>
      <c r="F71" s="271"/>
      <c r="G71" s="271"/>
      <c r="H71" s="271"/>
      <c r="I71" s="271"/>
      <c r="J71" s="271"/>
      <c r="K71" s="271"/>
      <c r="L71" s="271"/>
      <c r="M71" s="271"/>
      <c r="N71" s="272"/>
    </row>
    <row r="72" spans="1:14" s="6" customFormat="1" ht="27.75" customHeight="1" x14ac:dyDescent="0.2">
      <c r="A72" s="108">
        <f>+A68+1</f>
        <v>25</v>
      </c>
      <c r="B72" s="5" t="s">
        <v>417</v>
      </c>
      <c r="C72" s="161" t="s">
        <v>469</v>
      </c>
      <c r="D72" s="129" t="s">
        <v>161</v>
      </c>
      <c r="E72" s="129" t="s">
        <v>233</v>
      </c>
      <c r="F72" s="201" t="s">
        <v>572</v>
      </c>
      <c r="G72" s="201" t="s">
        <v>650</v>
      </c>
      <c r="H72" s="9">
        <v>80000</v>
      </c>
      <c r="I72" s="8">
        <f>H72*2.87%</f>
        <v>2296</v>
      </c>
      <c r="J72" s="112">
        <f>+H72*3.04%</f>
        <v>2432</v>
      </c>
      <c r="K72" s="111">
        <v>7400.87</v>
      </c>
      <c r="L72" s="111">
        <v>3020</v>
      </c>
      <c r="M72" s="112">
        <f>SUM(I72:L72)</f>
        <v>15148.869999999999</v>
      </c>
      <c r="N72" s="111">
        <f>+H72-M72</f>
        <v>64851.130000000005</v>
      </c>
    </row>
    <row r="73" spans="1:14" s="6" customFormat="1" ht="24.75" customHeight="1" x14ac:dyDescent="0.2">
      <c r="A73" s="261" t="s">
        <v>138</v>
      </c>
      <c r="B73" s="261"/>
      <c r="C73" s="261"/>
      <c r="D73" s="261"/>
      <c r="E73" s="261"/>
      <c r="F73" s="261"/>
      <c r="G73" s="261"/>
      <c r="H73" s="16">
        <f>SUM(H72)</f>
        <v>80000</v>
      </c>
      <c r="I73" s="16">
        <f t="shared" ref="I73:N73" si="12">SUM(I72)</f>
        <v>2296</v>
      </c>
      <c r="J73" s="16">
        <f t="shared" si="12"/>
        <v>2432</v>
      </c>
      <c r="K73" s="16">
        <f t="shared" si="12"/>
        <v>7400.87</v>
      </c>
      <c r="L73" s="16">
        <f t="shared" si="12"/>
        <v>3020</v>
      </c>
      <c r="M73" s="16">
        <f t="shared" si="12"/>
        <v>15148.869999999999</v>
      </c>
      <c r="N73" s="16">
        <f t="shared" si="12"/>
        <v>64851.130000000005</v>
      </c>
    </row>
    <row r="74" spans="1:14" s="6" customFormat="1" ht="23.25" customHeight="1" thickBot="1" x14ac:dyDescent="0.25">
      <c r="A74" s="65"/>
      <c r="B74" s="65"/>
      <c r="C74" s="65"/>
      <c r="D74" s="65"/>
      <c r="E74" s="65"/>
      <c r="G74" s="65"/>
    </row>
    <row r="75" spans="1:14" s="6" customFormat="1" ht="28.5" customHeight="1" thickBot="1" x14ac:dyDescent="0.25">
      <c r="A75" s="270" t="s">
        <v>182</v>
      </c>
      <c r="B75" s="271"/>
      <c r="C75" s="271"/>
      <c r="D75" s="271"/>
      <c r="E75" s="271"/>
      <c r="F75" s="271"/>
      <c r="G75" s="271"/>
      <c r="H75" s="271"/>
      <c r="I75" s="271"/>
      <c r="J75" s="271"/>
      <c r="K75" s="271"/>
      <c r="L75" s="271"/>
      <c r="M75" s="271"/>
      <c r="N75" s="272"/>
    </row>
    <row r="76" spans="1:14" s="6" customFormat="1" ht="23.25" customHeight="1" x14ac:dyDescent="0.2">
      <c r="A76" s="12">
        <f>+A72+1</f>
        <v>26</v>
      </c>
      <c r="B76" s="5" t="s">
        <v>505</v>
      </c>
      <c r="C76" s="161" t="s">
        <v>469</v>
      </c>
      <c r="D76" s="129" t="s">
        <v>161</v>
      </c>
      <c r="E76" s="129" t="s">
        <v>233</v>
      </c>
      <c r="F76" s="26" t="s">
        <v>596</v>
      </c>
      <c r="G76" s="26" t="s">
        <v>662</v>
      </c>
      <c r="H76" s="9">
        <v>60000</v>
      </c>
      <c r="I76" s="8">
        <f>H76*2.87%</f>
        <v>1722</v>
      </c>
      <c r="J76" s="8">
        <f>+H76*3.04%</f>
        <v>1824</v>
      </c>
      <c r="K76" s="9">
        <v>3486.68</v>
      </c>
      <c r="L76" s="9">
        <v>25</v>
      </c>
      <c r="M76" s="8">
        <f>SUM(I76:L76)</f>
        <v>7057.68</v>
      </c>
      <c r="N76" s="9">
        <f>+H76-M76</f>
        <v>52942.32</v>
      </c>
    </row>
    <row r="77" spans="1:14" s="6" customFormat="1" ht="26.25" customHeight="1" x14ac:dyDescent="0.2">
      <c r="A77" s="261" t="s">
        <v>138</v>
      </c>
      <c r="B77" s="261"/>
      <c r="C77" s="261"/>
      <c r="D77" s="261"/>
      <c r="E77" s="261"/>
      <c r="F77" s="261"/>
      <c r="G77" s="261"/>
      <c r="H77" s="16">
        <f>SUM(H76)</f>
        <v>60000</v>
      </c>
      <c r="I77" s="16">
        <f t="shared" ref="I77:N77" si="13">SUM(I76)</f>
        <v>1722</v>
      </c>
      <c r="J77" s="16">
        <f t="shared" si="13"/>
        <v>1824</v>
      </c>
      <c r="K77" s="16">
        <f t="shared" si="13"/>
        <v>3486.68</v>
      </c>
      <c r="L77" s="16">
        <f t="shared" si="13"/>
        <v>25</v>
      </c>
      <c r="M77" s="16">
        <f t="shared" si="13"/>
        <v>7057.68</v>
      </c>
      <c r="N77" s="16">
        <f t="shared" si="13"/>
        <v>52942.32</v>
      </c>
    </row>
    <row r="78" spans="1:14" s="6" customFormat="1" ht="24.75" customHeight="1" thickBot="1" x14ac:dyDescent="0.25">
      <c r="A78" s="65"/>
      <c r="B78" s="65"/>
      <c r="C78" s="65"/>
      <c r="D78" s="65"/>
      <c r="E78" s="65"/>
      <c r="F78" s="65"/>
      <c r="G78" s="65"/>
    </row>
    <row r="79" spans="1:14" s="82" customFormat="1" ht="27" customHeight="1" thickBot="1" x14ac:dyDescent="0.25">
      <c r="A79" s="270" t="s">
        <v>183</v>
      </c>
      <c r="B79" s="271"/>
      <c r="C79" s="271"/>
      <c r="D79" s="271"/>
      <c r="E79" s="271"/>
      <c r="F79" s="271"/>
      <c r="G79" s="271"/>
      <c r="H79" s="271"/>
      <c r="I79" s="271"/>
      <c r="J79" s="271"/>
      <c r="K79" s="271"/>
      <c r="L79" s="271"/>
      <c r="M79" s="271"/>
      <c r="N79" s="272"/>
    </row>
    <row r="80" spans="1:14" s="82" customFormat="1" ht="24.95" customHeight="1" x14ac:dyDescent="0.2">
      <c r="A80" s="12">
        <f>+A76+1</f>
        <v>27</v>
      </c>
      <c r="B80" s="5" t="s">
        <v>485</v>
      </c>
      <c r="C80" s="161" t="s">
        <v>470</v>
      </c>
      <c r="D80" s="129" t="s">
        <v>161</v>
      </c>
      <c r="E80" s="129" t="s">
        <v>233</v>
      </c>
      <c r="F80" s="134" t="s">
        <v>578</v>
      </c>
      <c r="G80" s="134" t="s">
        <v>648</v>
      </c>
      <c r="H80" s="9">
        <v>70000</v>
      </c>
      <c r="I80" s="8">
        <f>H80*2.87%</f>
        <v>2009</v>
      </c>
      <c r="J80" s="8">
        <f>+H80*3.04%</f>
        <v>2128</v>
      </c>
      <c r="K80" s="9">
        <v>5368.48</v>
      </c>
      <c r="L80" s="9">
        <f>1686.63+25</f>
        <v>1711.63</v>
      </c>
      <c r="M80" s="8">
        <f>SUM(I80:L80)</f>
        <v>11217.11</v>
      </c>
      <c r="N80" s="9">
        <f>+H80-M80</f>
        <v>58782.89</v>
      </c>
    </row>
    <row r="81" spans="1:14" s="6" customFormat="1" ht="24.75" customHeight="1" x14ac:dyDescent="0.2">
      <c r="A81" s="12">
        <f>+A80+1</f>
        <v>28</v>
      </c>
      <c r="B81" s="5" t="s">
        <v>504</v>
      </c>
      <c r="C81" s="161" t="s">
        <v>470</v>
      </c>
      <c r="D81" s="129" t="s">
        <v>161</v>
      </c>
      <c r="E81" s="129" t="s">
        <v>233</v>
      </c>
      <c r="F81" s="26" t="s">
        <v>596</v>
      </c>
      <c r="G81" s="26" t="s">
        <v>662</v>
      </c>
      <c r="H81" s="9">
        <v>60000</v>
      </c>
      <c r="I81" s="8">
        <f>H81*2.87%</f>
        <v>1722</v>
      </c>
      <c r="J81" s="8">
        <f>+H81*3.04%</f>
        <v>1824</v>
      </c>
      <c r="K81" s="9">
        <v>2587.3200000000002</v>
      </c>
      <c r="L81" s="9">
        <v>25</v>
      </c>
      <c r="M81" s="8">
        <f>SUM(I81:L81)</f>
        <v>6158.32</v>
      </c>
      <c r="N81" s="9">
        <f>+H81-M81</f>
        <v>53841.68</v>
      </c>
    </row>
    <row r="82" spans="1:14" customFormat="1" ht="21" customHeight="1" thickBot="1" x14ac:dyDescent="0.25">
      <c r="A82" s="261" t="s">
        <v>138</v>
      </c>
      <c r="B82" s="261"/>
      <c r="C82" s="261"/>
      <c r="D82" s="261"/>
      <c r="E82" s="261"/>
      <c r="F82" s="261"/>
      <c r="G82" s="261"/>
      <c r="H82" s="16">
        <f>SUM(H80:H81)</f>
        <v>130000</v>
      </c>
      <c r="I82" s="16">
        <f t="shared" ref="I82:N82" si="14">SUM(I80:I81)</f>
        <v>3731</v>
      </c>
      <c r="J82" s="16">
        <f t="shared" si="14"/>
        <v>3952</v>
      </c>
      <c r="K82" s="16">
        <f t="shared" si="14"/>
        <v>7955.7999999999993</v>
      </c>
      <c r="L82" s="16">
        <f t="shared" si="14"/>
        <v>1736.63</v>
      </c>
      <c r="M82" s="16">
        <f t="shared" si="14"/>
        <v>17375.43</v>
      </c>
      <c r="N82" s="16">
        <f t="shared" si="14"/>
        <v>112624.57</v>
      </c>
    </row>
    <row r="83" spans="1:14" s="6" customFormat="1" ht="28.5" customHeight="1" thickBot="1" x14ac:dyDescent="0.25">
      <c r="A83" s="270" t="s">
        <v>182</v>
      </c>
      <c r="B83" s="271"/>
      <c r="C83" s="271"/>
      <c r="D83" s="271"/>
      <c r="E83" s="271"/>
      <c r="F83" s="271"/>
      <c r="G83" s="271"/>
      <c r="H83" s="271"/>
      <c r="I83" s="271"/>
      <c r="J83" s="271"/>
      <c r="K83" s="271"/>
      <c r="L83" s="271"/>
      <c r="M83" s="271"/>
      <c r="N83" s="272"/>
    </row>
    <row r="84" spans="1:14" s="6" customFormat="1" ht="31.15" customHeight="1" x14ac:dyDescent="0.2">
      <c r="A84" s="12">
        <f>+A81+1</f>
        <v>29</v>
      </c>
      <c r="B84" s="5" t="s">
        <v>661</v>
      </c>
      <c r="C84" s="161" t="s">
        <v>469</v>
      </c>
      <c r="D84" s="129" t="s">
        <v>161</v>
      </c>
      <c r="E84" s="129" t="s">
        <v>233</v>
      </c>
      <c r="F84" s="26" t="s">
        <v>579</v>
      </c>
      <c r="G84" s="134" t="s">
        <v>652</v>
      </c>
      <c r="H84" s="9">
        <v>70000</v>
      </c>
      <c r="I84" s="8">
        <f>H84*2.87%</f>
        <v>2009</v>
      </c>
      <c r="J84" s="8">
        <f>+H84*3.04%</f>
        <v>2128</v>
      </c>
      <c r="K84" s="9">
        <v>5368.48</v>
      </c>
      <c r="L84" s="9">
        <v>25</v>
      </c>
      <c r="M84" s="8">
        <f>SUM(I84:L84)</f>
        <v>9530.48</v>
      </c>
      <c r="N84" s="9">
        <f>+H84-M84</f>
        <v>60469.520000000004</v>
      </c>
    </row>
    <row r="85" spans="1:14" s="6" customFormat="1" ht="26.25" customHeight="1" x14ac:dyDescent="0.2">
      <c r="A85" s="261" t="s">
        <v>138</v>
      </c>
      <c r="B85" s="261"/>
      <c r="C85" s="261"/>
      <c r="D85" s="261"/>
      <c r="E85" s="261"/>
      <c r="F85" s="261"/>
      <c r="G85" s="261"/>
      <c r="H85" s="16">
        <f>SUM(H84)</f>
        <v>70000</v>
      </c>
      <c r="I85" s="16">
        <f t="shared" ref="I85:N85" si="15">SUM(I84)</f>
        <v>2009</v>
      </c>
      <c r="J85" s="16">
        <f t="shared" si="15"/>
        <v>2128</v>
      </c>
      <c r="K85" s="16">
        <f t="shared" si="15"/>
        <v>5368.48</v>
      </c>
      <c r="L85" s="16">
        <f t="shared" si="15"/>
        <v>25</v>
      </c>
      <c r="M85" s="16">
        <f t="shared" si="15"/>
        <v>9530.48</v>
      </c>
      <c r="N85" s="16">
        <f t="shared" si="15"/>
        <v>60469.520000000004</v>
      </c>
    </row>
    <row r="86" spans="1:14" s="6" customFormat="1" ht="24.75" customHeight="1" thickBot="1" x14ac:dyDescent="0.25">
      <c r="A86" s="65"/>
      <c r="B86" s="65"/>
      <c r="C86" s="65"/>
      <c r="D86" s="65"/>
      <c r="E86" s="65"/>
      <c r="F86" s="65"/>
      <c r="G86" s="65"/>
    </row>
    <row r="87" spans="1:14" customFormat="1" ht="34.5" customHeight="1" thickBot="1" x14ac:dyDescent="0.25">
      <c r="A87" s="262" t="s">
        <v>188</v>
      </c>
      <c r="B87" s="263"/>
      <c r="C87" s="263"/>
      <c r="D87" s="263"/>
      <c r="E87" s="263"/>
      <c r="F87" s="263"/>
      <c r="G87" s="263"/>
      <c r="H87" s="263"/>
      <c r="I87" s="263"/>
      <c r="J87" s="263"/>
      <c r="K87" s="263"/>
      <c r="L87" s="263"/>
      <c r="M87" s="263"/>
      <c r="N87" s="264"/>
    </row>
    <row r="88" spans="1:14" customFormat="1" ht="34.5" customHeight="1" x14ac:dyDescent="0.2">
      <c r="A88" s="12">
        <f>+A84+1</f>
        <v>30</v>
      </c>
      <c r="B88" s="62" t="s">
        <v>150</v>
      </c>
      <c r="C88" s="161" t="s">
        <v>469</v>
      </c>
      <c r="D88" s="130" t="s">
        <v>221</v>
      </c>
      <c r="E88" s="129" t="s">
        <v>233</v>
      </c>
      <c r="F88" s="26" t="s">
        <v>581</v>
      </c>
      <c r="G88" s="26" t="s">
        <v>634</v>
      </c>
      <c r="H88" s="10">
        <v>135000</v>
      </c>
      <c r="I88" s="8">
        <f>H88*2.87%</f>
        <v>3874.5</v>
      </c>
      <c r="J88" s="8">
        <f>+H88*3.04%</f>
        <v>4104</v>
      </c>
      <c r="K88" s="5">
        <v>19960.2</v>
      </c>
      <c r="L88" s="9">
        <f>5000+25+1512.45</f>
        <v>6537.45</v>
      </c>
      <c r="M88" s="8">
        <f>SUM(I88:L88)</f>
        <v>34476.15</v>
      </c>
      <c r="N88" s="9">
        <f>+H88-M88</f>
        <v>100523.85</v>
      </c>
    </row>
    <row r="89" spans="1:14" s="6" customFormat="1" ht="24" customHeight="1" x14ac:dyDescent="0.2">
      <c r="A89" s="12">
        <f>+A88+1</f>
        <v>31</v>
      </c>
      <c r="B89" s="62" t="s">
        <v>236</v>
      </c>
      <c r="C89" s="161" t="s">
        <v>470</v>
      </c>
      <c r="D89" s="129" t="s">
        <v>161</v>
      </c>
      <c r="E89" s="129" t="s">
        <v>233</v>
      </c>
      <c r="F89" s="131" t="s">
        <v>545</v>
      </c>
      <c r="G89" s="131" t="s">
        <v>618</v>
      </c>
      <c r="H89" s="10">
        <v>90000</v>
      </c>
      <c r="I89" s="8">
        <f>H89*2.87%</f>
        <v>2583</v>
      </c>
      <c r="J89" s="8">
        <f>+H89*3.04%</f>
        <v>2736</v>
      </c>
      <c r="K89" s="5">
        <v>8996.9599999999991</v>
      </c>
      <c r="L89" s="9">
        <f>25+2500+3024.9</f>
        <v>5549.9</v>
      </c>
      <c r="M89" s="8">
        <f>SUM(I89:L89)</f>
        <v>19865.86</v>
      </c>
      <c r="N89" s="9">
        <f>+H89-M89</f>
        <v>70134.14</v>
      </c>
    </row>
    <row r="90" spans="1:14" s="2" customFormat="1" ht="22.5" customHeight="1" x14ac:dyDescent="0.2">
      <c r="A90" s="261" t="s">
        <v>138</v>
      </c>
      <c r="B90" s="261"/>
      <c r="C90" s="261"/>
      <c r="D90" s="261"/>
      <c r="E90" s="261"/>
      <c r="F90" s="261"/>
      <c r="G90" s="261"/>
      <c r="H90" s="16">
        <f>SUM(H88:H89)</f>
        <v>225000</v>
      </c>
      <c r="I90" s="16">
        <f t="shared" ref="I90:N90" si="16">SUM(I88:I89)</f>
        <v>6457.5</v>
      </c>
      <c r="J90" s="16">
        <f t="shared" si="16"/>
        <v>6840</v>
      </c>
      <c r="K90" s="16">
        <f t="shared" si="16"/>
        <v>28957.16</v>
      </c>
      <c r="L90" s="16">
        <f t="shared" si="16"/>
        <v>12087.349999999999</v>
      </c>
      <c r="M90" s="16">
        <f t="shared" si="16"/>
        <v>54342.01</v>
      </c>
      <c r="N90" s="16">
        <f t="shared" si="16"/>
        <v>170657.99</v>
      </c>
    </row>
    <row r="91" spans="1:14" s="2" customFormat="1" ht="21" customHeight="1" thickBot="1" x14ac:dyDescent="0.25">
      <c r="A91" s="65"/>
      <c r="B91" s="65"/>
      <c r="C91" s="65"/>
      <c r="D91" s="65"/>
      <c r="E91" s="65"/>
      <c r="F91" s="65"/>
      <c r="G91" s="65"/>
      <c r="H91" s="6"/>
      <c r="I91" s="6"/>
      <c r="J91" s="6"/>
      <c r="K91" s="6"/>
      <c r="L91" s="6"/>
      <c r="M91" s="6"/>
      <c r="N91" s="6"/>
    </row>
    <row r="92" spans="1:14" s="2" customFormat="1" ht="28.5" customHeight="1" thickBot="1" x14ac:dyDescent="0.25">
      <c r="A92" s="262" t="s">
        <v>524</v>
      </c>
      <c r="B92" s="263"/>
      <c r="C92" s="263"/>
      <c r="D92" s="263"/>
      <c r="E92" s="263"/>
      <c r="F92" s="263"/>
      <c r="G92" s="263"/>
      <c r="H92" s="263"/>
      <c r="I92" s="263"/>
      <c r="J92" s="263"/>
      <c r="K92" s="263"/>
      <c r="L92" s="263"/>
      <c r="M92" s="263"/>
      <c r="N92" s="264"/>
    </row>
    <row r="93" spans="1:14" s="2" customFormat="1" ht="32.25" customHeight="1" thickBot="1" x14ac:dyDescent="0.25">
      <c r="A93" s="262" t="s">
        <v>525</v>
      </c>
      <c r="B93" s="263"/>
      <c r="C93" s="263"/>
      <c r="D93" s="263"/>
      <c r="E93" s="263"/>
      <c r="F93" s="263"/>
      <c r="G93" s="263"/>
      <c r="H93" s="263"/>
      <c r="I93" s="263"/>
      <c r="J93" s="263"/>
      <c r="K93" s="263"/>
      <c r="L93" s="263"/>
      <c r="M93" s="263"/>
      <c r="N93" s="264"/>
    </row>
    <row r="94" spans="1:14" s="2" customFormat="1" ht="33" customHeight="1" x14ac:dyDescent="0.2">
      <c r="A94" s="12">
        <f>+A89+1</f>
        <v>32</v>
      </c>
      <c r="B94" s="211" t="s">
        <v>549</v>
      </c>
      <c r="C94" s="212" t="s">
        <v>469</v>
      </c>
      <c r="D94" s="109" t="s">
        <v>589</v>
      </c>
      <c r="E94" s="109" t="s">
        <v>233</v>
      </c>
      <c r="F94" s="110" t="s">
        <v>581</v>
      </c>
      <c r="G94" s="110" t="s">
        <v>634</v>
      </c>
      <c r="H94" s="111">
        <v>170000</v>
      </c>
      <c r="I94" s="112">
        <f>H94*2.87%</f>
        <v>4879</v>
      </c>
      <c r="J94" s="112">
        <v>4943.8</v>
      </c>
      <c r="K94" s="64">
        <v>28627.17</v>
      </c>
      <c r="L94" s="111">
        <v>25</v>
      </c>
      <c r="M94" s="112">
        <f>SUM(I94:L94)</f>
        <v>38474.97</v>
      </c>
      <c r="N94" s="111">
        <f>+H94-M94</f>
        <v>131525.03</v>
      </c>
    </row>
    <row r="95" spans="1:14" s="2" customFormat="1" ht="33" customHeight="1" x14ac:dyDescent="0.2">
      <c r="A95" s="12">
        <f>+A94+1</f>
        <v>33</v>
      </c>
      <c r="B95" s="8" t="s">
        <v>404</v>
      </c>
      <c r="C95" s="161" t="s">
        <v>469</v>
      </c>
      <c r="D95" s="129" t="s">
        <v>523</v>
      </c>
      <c r="E95" s="129" t="s">
        <v>233</v>
      </c>
      <c r="F95" s="110" t="s">
        <v>581</v>
      </c>
      <c r="G95" s="110" t="s">
        <v>635</v>
      </c>
      <c r="H95" s="9">
        <v>150000</v>
      </c>
      <c r="I95" s="112">
        <f>H95*2.87%</f>
        <v>4305</v>
      </c>
      <c r="J95" s="8">
        <f>+H95*3.04%</f>
        <v>4560</v>
      </c>
      <c r="K95" s="5">
        <v>23866.62</v>
      </c>
      <c r="L95" s="111">
        <v>25</v>
      </c>
      <c r="M95" s="112">
        <f>SUM(I95:L95)</f>
        <v>32756.62</v>
      </c>
      <c r="N95" s="111">
        <f>+H95-M95</f>
        <v>117243.38</v>
      </c>
    </row>
    <row r="96" spans="1:14" s="2" customFormat="1" ht="33" customHeight="1" x14ac:dyDescent="0.2">
      <c r="A96" s="12">
        <f>+A95+1</f>
        <v>34</v>
      </c>
      <c r="B96" s="8" t="s">
        <v>656</v>
      </c>
      <c r="C96" s="161" t="s">
        <v>470</v>
      </c>
      <c r="D96" s="129" t="s">
        <v>657</v>
      </c>
      <c r="E96" s="129" t="s">
        <v>233</v>
      </c>
      <c r="F96" s="110" t="s">
        <v>579</v>
      </c>
      <c r="G96" s="110" t="s">
        <v>652</v>
      </c>
      <c r="H96" s="9">
        <v>90000</v>
      </c>
      <c r="I96" s="112">
        <f>H96*2.87%</f>
        <v>2583</v>
      </c>
      <c r="J96" s="8">
        <f>+H96*3.04%</f>
        <v>2736</v>
      </c>
      <c r="K96" s="5">
        <v>9753.19</v>
      </c>
      <c r="L96" s="111">
        <v>25</v>
      </c>
      <c r="M96" s="112">
        <f>SUM(I96:L96)</f>
        <v>15097.19</v>
      </c>
      <c r="N96" s="111">
        <f>+H96-M96</f>
        <v>74902.81</v>
      </c>
    </row>
    <row r="97" spans="1:14" s="2" customFormat="1" ht="22.5" customHeight="1" x14ac:dyDescent="0.2">
      <c r="A97" s="261" t="s">
        <v>138</v>
      </c>
      <c r="B97" s="261"/>
      <c r="C97" s="261"/>
      <c r="D97" s="261"/>
      <c r="E97" s="261"/>
      <c r="F97" s="261"/>
      <c r="G97" s="261"/>
      <c r="H97" s="16">
        <f>SUM(H94:H96)</f>
        <v>410000</v>
      </c>
      <c r="I97" s="16">
        <f t="shared" ref="I97:M97" si="17">SUM(I94:I96)</f>
        <v>11767</v>
      </c>
      <c r="J97" s="16">
        <f t="shared" si="17"/>
        <v>12239.8</v>
      </c>
      <c r="K97" s="16">
        <f t="shared" si="17"/>
        <v>62246.979999999996</v>
      </c>
      <c r="L97" s="16">
        <f t="shared" si="17"/>
        <v>75</v>
      </c>
      <c r="M97" s="16">
        <f t="shared" si="17"/>
        <v>86328.78</v>
      </c>
      <c r="N97" s="16">
        <f>SUM(N94:N96)</f>
        <v>323671.21999999997</v>
      </c>
    </row>
    <row r="98" spans="1:14" s="2" customFormat="1" ht="29.25" customHeight="1" thickBot="1" x14ac:dyDescent="0.25">
      <c r="A98" s="65"/>
      <c r="B98" s="65"/>
      <c r="C98" s="65"/>
      <c r="D98" s="65"/>
      <c r="E98" s="65"/>
      <c r="F98" s="65"/>
      <c r="G98" s="65"/>
      <c r="H98" s="6"/>
      <c r="I98" s="6"/>
      <c r="J98" s="6"/>
      <c r="K98" s="6"/>
      <c r="L98" s="6"/>
      <c r="M98" s="6"/>
      <c r="N98" s="6"/>
    </row>
    <row r="99" spans="1:14" s="82" customFormat="1" ht="24" customHeight="1" thickBot="1" x14ac:dyDescent="0.25">
      <c r="A99" s="262" t="s">
        <v>224</v>
      </c>
      <c r="B99" s="263"/>
      <c r="C99" s="263"/>
      <c r="D99" s="263"/>
      <c r="E99" s="263"/>
      <c r="F99" s="263"/>
      <c r="G99" s="263"/>
      <c r="H99" s="263"/>
      <c r="I99" s="263"/>
      <c r="J99" s="263"/>
      <c r="K99" s="263"/>
      <c r="L99" s="263"/>
      <c r="M99" s="263"/>
      <c r="N99" s="264"/>
    </row>
    <row r="100" spans="1:14" s="6" customFormat="1" ht="24.75" customHeight="1" x14ac:dyDescent="0.2">
      <c r="A100" s="108">
        <f>+A96+1</f>
        <v>35</v>
      </c>
      <c r="B100" s="131" t="s">
        <v>237</v>
      </c>
      <c r="C100" s="133" t="s">
        <v>469</v>
      </c>
      <c r="D100" s="130" t="s">
        <v>520</v>
      </c>
      <c r="E100" s="129" t="s">
        <v>233</v>
      </c>
      <c r="F100" s="131" t="s">
        <v>545</v>
      </c>
      <c r="G100" s="131" t="s">
        <v>618</v>
      </c>
      <c r="H100" s="10">
        <v>120000</v>
      </c>
      <c r="I100" s="8">
        <f>H100*2.87%</f>
        <v>3444</v>
      </c>
      <c r="J100" s="8">
        <f>+H100*3.04%</f>
        <v>3648</v>
      </c>
      <c r="K100" s="5">
        <v>16431.82</v>
      </c>
      <c r="L100" s="9">
        <v>1637.45</v>
      </c>
      <c r="M100" s="8">
        <f>SUM(I100:L100)</f>
        <v>25161.27</v>
      </c>
      <c r="N100" s="9">
        <f>+H100-M100</f>
        <v>94838.73</v>
      </c>
    </row>
    <row r="101" spans="1:14" s="2" customFormat="1" ht="22.5" customHeight="1" x14ac:dyDescent="0.2">
      <c r="A101" s="261" t="s">
        <v>138</v>
      </c>
      <c r="B101" s="261"/>
      <c r="C101" s="261"/>
      <c r="D101" s="261"/>
      <c r="E101" s="261"/>
      <c r="F101" s="261"/>
      <c r="G101" s="261"/>
      <c r="H101" s="16">
        <f>SUM(H100)</f>
        <v>120000</v>
      </c>
      <c r="I101" s="16">
        <f t="shared" ref="I101:N101" si="18">SUM(I100)</f>
        <v>3444</v>
      </c>
      <c r="J101" s="16">
        <f t="shared" si="18"/>
        <v>3648</v>
      </c>
      <c r="K101" s="16">
        <f t="shared" si="18"/>
        <v>16431.82</v>
      </c>
      <c r="L101" s="16">
        <f t="shared" si="18"/>
        <v>1637.45</v>
      </c>
      <c r="M101" s="16">
        <f t="shared" si="18"/>
        <v>25161.27</v>
      </c>
      <c r="N101" s="16">
        <f t="shared" si="18"/>
        <v>94838.73</v>
      </c>
    </row>
    <row r="102" spans="1:14" s="2" customFormat="1" ht="22.5" customHeight="1" thickBot="1" x14ac:dyDescent="0.25">
      <c r="A102" s="65"/>
      <c r="B102" s="65"/>
      <c r="C102" s="65"/>
      <c r="D102" s="65"/>
      <c r="E102" s="65"/>
      <c r="F102" s="65"/>
      <c r="G102" s="65"/>
      <c r="H102" s="6"/>
      <c r="I102" s="6"/>
      <c r="J102" s="6"/>
      <c r="K102" s="6"/>
      <c r="L102" s="6"/>
      <c r="M102" s="6"/>
      <c r="N102" s="6"/>
    </row>
    <row r="103" spans="1:14" s="2" customFormat="1" ht="22.5" customHeight="1" thickBot="1" x14ac:dyDescent="0.25">
      <c r="A103" s="262" t="s">
        <v>418</v>
      </c>
      <c r="B103" s="263"/>
      <c r="C103" s="263"/>
      <c r="D103" s="263"/>
      <c r="E103" s="263"/>
      <c r="F103" s="263"/>
      <c r="G103" s="263"/>
      <c r="H103" s="263"/>
      <c r="I103" s="263"/>
      <c r="J103" s="263"/>
      <c r="K103" s="263"/>
      <c r="L103" s="263"/>
      <c r="M103" s="263"/>
      <c r="N103" s="264"/>
    </row>
    <row r="104" spans="1:14" s="2" customFormat="1" ht="28.5" customHeight="1" x14ac:dyDescent="0.2">
      <c r="A104" s="108">
        <f>+A100+1</f>
        <v>36</v>
      </c>
      <c r="B104" s="110" t="s">
        <v>593</v>
      </c>
      <c r="C104" s="108" t="s">
        <v>470</v>
      </c>
      <c r="D104" s="110" t="s">
        <v>145</v>
      </c>
      <c r="E104" s="109" t="s">
        <v>233</v>
      </c>
      <c r="F104" s="26" t="s">
        <v>595</v>
      </c>
      <c r="G104" s="26" t="s">
        <v>663</v>
      </c>
      <c r="H104" s="8">
        <v>50000</v>
      </c>
      <c r="I104" s="112">
        <f>H104*2.87%</f>
        <v>1435</v>
      </c>
      <c r="J104" s="112">
        <f>+H104*3.04%</f>
        <v>1520</v>
      </c>
      <c r="K104" s="112">
        <v>1854</v>
      </c>
      <c r="L104" s="111">
        <v>25</v>
      </c>
      <c r="M104" s="112">
        <f>SUM(I104:L104)</f>
        <v>4834</v>
      </c>
      <c r="N104" s="111">
        <f>+H104-M104</f>
        <v>45166</v>
      </c>
    </row>
    <row r="105" spans="1:14" s="2" customFormat="1" ht="29.25" customHeight="1" x14ac:dyDescent="0.2">
      <c r="A105" s="261" t="s">
        <v>138</v>
      </c>
      <c r="B105" s="261"/>
      <c r="C105" s="261"/>
      <c r="D105" s="261"/>
      <c r="E105" s="261"/>
      <c r="F105" s="261"/>
      <c r="G105" s="261"/>
      <c r="H105" s="16">
        <f>SUM(H104:H104)</f>
        <v>50000</v>
      </c>
      <c r="I105" s="16">
        <f t="shared" ref="I105:N105" si="19">SUM(I104:I104)</f>
        <v>1435</v>
      </c>
      <c r="J105" s="16">
        <f t="shared" si="19"/>
        <v>1520</v>
      </c>
      <c r="K105" s="16">
        <f t="shared" si="19"/>
        <v>1854</v>
      </c>
      <c r="L105" s="16">
        <f t="shared" si="19"/>
        <v>25</v>
      </c>
      <c r="M105" s="16">
        <f t="shared" si="19"/>
        <v>4834</v>
      </c>
      <c r="N105" s="16">
        <f t="shared" si="19"/>
        <v>45166</v>
      </c>
    </row>
    <row r="106" spans="1:14" s="71" customFormat="1" ht="29.25" customHeight="1" thickBot="1" x14ac:dyDescent="0.25">
      <c r="A106" s="223"/>
      <c r="B106" s="223"/>
      <c r="C106" s="223"/>
      <c r="D106" s="223"/>
      <c r="E106" s="223"/>
      <c r="F106" s="223"/>
      <c r="G106" s="223"/>
      <c r="H106" s="82"/>
      <c r="I106" s="82"/>
      <c r="J106" s="82"/>
      <c r="K106" s="82"/>
      <c r="L106" s="82"/>
      <c r="M106" s="82"/>
      <c r="N106" s="82"/>
    </row>
    <row r="107" spans="1:14" s="82" customFormat="1" ht="24.95" customHeight="1" thickBot="1" x14ac:dyDescent="0.25">
      <c r="A107" s="262" t="s">
        <v>418</v>
      </c>
      <c r="B107" s="263"/>
      <c r="C107" s="263"/>
      <c r="D107" s="263"/>
      <c r="E107" s="263"/>
      <c r="F107" s="263"/>
      <c r="G107" s="263"/>
      <c r="H107" s="263"/>
      <c r="I107" s="263"/>
      <c r="J107" s="263"/>
      <c r="K107" s="263"/>
      <c r="L107" s="263"/>
      <c r="M107" s="263"/>
      <c r="N107" s="264"/>
    </row>
    <row r="108" spans="1:14" s="6" customFormat="1" ht="24.75" customHeight="1" x14ac:dyDescent="0.2">
      <c r="A108" s="108">
        <f>+A104+1</f>
        <v>37</v>
      </c>
      <c r="B108" s="26" t="s">
        <v>398</v>
      </c>
      <c r="C108" s="12" t="s">
        <v>470</v>
      </c>
      <c r="D108" s="26" t="s">
        <v>126</v>
      </c>
      <c r="E108" s="129" t="s">
        <v>233</v>
      </c>
      <c r="F108" s="26" t="s">
        <v>575</v>
      </c>
      <c r="G108" s="26" t="s">
        <v>636</v>
      </c>
      <c r="H108" s="8">
        <v>70000</v>
      </c>
      <c r="I108" s="112">
        <f>H108*2.87%</f>
        <v>2009</v>
      </c>
      <c r="J108" s="112">
        <f>+H108*3.04%</f>
        <v>2128</v>
      </c>
      <c r="K108" s="112">
        <v>5368.48</v>
      </c>
      <c r="L108" s="111">
        <v>1025</v>
      </c>
      <c r="M108" s="112">
        <f>SUM(I108:L108)</f>
        <v>10530.48</v>
      </c>
      <c r="N108" s="111">
        <f>+H108-M108</f>
        <v>59469.520000000004</v>
      </c>
    </row>
    <row r="109" spans="1:14" s="6" customFormat="1" ht="24.95" customHeight="1" x14ac:dyDescent="0.2">
      <c r="A109" s="261" t="s">
        <v>138</v>
      </c>
      <c r="B109" s="261"/>
      <c r="C109" s="261"/>
      <c r="D109" s="261"/>
      <c r="E109" s="261"/>
      <c r="F109" s="261"/>
      <c r="G109" s="261"/>
      <c r="H109" s="16">
        <f>SUM(H108:H108)</f>
        <v>70000</v>
      </c>
      <c r="I109" s="16">
        <f t="shared" ref="I109:N109" si="20">SUM(I108:I108)</f>
        <v>2009</v>
      </c>
      <c r="J109" s="16">
        <f t="shared" si="20"/>
        <v>2128</v>
      </c>
      <c r="K109" s="16">
        <f t="shared" si="20"/>
        <v>5368.48</v>
      </c>
      <c r="L109" s="16">
        <f t="shared" si="20"/>
        <v>1025</v>
      </c>
      <c r="M109" s="16">
        <f t="shared" si="20"/>
        <v>10530.48</v>
      </c>
      <c r="N109" s="16">
        <f t="shared" si="20"/>
        <v>59469.520000000004</v>
      </c>
    </row>
    <row r="110" spans="1:14" s="6" customFormat="1" ht="24.95" customHeight="1" thickBot="1" x14ac:dyDescent="0.25">
      <c r="A110" s="65"/>
      <c r="B110" s="65"/>
      <c r="C110" s="65"/>
      <c r="D110" s="65"/>
      <c r="E110" s="65"/>
      <c r="F110" s="65"/>
      <c r="G110" s="65"/>
    </row>
    <row r="111" spans="1:14" s="6" customFormat="1" ht="24.95" customHeight="1" x14ac:dyDescent="0.2">
      <c r="A111" s="276" t="s">
        <v>562</v>
      </c>
      <c r="B111" s="280"/>
      <c r="C111" s="280"/>
      <c r="D111" s="280"/>
      <c r="E111" s="280"/>
      <c r="F111" s="280"/>
      <c r="G111" s="280"/>
      <c r="H111" s="280"/>
      <c r="I111" s="280"/>
      <c r="J111" s="280"/>
      <c r="K111" s="280"/>
      <c r="L111" s="280"/>
      <c r="M111" s="280"/>
      <c r="N111" s="281"/>
    </row>
    <row r="112" spans="1:14" s="6" customFormat="1" ht="24.95" customHeight="1" x14ac:dyDescent="0.2">
      <c r="A112" s="69">
        <f>+A108+1</f>
        <v>38</v>
      </c>
      <c r="B112" s="209" t="s">
        <v>592</v>
      </c>
      <c r="C112" s="69" t="s">
        <v>470</v>
      </c>
      <c r="D112" s="209" t="s">
        <v>105</v>
      </c>
      <c r="E112" s="115" t="s">
        <v>233</v>
      </c>
      <c r="F112" s="26" t="s">
        <v>595</v>
      </c>
      <c r="G112" s="26" t="s">
        <v>663</v>
      </c>
      <c r="H112" s="64">
        <v>90000</v>
      </c>
      <c r="I112" s="64">
        <f>H112*2.87%</f>
        <v>2583</v>
      </c>
      <c r="J112" s="64">
        <f>+H112*3.04%</f>
        <v>2736</v>
      </c>
      <c r="K112" s="64">
        <v>9753.1200000000008</v>
      </c>
      <c r="L112" s="70">
        <v>1025</v>
      </c>
      <c r="M112" s="64">
        <f>SUM(I112:L112)</f>
        <v>16097.12</v>
      </c>
      <c r="N112" s="70">
        <f>+H112-M112</f>
        <v>73902.880000000005</v>
      </c>
    </row>
    <row r="113" spans="1:14" s="6" customFormat="1" ht="24.95" customHeight="1" x14ac:dyDescent="0.2">
      <c r="A113" s="108">
        <f>+A112+1</f>
        <v>39</v>
      </c>
      <c r="B113" s="26" t="s">
        <v>563</v>
      </c>
      <c r="C113" s="12" t="s">
        <v>470</v>
      </c>
      <c r="D113" s="26" t="s">
        <v>564</v>
      </c>
      <c r="E113" s="129" t="s">
        <v>233</v>
      </c>
      <c r="F113" s="26" t="s">
        <v>577</v>
      </c>
      <c r="G113" s="26" t="s">
        <v>637</v>
      </c>
      <c r="H113" s="8">
        <v>70000</v>
      </c>
      <c r="I113" s="112">
        <f>H113*2.87%</f>
        <v>2009</v>
      </c>
      <c r="J113" s="112">
        <f>+H113*3.04%</f>
        <v>2128</v>
      </c>
      <c r="K113" s="5">
        <v>5368.48</v>
      </c>
      <c r="L113" s="111">
        <v>3411.92</v>
      </c>
      <c r="M113" s="112">
        <f>SUM(I113:L113)</f>
        <v>12917.4</v>
      </c>
      <c r="N113" s="111">
        <f>+H113-M113</f>
        <v>57082.6</v>
      </c>
    </row>
    <row r="114" spans="1:14" s="6" customFormat="1" ht="24.95" customHeight="1" x14ac:dyDescent="0.2">
      <c r="A114" s="261" t="s">
        <v>138</v>
      </c>
      <c r="B114" s="261"/>
      <c r="C114" s="261"/>
      <c r="D114" s="261"/>
      <c r="E114" s="261"/>
      <c r="F114" s="261"/>
      <c r="G114" s="261"/>
      <c r="H114" s="16">
        <f>SUM(H112:H113)</f>
        <v>160000</v>
      </c>
      <c r="I114" s="16">
        <f t="shared" ref="I114:N114" si="21">SUM(I112:I113)</f>
        <v>4592</v>
      </c>
      <c r="J114" s="16">
        <f t="shared" si="21"/>
        <v>4864</v>
      </c>
      <c r="K114" s="16">
        <f t="shared" si="21"/>
        <v>15121.6</v>
      </c>
      <c r="L114" s="16">
        <f t="shared" si="21"/>
        <v>4436.92</v>
      </c>
      <c r="M114" s="16">
        <f t="shared" si="21"/>
        <v>29014.52</v>
      </c>
      <c r="N114" s="16">
        <f t="shared" si="21"/>
        <v>130985.48000000001</v>
      </c>
    </row>
    <row r="115" spans="1:14" s="6" customFormat="1" ht="24.95" customHeight="1" thickBot="1" x14ac:dyDescent="0.25">
      <c r="A115" s="65"/>
      <c r="B115" s="65"/>
      <c r="C115" s="65"/>
      <c r="D115" s="65"/>
      <c r="E115" s="65"/>
      <c r="F115" s="65"/>
      <c r="G115" s="65"/>
    </row>
    <row r="116" spans="1:14" s="6" customFormat="1" ht="24.95" customHeight="1" x14ac:dyDescent="0.2">
      <c r="A116" s="276" t="s">
        <v>418</v>
      </c>
      <c r="B116" s="280"/>
      <c r="C116" s="280"/>
      <c r="D116" s="280"/>
      <c r="E116" s="280"/>
      <c r="F116" s="280"/>
      <c r="G116" s="280"/>
      <c r="H116" s="280"/>
      <c r="I116" s="280"/>
      <c r="J116" s="280"/>
      <c r="K116" s="280"/>
      <c r="L116" s="280"/>
      <c r="M116" s="280"/>
      <c r="N116" s="281"/>
    </row>
    <row r="117" spans="1:14" s="6" customFormat="1" ht="24.95" customHeight="1" x14ac:dyDescent="0.2">
      <c r="A117" s="69">
        <f>+A113+1</f>
        <v>40</v>
      </c>
      <c r="B117" s="134" t="s">
        <v>565</v>
      </c>
      <c r="C117" s="133" t="s">
        <v>470</v>
      </c>
      <c r="D117" s="134" t="s">
        <v>527</v>
      </c>
      <c r="E117" s="132" t="s">
        <v>233</v>
      </c>
      <c r="F117" s="208" t="s">
        <v>577</v>
      </c>
      <c r="G117" s="208" t="s">
        <v>637</v>
      </c>
      <c r="H117" s="5">
        <v>80000</v>
      </c>
      <c r="I117" s="64">
        <f>H117*2.87%</f>
        <v>2296</v>
      </c>
      <c r="J117" s="64">
        <f>+H117*3.04%</f>
        <v>2432</v>
      </c>
      <c r="K117" s="5">
        <v>7022.82</v>
      </c>
      <c r="L117" s="70">
        <f>25+1512.45</f>
        <v>1537.45</v>
      </c>
      <c r="M117" s="64">
        <f>SUM(I117:L117)</f>
        <v>13288.27</v>
      </c>
      <c r="N117" s="70">
        <f>+H117-M117</f>
        <v>66711.73</v>
      </c>
    </row>
    <row r="118" spans="1:14" s="6" customFormat="1" ht="24.95" customHeight="1" x14ac:dyDescent="0.2">
      <c r="A118" s="69">
        <f>+A117+1</f>
        <v>41</v>
      </c>
      <c r="B118" s="134" t="s">
        <v>526</v>
      </c>
      <c r="C118" s="133" t="s">
        <v>470</v>
      </c>
      <c r="D118" s="134" t="s">
        <v>527</v>
      </c>
      <c r="E118" s="132" t="s">
        <v>233</v>
      </c>
      <c r="F118" s="131" t="s">
        <v>545</v>
      </c>
      <c r="G118" s="131" t="s">
        <v>618</v>
      </c>
      <c r="H118" s="5">
        <v>60000</v>
      </c>
      <c r="I118" s="64">
        <f>H118*2.87%</f>
        <v>1722</v>
      </c>
      <c r="J118" s="64">
        <f>+H118*3.04%</f>
        <v>1824</v>
      </c>
      <c r="K118" s="5">
        <v>3184.16</v>
      </c>
      <c r="L118" s="70">
        <f>25+1512.45+1773.84</f>
        <v>3311.29</v>
      </c>
      <c r="M118" s="64">
        <f>SUM(I118:L118)</f>
        <v>10041.450000000001</v>
      </c>
      <c r="N118" s="70">
        <f>+H118-M118</f>
        <v>49958.55</v>
      </c>
    </row>
    <row r="119" spans="1:14" s="6" customFormat="1" ht="24.95" customHeight="1" x14ac:dyDescent="0.2">
      <c r="A119" s="261" t="s">
        <v>138</v>
      </c>
      <c r="B119" s="261"/>
      <c r="C119" s="261"/>
      <c r="D119" s="261"/>
      <c r="E119" s="261"/>
      <c r="F119" s="261"/>
      <c r="G119" s="261"/>
      <c r="H119" s="16">
        <f>SUM(H117:H118)</f>
        <v>140000</v>
      </c>
      <c r="I119" s="16">
        <f t="shared" ref="I119:N119" si="22">SUM(I117:I118)</f>
        <v>4018</v>
      </c>
      <c r="J119" s="16">
        <f t="shared" si="22"/>
        <v>4256</v>
      </c>
      <c r="K119" s="16">
        <f t="shared" si="22"/>
        <v>10206.98</v>
      </c>
      <c r="L119" s="16">
        <f t="shared" si="22"/>
        <v>4848.74</v>
      </c>
      <c r="M119" s="16">
        <f t="shared" si="22"/>
        <v>23329.72</v>
      </c>
      <c r="N119" s="16">
        <f t="shared" si="22"/>
        <v>116670.28</v>
      </c>
    </row>
    <row r="120" spans="1:14" s="2" customFormat="1" ht="24.95" customHeight="1" thickBot="1" x14ac:dyDescent="0.25">
      <c r="A120" s="65"/>
      <c r="B120" s="65"/>
      <c r="C120" s="65"/>
      <c r="D120" s="65"/>
      <c r="E120" s="65"/>
      <c r="F120" s="65"/>
      <c r="G120" s="65"/>
      <c r="H120"/>
      <c r="I120"/>
      <c r="J120"/>
      <c r="K120"/>
      <c r="L120"/>
      <c r="M120"/>
      <c r="N120"/>
    </row>
    <row r="121" spans="1:14" s="71" customFormat="1" ht="24.95" customHeight="1" thickBot="1" x14ac:dyDescent="0.25">
      <c r="A121" s="262" t="s">
        <v>323</v>
      </c>
      <c r="B121" s="263"/>
      <c r="C121" s="263"/>
      <c r="D121" s="263"/>
      <c r="E121" s="263"/>
      <c r="F121" s="263"/>
      <c r="G121" s="263"/>
      <c r="H121" s="263"/>
      <c r="I121" s="263"/>
      <c r="J121" s="263"/>
      <c r="K121" s="263"/>
      <c r="L121" s="263"/>
      <c r="M121" s="263"/>
      <c r="N121" s="264"/>
    </row>
    <row r="122" spans="1:14" s="71" customFormat="1" ht="26.25" customHeight="1" x14ac:dyDescent="0.2">
      <c r="A122" s="108">
        <f>+A118+1</f>
        <v>42</v>
      </c>
      <c r="B122" s="26" t="s">
        <v>143</v>
      </c>
      <c r="C122" s="12" t="s">
        <v>469</v>
      </c>
      <c r="D122" s="129" t="s">
        <v>142</v>
      </c>
      <c r="E122" s="129" t="s">
        <v>233</v>
      </c>
      <c r="F122" s="26" t="s">
        <v>578</v>
      </c>
      <c r="G122" s="26" t="s">
        <v>648</v>
      </c>
      <c r="H122" s="9">
        <v>190000</v>
      </c>
      <c r="I122" s="112">
        <f>H122*2.87%</f>
        <v>5453</v>
      </c>
      <c r="J122" s="5">
        <v>4943.8</v>
      </c>
      <c r="K122" s="5">
        <v>33483.67</v>
      </c>
      <c r="L122" s="111">
        <v>25</v>
      </c>
      <c r="M122" s="112">
        <f t="shared" ref="M122:M123" si="23">SUM(I122:L122)</f>
        <v>43905.47</v>
      </c>
      <c r="N122" s="111">
        <f t="shared" ref="N122:N123" si="24">+H122-M122</f>
        <v>146094.53</v>
      </c>
    </row>
    <row r="123" spans="1:14" s="71" customFormat="1" ht="24.95" customHeight="1" x14ac:dyDescent="0.2">
      <c r="A123" s="108">
        <f>+A122+1</f>
        <v>43</v>
      </c>
      <c r="B123" s="131" t="s">
        <v>419</v>
      </c>
      <c r="C123" s="133" t="s">
        <v>469</v>
      </c>
      <c r="D123" s="131" t="s">
        <v>152</v>
      </c>
      <c r="E123" s="129" t="s">
        <v>233</v>
      </c>
      <c r="F123" s="26" t="s">
        <v>582</v>
      </c>
      <c r="G123" s="26" t="s">
        <v>653</v>
      </c>
      <c r="H123" s="9">
        <v>80000</v>
      </c>
      <c r="I123" s="112">
        <f>H123*2.87%</f>
        <v>2296</v>
      </c>
      <c r="J123" s="112">
        <f>+H123*3.04%</f>
        <v>2432</v>
      </c>
      <c r="K123" s="64">
        <v>7400.87</v>
      </c>
      <c r="L123" s="111">
        <v>25</v>
      </c>
      <c r="M123" s="112">
        <f t="shared" si="23"/>
        <v>12153.869999999999</v>
      </c>
      <c r="N123" s="111">
        <f t="shared" si="24"/>
        <v>67846.13</v>
      </c>
    </row>
    <row r="124" spans="1:14" s="71" customFormat="1" ht="24.95" customHeight="1" x14ac:dyDescent="0.2">
      <c r="A124" s="108">
        <f>+A123+1</f>
        <v>44</v>
      </c>
      <c r="B124" s="208" t="s">
        <v>597</v>
      </c>
      <c r="C124" s="69"/>
      <c r="D124" s="208" t="s">
        <v>604</v>
      </c>
      <c r="E124" s="129" t="s">
        <v>233</v>
      </c>
      <c r="F124" s="26" t="s">
        <v>605</v>
      </c>
      <c r="G124" s="26" t="s">
        <v>601</v>
      </c>
      <c r="H124" s="117">
        <v>50000</v>
      </c>
      <c r="I124" s="5">
        <f>H124*2.87%</f>
        <v>1435</v>
      </c>
      <c r="J124" s="5">
        <f>+H124*3.04%</f>
        <v>1520</v>
      </c>
      <c r="K124" s="5">
        <v>1854</v>
      </c>
      <c r="L124" s="111">
        <v>10025</v>
      </c>
      <c r="M124" s="112">
        <f>SUM(I124:L124)</f>
        <v>14834</v>
      </c>
      <c r="N124" s="111">
        <f>H124-M124</f>
        <v>35166</v>
      </c>
    </row>
    <row r="125" spans="1:14" s="2" customFormat="1" ht="27" customHeight="1" x14ac:dyDescent="0.2">
      <c r="A125" s="261" t="s">
        <v>138</v>
      </c>
      <c r="B125" s="261"/>
      <c r="C125" s="261"/>
      <c r="D125" s="261"/>
      <c r="E125" s="261"/>
      <c r="F125" s="261"/>
      <c r="G125" s="261"/>
      <c r="H125" s="16">
        <f>SUM(H122:H124)</f>
        <v>320000</v>
      </c>
      <c r="I125" s="16">
        <f t="shared" ref="I125:N125" si="25">SUM(I122:I124)</f>
        <v>9184</v>
      </c>
      <c r="J125" s="16">
        <f t="shared" si="25"/>
        <v>8895.7999999999993</v>
      </c>
      <c r="K125" s="16">
        <f t="shared" si="25"/>
        <v>42738.54</v>
      </c>
      <c r="L125" s="16">
        <f t="shared" si="25"/>
        <v>10075</v>
      </c>
      <c r="M125" s="16">
        <f t="shared" si="25"/>
        <v>70893.34</v>
      </c>
      <c r="N125" s="16">
        <f t="shared" si="25"/>
        <v>249106.66</v>
      </c>
    </row>
    <row r="126" spans="1:14" s="2" customFormat="1" ht="27" customHeight="1" thickBot="1" x14ac:dyDescent="0.25">
      <c r="A126" s="65"/>
      <c r="B126" s="65"/>
      <c r="C126" s="65"/>
      <c r="D126" s="65"/>
      <c r="E126" s="65"/>
      <c r="F126" s="65"/>
      <c r="G126" s="65"/>
      <c r="H126" s="6"/>
      <c r="I126" s="6"/>
      <c r="J126" s="6"/>
      <c r="K126" s="6"/>
      <c r="L126" s="6"/>
      <c r="M126" s="6"/>
      <c r="N126" s="6"/>
    </row>
    <row r="127" spans="1:14" s="2" customFormat="1" ht="27" customHeight="1" thickBot="1" x14ac:dyDescent="0.25">
      <c r="A127" s="262" t="s">
        <v>568</v>
      </c>
      <c r="B127" s="263"/>
      <c r="C127" s="263"/>
      <c r="D127" s="263"/>
      <c r="E127" s="263"/>
      <c r="F127" s="263"/>
      <c r="G127" s="263"/>
      <c r="H127" s="263"/>
      <c r="I127" s="263"/>
      <c r="J127" s="263"/>
      <c r="K127" s="263"/>
      <c r="L127" s="263"/>
      <c r="M127" s="263"/>
      <c r="N127" s="264"/>
    </row>
    <row r="128" spans="1:14" s="2" customFormat="1" ht="27" customHeight="1" x14ac:dyDescent="0.2">
      <c r="A128" s="108">
        <f>+A124+1</f>
        <v>45</v>
      </c>
      <c r="B128" s="26" t="s">
        <v>566</v>
      </c>
      <c r="C128" s="12" t="s">
        <v>469</v>
      </c>
      <c r="D128" s="129" t="s">
        <v>567</v>
      </c>
      <c r="E128" s="129" t="s">
        <v>233</v>
      </c>
      <c r="F128" s="131" t="s">
        <v>574</v>
      </c>
      <c r="G128" s="208" t="s">
        <v>631</v>
      </c>
      <c r="H128" s="8">
        <v>170000</v>
      </c>
      <c r="I128" s="112">
        <f>H128*2.87%</f>
        <v>4879</v>
      </c>
      <c r="J128" s="5">
        <v>4943.8</v>
      </c>
      <c r="K128" s="5">
        <v>28627.17</v>
      </c>
      <c r="L128" s="111">
        <v>25</v>
      </c>
      <c r="M128" s="112">
        <f>SUM(I128:L128)</f>
        <v>38474.97</v>
      </c>
      <c r="N128" s="111">
        <f t="shared" ref="N128" si="26">+H128-M128</f>
        <v>131525.03</v>
      </c>
    </row>
    <row r="129" spans="1:14" s="2" customFormat="1" ht="27" customHeight="1" x14ac:dyDescent="0.2">
      <c r="A129" s="133">
        <f>+A128+1</f>
        <v>46</v>
      </c>
      <c r="B129" s="134" t="s">
        <v>616</v>
      </c>
      <c r="C129" s="133" t="s">
        <v>470</v>
      </c>
      <c r="D129" s="132" t="s">
        <v>145</v>
      </c>
      <c r="E129" s="129" t="s">
        <v>233</v>
      </c>
      <c r="F129" s="131" t="s">
        <v>545</v>
      </c>
      <c r="G129" s="131" t="s">
        <v>618</v>
      </c>
      <c r="H129" s="5">
        <v>50000</v>
      </c>
      <c r="I129" s="5">
        <f>H129*2.87%</f>
        <v>1435</v>
      </c>
      <c r="J129" s="5">
        <f>+H129*3.04%</f>
        <v>1520</v>
      </c>
      <c r="K129" s="5">
        <v>1854</v>
      </c>
      <c r="L129" s="70">
        <v>25</v>
      </c>
      <c r="M129" s="112">
        <f>SUM(I129:L129)</f>
        <v>4834</v>
      </c>
      <c r="N129" s="111">
        <f>+H129-M129</f>
        <v>45166</v>
      </c>
    </row>
    <row r="130" spans="1:14" s="2" customFormat="1" ht="27" customHeight="1" thickBot="1" x14ac:dyDescent="0.25">
      <c r="A130" s="268" t="s">
        <v>138</v>
      </c>
      <c r="B130" s="268"/>
      <c r="C130" s="268"/>
      <c r="D130" s="268"/>
      <c r="E130" s="268"/>
      <c r="F130" s="268"/>
      <c r="G130" s="269"/>
      <c r="H130" s="80">
        <f>SUM(H128:H129)</f>
        <v>220000</v>
      </c>
      <c r="I130" s="80">
        <f t="shared" ref="I130:N130" si="27">SUM(I128:I129)</f>
        <v>6314</v>
      </c>
      <c r="J130" s="80">
        <f t="shared" si="27"/>
        <v>6463.8</v>
      </c>
      <c r="K130" s="80">
        <f t="shared" si="27"/>
        <v>30481.17</v>
      </c>
      <c r="L130" s="80">
        <f t="shared" si="27"/>
        <v>50</v>
      </c>
      <c r="M130" s="80">
        <f t="shared" si="27"/>
        <v>43308.97</v>
      </c>
      <c r="N130" s="80">
        <f t="shared" si="27"/>
        <v>176691.03</v>
      </c>
    </row>
    <row r="131" spans="1:14" s="2" customFormat="1" ht="24.95" customHeight="1" thickBot="1" x14ac:dyDescent="0.25">
      <c r="C131" s="162"/>
    </row>
    <row r="132" spans="1:14" s="71" customFormat="1" ht="27.75" customHeight="1" thickBot="1" x14ac:dyDescent="0.25">
      <c r="A132" s="262" t="s">
        <v>421</v>
      </c>
      <c r="B132" s="263"/>
      <c r="C132" s="263"/>
      <c r="D132" s="263"/>
      <c r="E132" s="263"/>
      <c r="F132" s="263"/>
      <c r="G132" s="263"/>
      <c r="H132" s="263"/>
      <c r="I132" s="263"/>
      <c r="J132" s="263"/>
      <c r="K132" s="263"/>
      <c r="L132" s="263"/>
      <c r="M132" s="263"/>
      <c r="N132" s="264"/>
    </row>
    <row r="133" spans="1:14" s="28" customFormat="1" ht="25.5" customHeight="1" x14ac:dyDescent="0.2">
      <c r="A133" s="69">
        <f>+A129+1</f>
        <v>47</v>
      </c>
      <c r="B133" s="131" t="s">
        <v>144</v>
      </c>
      <c r="C133" s="133" t="s">
        <v>469</v>
      </c>
      <c r="D133" s="130" t="s">
        <v>611</v>
      </c>
      <c r="E133" s="129" t="s">
        <v>233</v>
      </c>
      <c r="F133" s="26" t="s">
        <v>578</v>
      </c>
      <c r="G133" s="26" t="s">
        <v>648</v>
      </c>
      <c r="H133" s="182">
        <v>135000</v>
      </c>
      <c r="I133" s="112">
        <f>H133*2.87%</f>
        <v>3874.5</v>
      </c>
      <c r="J133" s="112">
        <f>+H133*3.04%</f>
        <v>4104</v>
      </c>
      <c r="K133" s="5">
        <v>20338.240000000002</v>
      </c>
      <c r="L133" s="111">
        <v>25</v>
      </c>
      <c r="M133" s="112">
        <f>SUM(I133:L133)</f>
        <v>28341.74</v>
      </c>
      <c r="N133" s="111">
        <f>+H133-M133</f>
        <v>106658.26</v>
      </c>
    </row>
    <row r="134" spans="1:14" s="28" customFormat="1" ht="25.5" customHeight="1" x14ac:dyDescent="0.2">
      <c r="A134" s="69">
        <f>+A133+1</f>
        <v>48</v>
      </c>
      <c r="B134" s="208" t="s">
        <v>598</v>
      </c>
      <c r="C134" s="69"/>
      <c r="D134" s="213" t="s">
        <v>602</v>
      </c>
      <c r="E134" s="109" t="s">
        <v>233</v>
      </c>
      <c r="F134" s="26" t="s">
        <v>603</v>
      </c>
      <c r="G134" s="26" t="s">
        <v>664</v>
      </c>
      <c r="H134" s="10">
        <v>70000</v>
      </c>
      <c r="I134" s="5">
        <f>H134*2.87%</f>
        <v>2009</v>
      </c>
      <c r="J134" s="5">
        <f>+H134*3.04%</f>
        <v>2128</v>
      </c>
      <c r="K134" s="5">
        <v>5368.48</v>
      </c>
      <c r="L134" s="111">
        <v>25</v>
      </c>
      <c r="M134" s="112">
        <f>SUM(I134:L134)</f>
        <v>9530.48</v>
      </c>
      <c r="N134" s="111">
        <f>H134-M134</f>
        <v>60469.520000000004</v>
      </c>
    </row>
    <row r="135" spans="1:14" s="28" customFormat="1" ht="22.15" customHeight="1" x14ac:dyDescent="0.2">
      <c r="A135" s="261" t="s">
        <v>138</v>
      </c>
      <c r="B135" s="261"/>
      <c r="C135" s="261"/>
      <c r="D135" s="261"/>
      <c r="E135" s="261"/>
      <c r="F135" s="261"/>
      <c r="G135" s="261"/>
      <c r="H135" s="16">
        <f>SUM(H133:H134)</f>
        <v>205000</v>
      </c>
      <c r="I135" s="16">
        <f t="shared" ref="I135:M135" si="28">SUM(I133:I134)</f>
        <v>5883.5</v>
      </c>
      <c r="J135" s="16">
        <f t="shared" si="28"/>
        <v>6232</v>
      </c>
      <c r="K135" s="16">
        <f t="shared" si="28"/>
        <v>25706.720000000001</v>
      </c>
      <c r="L135" s="16">
        <f t="shared" si="28"/>
        <v>50</v>
      </c>
      <c r="M135" s="16">
        <f t="shared" si="28"/>
        <v>37872.22</v>
      </c>
      <c r="N135" s="16">
        <f>SUM(N133:N134)</f>
        <v>167127.78</v>
      </c>
    </row>
    <row r="136" spans="1:14" s="2" customFormat="1" ht="24.95" customHeight="1" thickBot="1" x14ac:dyDescent="0.25">
      <c r="A136" s="65"/>
      <c r="B136" s="65"/>
      <c r="C136" s="65"/>
      <c r="D136" s="65"/>
      <c r="E136" s="65"/>
      <c r="F136" s="65"/>
      <c r="G136" s="65"/>
      <c r="H136" s="6"/>
      <c r="I136" s="6"/>
      <c r="J136" s="6"/>
      <c r="K136" s="6"/>
      <c r="L136" s="6"/>
      <c r="M136" s="6"/>
      <c r="N136" s="6"/>
    </row>
    <row r="137" spans="1:14" s="81" customFormat="1" ht="23.25" customHeight="1" thickBot="1" x14ac:dyDescent="0.25">
      <c r="A137" s="262" t="s">
        <v>239</v>
      </c>
      <c r="B137" s="263"/>
      <c r="C137" s="263"/>
      <c r="D137" s="263"/>
      <c r="E137" s="263"/>
      <c r="F137" s="263"/>
      <c r="G137" s="263"/>
      <c r="H137" s="263"/>
      <c r="I137" s="263"/>
      <c r="J137" s="263"/>
      <c r="K137" s="263"/>
      <c r="L137" s="263"/>
      <c r="M137" s="263"/>
      <c r="N137" s="264"/>
    </row>
    <row r="138" spans="1:14" s="28" customFormat="1" ht="25.5" customHeight="1" x14ac:dyDescent="0.2">
      <c r="A138" s="69">
        <f>+A134+1</f>
        <v>49</v>
      </c>
      <c r="B138" s="5" t="s">
        <v>423</v>
      </c>
      <c r="C138" s="160" t="s">
        <v>470</v>
      </c>
      <c r="D138" s="134" t="s">
        <v>238</v>
      </c>
      <c r="E138" s="129" t="s">
        <v>233</v>
      </c>
      <c r="F138" s="26" t="s">
        <v>665</v>
      </c>
      <c r="G138" s="26" t="s">
        <v>666</v>
      </c>
      <c r="H138" s="128">
        <v>70000</v>
      </c>
      <c r="I138" s="8">
        <f>H138*2.87%</f>
        <v>2009</v>
      </c>
      <c r="J138" s="112">
        <f>+H138*3.04%</f>
        <v>2128</v>
      </c>
      <c r="K138" s="112">
        <v>5065.96</v>
      </c>
      <c r="L138" s="111">
        <f>1512.45+25</f>
        <v>1537.45</v>
      </c>
      <c r="M138" s="112">
        <f>SUM(I138:L138)</f>
        <v>10740.41</v>
      </c>
      <c r="N138" s="111">
        <f>+H138-M138</f>
        <v>59259.59</v>
      </c>
    </row>
    <row r="139" spans="1:14" s="71" customFormat="1" ht="23.25" customHeight="1" x14ac:dyDescent="0.2">
      <c r="A139" s="265" t="s">
        <v>138</v>
      </c>
      <c r="B139" s="266"/>
      <c r="C139" s="266"/>
      <c r="D139" s="266"/>
      <c r="E139" s="266"/>
      <c r="F139" s="266"/>
      <c r="G139" s="267"/>
      <c r="H139" s="16">
        <f>SUM(H138:H138)</f>
        <v>70000</v>
      </c>
      <c r="I139" s="16">
        <f t="shared" ref="I139:N139" si="29">SUM(I138:I138)</f>
        <v>2009</v>
      </c>
      <c r="J139" s="16">
        <f t="shared" si="29"/>
        <v>2128</v>
      </c>
      <c r="K139" s="16">
        <f t="shared" si="29"/>
        <v>5065.96</v>
      </c>
      <c r="L139" s="16">
        <f t="shared" si="29"/>
        <v>1537.45</v>
      </c>
      <c r="M139" s="16">
        <f t="shared" si="29"/>
        <v>10740.41</v>
      </c>
      <c r="N139" s="16">
        <f t="shared" si="29"/>
        <v>59259.59</v>
      </c>
    </row>
    <row r="140" spans="1:14" s="2" customFormat="1" ht="24.95" customHeight="1" thickBot="1" x14ac:dyDescent="0.25">
      <c r="A140" s="142"/>
      <c r="B140" s="1"/>
      <c r="C140" s="4"/>
      <c r="D140" s="143"/>
      <c r="E140" s="144"/>
      <c r="F140" s="25"/>
      <c r="G140" s="25"/>
      <c r="H140" s="145"/>
      <c r="I140" s="71"/>
      <c r="J140" s="71"/>
      <c r="K140" s="71"/>
      <c r="L140" s="68"/>
      <c r="M140" s="71"/>
      <c r="N140" s="68"/>
    </row>
    <row r="141" spans="1:14" s="2" customFormat="1" ht="24.95" customHeight="1" thickBot="1" x14ac:dyDescent="0.25">
      <c r="A141" s="262" t="s">
        <v>225</v>
      </c>
      <c r="B141" s="263"/>
      <c r="C141" s="263"/>
      <c r="D141" s="263"/>
      <c r="E141" s="263"/>
      <c r="F141" s="263"/>
      <c r="G141" s="263"/>
      <c r="H141" s="263"/>
      <c r="I141" s="263"/>
      <c r="J141" s="263"/>
      <c r="K141" s="263"/>
      <c r="L141" s="263"/>
      <c r="M141" s="263"/>
      <c r="N141" s="264"/>
    </row>
    <row r="142" spans="1:14" s="82" customFormat="1" ht="24.95" customHeight="1" x14ac:dyDescent="0.2">
      <c r="A142" s="133">
        <f>+A138+1</f>
        <v>50</v>
      </c>
      <c r="B142" s="131" t="s">
        <v>424</v>
      </c>
      <c r="C142" s="133" t="s">
        <v>470</v>
      </c>
      <c r="D142" s="132" t="s">
        <v>240</v>
      </c>
      <c r="E142" s="129" t="s">
        <v>233</v>
      </c>
      <c r="F142" s="131" t="s">
        <v>545</v>
      </c>
      <c r="G142" s="131" t="s">
        <v>618</v>
      </c>
      <c r="H142" s="182">
        <v>135000</v>
      </c>
      <c r="I142" s="8">
        <f>H142*2.87%</f>
        <v>3874.5</v>
      </c>
      <c r="J142" s="8">
        <f>+H142*3.04%</f>
        <v>4104</v>
      </c>
      <c r="K142" s="8">
        <v>20338.240000000002</v>
      </c>
      <c r="L142" s="9">
        <v>3025</v>
      </c>
      <c r="M142" s="8">
        <f>SUM(I142:L142)</f>
        <v>31341.74</v>
      </c>
      <c r="N142" s="9">
        <f t="shared" ref="N142:N148" si="30">+H142-M142</f>
        <v>103658.26</v>
      </c>
    </row>
    <row r="143" spans="1:14" s="82" customFormat="1" ht="24.95" customHeight="1" x14ac:dyDescent="0.2">
      <c r="A143" s="108">
        <f>+A142+1</f>
        <v>51</v>
      </c>
      <c r="B143" s="208" t="s">
        <v>420</v>
      </c>
      <c r="C143" s="69" t="s">
        <v>469</v>
      </c>
      <c r="D143" s="208" t="s">
        <v>608</v>
      </c>
      <c r="E143" s="109" t="s">
        <v>233</v>
      </c>
      <c r="F143" s="26" t="s">
        <v>665</v>
      </c>
      <c r="G143" s="26" t="s">
        <v>666</v>
      </c>
      <c r="H143" s="111">
        <v>80000</v>
      </c>
      <c r="I143" s="112">
        <f>H143*2.87%</f>
        <v>2296</v>
      </c>
      <c r="J143" s="112">
        <f>+H143*3.04%</f>
        <v>2432</v>
      </c>
      <c r="K143" s="64">
        <v>7400.87</v>
      </c>
      <c r="L143" s="111">
        <v>25</v>
      </c>
      <c r="M143" s="112">
        <f>SUM(I143:L143)</f>
        <v>12153.869999999999</v>
      </c>
      <c r="N143" s="111">
        <f>+H143-M143</f>
        <v>67846.13</v>
      </c>
    </row>
    <row r="144" spans="1:14" s="82" customFormat="1" ht="24.95" customHeight="1" x14ac:dyDescent="0.2">
      <c r="A144" s="133">
        <f>+A143+1</f>
        <v>52</v>
      </c>
      <c r="B144" s="131" t="s">
        <v>115</v>
      </c>
      <c r="C144" s="133" t="s">
        <v>470</v>
      </c>
      <c r="D144" s="134" t="s">
        <v>609</v>
      </c>
      <c r="E144" s="129" t="s">
        <v>233</v>
      </c>
      <c r="F144" s="26" t="s">
        <v>583</v>
      </c>
      <c r="G144" s="26" t="s">
        <v>638</v>
      </c>
      <c r="H144" s="204">
        <v>70000</v>
      </c>
      <c r="I144" s="5">
        <f>H144*2.87%</f>
        <v>2009</v>
      </c>
      <c r="J144" s="5">
        <f>+H144*3.04%</f>
        <v>2128</v>
      </c>
      <c r="K144" s="112">
        <v>5065.96</v>
      </c>
      <c r="L144" s="5">
        <f>25+1512.45+1000</f>
        <v>2537.4499999999998</v>
      </c>
      <c r="M144" s="8">
        <f>SUM(I144:L144)</f>
        <v>11740.41</v>
      </c>
      <c r="N144" s="9">
        <f t="shared" si="30"/>
        <v>58259.59</v>
      </c>
    </row>
    <row r="145" spans="1:14" s="82" customFormat="1" ht="24.95" customHeight="1" x14ac:dyDescent="0.2">
      <c r="A145" s="108">
        <f t="shared" ref="A145:A148" si="31">+A144+1</f>
        <v>53</v>
      </c>
      <c r="B145" s="131" t="s">
        <v>425</v>
      </c>
      <c r="C145" s="160" t="s">
        <v>470</v>
      </c>
      <c r="D145" s="134" t="s">
        <v>251</v>
      </c>
      <c r="E145" s="129" t="s">
        <v>233</v>
      </c>
      <c r="F145" s="26" t="s">
        <v>665</v>
      </c>
      <c r="G145" s="26" t="s">
        <v>666</v>
      </c>
      <c r="H145" s="128">
        <v>70000</v>
      </c>
      <c r="I145" s="8">
        <f t="shared" ref="I145" si="32">H145*2.87%</f>
        <v>2009</v>
      </c>
      <c r="J145" s="8">
        <f t="shared" ref="J145" si="33">+H145*3.04%</f>
        <v>2128</v>
      </c>
      <c r="K145" s="112">
        <v>5368.45</v>
      </c>
      <c r="L145" s="9">
        <f>25+9809.32</f>
        <v>9834.32</v>
      </c>
      <c r="M145" s="8">
        <f t="shared" ref="M145" si="34">SUM(I145:L145)</f>
        <v>19339.77</v>
      </c>
      <c r="N145" s="9">
        <f t="shared" si="30"/>
        <v>50660.229999999996</v>
      </c>
    </row>
    <row r="146" spans="1:14" s="71" customFormat="1" ht="24.95" customHeight="1" x14ac:dyDescent="0.2">
      <c r="A146" s="133">
        <f t="shared" si="31"/>
        <v>54</v>
      </c>
      <c r="B146" s="131" t="s">
        <v>422</v>
      </c>
      <c r="C146" s="160" t="s">
        <v>470</v>
      </c>
      <c r="D146" s="134" t="s">
        <v>238</v>
      </c>
      <c r="E146" s="129" t="s">
        <v>233</v>
      </c>
      <c r="F146" s="26" t="s">
        <v>573</v>
      </c>
      <c r="G146" s="26" t="s">
        <v>632</v>
      </c>
      <c r="H146" s="8">
        <v>70000</v>
      </c>
      <c r="I146" s="8">
        <f>H146*2.87%</f>
        <v>2009</v>
      </c>
      <c r="J146" s="8">
        <f>+H146*3.04%</f>
        <v>2128</v>
      </c>
      <c r="K146" s="8">
        <v>5368.45</v>
      </c>
      <c r="L146" s="9">
        <f>4000+25</f>
        <v>4025</v>
      </c>
      <c r="M146" s="8">
        <f>SUM(I146:L146)</f>
        <v>13530.45</v>
      </c>
      <c r="N146" s="9">
        <f t="shared" si="30"/>
        <v>56469.55</v>
      </c>
    </row>
    <row r="147" spans="1:14" s="71" customFormat="1" ht="24.95" customHeight="1" x14ac:dyDescent="0.2">
      <c r="A147" s="108">
        <f t="shared" si="31"/>
        <v>55</v>
      </c>
      <c r="B147" s="131" t="s">
        <v>426</v>
      </c>
      <c r="C147" s="160" t="s">
        <v>470</v>
      </c>
      <c r="D147" s="134" t="s">
        <v>164</v>
      </c>
      <c r="E147" s="129" t="s">
        <v>233</v>
      </c>
      <c r="F147" s="26" t="s">
        <v>578</v>
      </c>
      <c r="G147" s="26" t="s">
        <v>648</v>
      </c>
      <c r="H147" s="128">
        <v>60000</v>
      </c>
      <c r="I147" s="5">
        <f>H147*2.87%</f>
        <v>1722</v>
      </c>
      <c r="J147" s="5">
        <f>+H147*3.04%</f>
        <v>1824</v>
      </c>
      <c r="K147" s="5">
        <v>3486.68</v>
      </c>
      <c r="L147" s="9">
        <v>8315.76</v>
      </c>
      <c r="M147" s="8">
        <f>SUM(I147:L147)</f>
        <v>15348.44</v>
      </c>
      <c r="N147" s="9">
        <f t="shared" si="30"/>
        <v>44651.56</v>
      </c>
    </row>
    <row r="148" spans="1:14" s="6" customFormat="1" ht="24.95" customHeight="1" x14ac:dyDescent="0.2">
      <c r="A148" s="133">
        <f t="shared" si="31"/>
        <v>56</v>
      </c>
      <c r="B148" s="131" t="s">
        <v>427</v>
      </c>
      <c r="C148" s="160" t="s">
        <v>470</v>
      </c>
      <c r="D148" s="134" t="s">
        <v>428</v>
      </c>
      <c r="E148" s="129" t="s">
        <v>233</v>
      </c>
      <c r="F148" s="134" t="s">
        <v>578</v>
      </c>
      <c r="G148" s="134" t="s">
        <v>648</v>
      </c>
      <c r="H148" s="128">
        <v>55000</v>
      </c>
      <c r="I148" s="5">
        <f t="shared" ref="I148" si="35">H148*2.87%</f>
        <v>1578.5</v>
      </c>
      <c r="J148" s="5">
        <f t="shared" ref="J148" si="36">+H148*3.04%</f>
        <v>1672</v>
      </c>
      <c r="K148" s="5">
        <v>2559.67</v>
      </c>
      <c r="L148" s="9">
        <v>1025</v>
      </c>
      <c r="M148" s="8">
        <f>SUM(I148:L148)</f>
        <v>6835.17</v>
      </c>
      <c r="N148" s="9">
        <f t="shared" si="30"/>
        <v>48164.83</v>
      </c>
    </row>
    <row r="149" spans="1:14" s="6" customFormat="1" ht="24.95" customHeight="1" x14ac:dyDescent="0.2">
      <c r="A149" s="261" t="s">
        <v>138</v>
      </c>
      <c r="B149" s="261"/>
      <c r="C149" s="261"/>
      <c r="D149" s="261"/>
      <c r="E149" s="261"/>
      <c r="F149" s="261"/>
      <c r="G149" s="261"/>
      <c r="H149" s="16">
        <f>SUM(H142:H148)</f>
        <v>540000</v>
      </c>
      <c r="I149" s="16">
        <f t="shared" ref="I149:M149" si="37">SUM(I142:I148)</f>
        <v>15498</v>
      </c>
      <c r="J149" s="16">
        <f t="shared" si="37"/>
        <v>16416</v>
      </c>
      <c r="K149" s="16">
        <f t="shared" si="37"/>
        <v>49588.319999999992</v>
      </c>
      <c r="L149" s="16">
        <f t="shared" si="37"/>
        <v>28787.53</v>
      </c>
      <c r="M149" s="16">
        <f t="shared" si="37"/>
        <v>110289.85</v>
      </c>
      <c r="N149" s="16">
        <f>SUM(N142:N148)</f>
        <v>429710.15</v>
      </c>
    </row>
    <row r="150" spans="1:14" s="6" customFormat="1" ht="24.95" customHeight="1" thickBot="1" x14ac:dyDescent="0.25">
      <c r="A150" s="65"/>
      <c r="B150" s="65"/>
      <c r="C150" s="65"/>
      <c r="D150" s="65"/>
      <c r="E150" s="65"/>
      <c r="F150" s="65"/>
      <c r="G150" s="65"/>
    </row>
    <row r="151" spans="1:14" s="6" customFormat="1" ht="24.95" customHeight="1" thickBot="1" x14ac:dyDescent="0.25">
      <c r="A151" s="262" t="s">
        <v>521</v>
      </c>
      <c r="B151" s="263"/>
      <c r="C151" s="263"/>
      <c r="D151" s="263"/>
      <c r="E151" s="263"/>
      <c r="F151" s="263"/>
      <c r="G151" s="263"/>
      <c r="H151" s="263"/>
      <c r="I151" s="263"/>
      <c r="J151" s="263"/>
      <c r="K151" s="263"/>
      <c r="L151" s="263"/>
      <c r="M151" s="263"/>
      <c r="N151" s="264"/>
    </row>
    <row r="152" spans="1:14" s="6" customFormat="1" ht="24.95" customHeight="1" x14ac:dyDescent="0.2">
      <c r="A152" s="69">
        <f>+A148+1</f>
        <v>57</v>
      </c>
      <c r="B152" s="134" t="s">
        <v>241</v>
      </c>
      <c r="C152" s="133" t="s">
        <v>470</v>
      </c>
      <c r="D152" s="132" t="s">
        <v>522</v>
      </c>
      <c r="E152" s="129" t="s">
        <v>233</v>
      </c>
      <c r="F152" s="131" t="s">
        <v>545</v>
      </c>
      <c r="G152" s="131" t="s">
        <v>618</v>
      </c>
      <c r="H152" s="204">
        <v>170000</v>
      </c>
      <c r="I152" s="64">
        <f>H152*2.87%</f>
        <v>4879</v>
      </c>
      <c r="J152" s="112">
        <v>4943.8</v>
      </c>
      <c r="K152" s="5">
        <v>28627.17</v>
      </c>
      <c r="L152" s="70">
        <v>19449.29</v>
      </c>
      <c r="M152" s="64">
        <f>SUM(I152:L152)</f>
        <v>57899.26</v>
      </c>
      <c r="N152" s="70">
        <f>+H152-M152</f>
        <v>112100.73999999999</v>
      </c>
    </row>
    <row r="153" spans="1:14" s="6" customFormat="1" ht="24.95" customHeight="1" x14ac:dyDescent="0.2">
      <c r="A153" s="261" t="s">
        <v>138</v>
      </c>
      <c r="B153" s="261"/>
      <c r="C153" s="261"/>
      <c r="D153" s="261"/>
      <c r="E153" s="261"/>
      <c r="F153" s="261"/>
      <c r="G153" s="261"/>
      <c r="H153" s="16">
        <f>SUM(H152:H152)</f>
        <v>170000</v>
      </c>
      <c r="I153" s="16">
        <f t="shared" ref="I153:M153" si="38">SUM(I152:I152)</f>
        <v>4879</v>
      </c>
      <c r="J153" s="16">
        <f t="shared" si="38"/>
        <v>4943.8</v>
      </c>
      <c r="K153" s="16">
        <f t="shared" si="38"/>
        <v>28627.17</v>
      </c>
      <c r="L153" s="16">
        <f t="shared" si="38"/>
        <v>19449.29</v>
      </c>
      <c r="M153" s="16">
        <f t="shared" si="38"/>
        <v>57899.26</v>
      </c>
      <c r="N153" s="16">
        <f>SUM(N152:N152)</f>
        <v>112100.73999999999</v>
      </c>
    </row>
    <row r="154" spans="1:14" s="28" customFormat="1" ht="27" customHeight="1" thickBot="1" x14ac:dyDescent="0.25">
      <c r="A154" s="65"/>
      <c r="B154" s="65"/>
      <c r="C154" s="65"/>
      <c r="D154" s="65"/>
      <c r="E154" s="65"/>
      <c r="F154" s="65"/>
      <c r="G154" s="65"/>
      <c r="H154" s="6"/>
      <c r="I154" s="6"/>
      <c r="J154" s="6"/>
      <c r="K154" s="6"/>
      <c r="L154" s="6"/>
      <c r="M154" s="6"/>
      <c r="N154" s="6"/>
    </row>
    <row r="155" spans="1:14" s="81" customFormat="1" ht="24.95" customHeight="1" thickBot="1" x14ac:dyDescent="0.25">
      <c r="A155" s="262" t="s">
        <v>192</v>
      </c>
      <c r="B155" s="263"/>
      <c r="C155" s="263"/>
      <c r="D155" s="263"/>
      <c r="E155" s="263"/>
      <c r="F155" s="263"/>
      <c r="G155" s="263"/>
      <c r="H155" s="263"/>
      <c r="I155" s="263"/>
      <c r="J155" s="263"/>
      <c r="K155" s="263"/>
      <c r="L155" s="263"/>
      <c r="M155" s="263"/>
      <c r="N155" s="264"/>
    </row>
    <row r="156" spans="1:14" s="81" customFormat="1" ht="27.6" customHeight="1" x14ac:dyDescent="0.2">
      <c r="A156" s="108">
        <f>+A152+1</f>
        <v>58</v>
      </c>
      <c r="B156" s="148" t="s">
        <v>550</v>
      </c>
      <c r="C156" s="12" t="s">
        <v>470</v>
      </c>
      <c r="D156" s="129" t="s">
        <v>551</v>
      </c>
      <c r="E156" s="129" t="s">
        <v>233</v>
      </c>
      <c r="F156" s="26" t="s">
        <v>580</v>
      </c>
      <c r="G156" s="26" t="s">
        <v>633</v>
      </c>
      <c r="H156" s="182">
        <v>100000</v>
      </c>
      <c r="I156" s="112">
        <f>H156*2.87%</f>
        <v>2870</v>
      </c>
      <c r="J156" s="112">
        <f>+H156*3.04%</f>
        <v>3040</v>
      </c>
      <c r="K156" s="112">
        <v>12105.37</v>
      </c>
      <c r="L156" s="111">
        <v>3025</v>
      </c>
      <c r="M156" s="112">
        <f>SUM(I156:L156)</f>
        <v>21040.370000000003</v>
      </c>
      <c r="N156" s="111">
        <f t="shared" ref="N156" si="39">+H156-M156</f>
        <v>78959.63</v>
      </c>
    </row>
    <row r="157" spans="1:14" s="28" customFormat="1" ht="26.25" customHeight="1" x14ac:dyDescent="0.2">
      <c r="A157" s="69">
        <f>+A156+1</f>
        <v>59</v>
      </c>
      <c r="B157" s="134" t="s">
        <v>399</v>
      </c>
      <c r="C157" s="133" t="s">
        <v>470</v>
      </c>
      <c r="D157" s="132" t="s">
        <v>429</v>
      </c>
      <c r="E157" s="129" t="s">
        <v>233</v>
      </c>
      <c r="F157" s="134" t="s">
        <v>578</v>
      </c>
      <c r="G157" s="134" t="s">
        <v>648</v>
      </c>
      <c r="H157" s="204">
        <v>50000</v>
      </c>
      <c r="I157" s="64">
        <f>H157*2.87%</f>
        <v>1435</v>
      </c>
      <c r="J157" s="112">
        <f t="shared" ref="J157" si="40">+H157*3.04%</f>
        <v>1520</v>
      </c>
      <c r="K157" s="64">
        <v>1854</v>
      </c>
      <c r="L157" s="70">
        <f>5990+25</f>
        <v>6015</v>
      </c>
      <c r="M157" s="64">
        <f>SUM(I157:L157)</f>
        <v>10824</v>
      </c>
      <c r="N157" s="70">
        <f>+H157-M157</f>
        <v>39176</v>
      </c>
    </row>
    <row r="158" spans="1:14" s="28" customFormat="1" ht="26.25" customHeight="1" x14ac:dyDescent="0.2">
      <c r="A158" s="69">
        <f>+A157+1</f>
        <v>60</v>
      </c>
      <c r="B158" s="134" t="s">
        <v>658</v>
      </c>
      <c r="C158" s="133" t="s">
        <v>470</v>
      </c>
      <c r="D158" s="132" t="s">
        <v>659</v>
      </c>
      <c r="E158" s="129" t="s">
        <v>233</v>
      </c>
      <c r="F158" s="134" t="s">
        <v>579</v>
      </c>
      <c r="G158" s="134"/>
      <c r="H158" s="204">
        <v>50000</v>
      </c>
      <c r="I158" s="64">
        <f>H158*2.87%</f>
        <v>1435</v>
      </c>
      <c r="J158" s="112">
        <f t="shared" ref="J158" si="41">+H158*3.04%</f>
        <v>1520</v>
      </c>
      <c r="K158" s="64">
        <v>1854</v>
      </c>
      <c r="L158" s="70">
        <v>25</v>
      </c>
      <c r="M158" s="64">
        <f>SUM(I158:L158)</f>
        <v>4834</v>
      </c>
      <c r="N158" s="70">
        <f>+H158-M158</f>
        <v>45166</v>
      </c>
    </row>
    <row r="159" spans="1:14" s="28" customFormat="1" ht="22.5" customHeight="1" x14ac:dyDescent="0.2">
      <c r="A159" s="261" t="s">
        <v>138</v>
      </c>
      <c r="B159" s="261"/>
      <c r="C159" s="261"/>
      <c r="D159" s="261"/>
      <c r="E159" s="261"/>
      <c r="F159" s="261"/>
      <c r="G159" s="261"/>
      <c r="H159" s="16">
        <f>SUM(H156:H158)</f>
        <v>200000</v>
      </c>
      <c r="I159" s="16">
        <f>SUM(I156:I158)</f>
        <v>5740</v>
      </c>
      <c r="J159" s="16">
        <f t="shared" ref="J159:M159" si="42">SUM(J156:J158)</f>
        <v>6080</v>
      </c>
      <c r="K159" s="16">
        <f t="shared" si="42"/>
        <v>15813.37</v>
      </c>
      <c r="L159" s="16">
        <f t="shared" si="42"/>
        <v>9065</v>
      </c>
      <c r="M159" s="16">
        <f t="shared" si="42"/>
        <v>36698.370000000003</v>
      </c>
      <c r="N159" s="16">
        <f>SUM(N156:N158)</f>
        <v>163301.63</v>
      </c>
    </row>
    <row r="160" spans="1:14" s="28" customFormat="1" ht="15" customHeight="1" thickBot="1" x14ac:dyDescent="0.25">
      <c r="A160" s="65"/>
      <c r="B160" s="65"/>
      <c r="C160" s="65"/>
      <c r="D160" s="65"/>
      <c r="E160" s="65"/>
      <c r="F160" s="65"/>
      <c r="G160" s="65"/>
      <c r="H160" s="6"/>
      <c r="I160" s="6"/>
      <c r="J160" s="6"/>
      <c r="K160" s="6"/>
      <c r="L160" s="6"/>
      <c r="M160" s="6"/>
      <c r="N160" s="6"/>
    </row>
    <row r="161" spans="1:14" s="28" customFormat="1" ht="22.5" customHeight="1" thickBot="1" x14ac:dyDescent="0.25">
      <c r="A161" s="262" t="s">
        <v>193</v>
      </c>
      <c r="B161" s="263"/>
      <c r="C161" s="263"/>
      <c r="D161" s="263"/>
      <c r="E161" s="263"/>
      <c r="F161" s="263"/>
      <c r="G161" s="263"/>
      <c r="H161" s="263"/>
      <c r="I161" s="263"/>
      <c r="J161" s="263"/>
      <c r="K161" s="263"/>
      <c r="L161" s="263"/>
      <c r="M161" s="263"/>
      <c r="N161" s="264"/>
    </row>
    <row r="162" spans="1:14" s="81" customFormat="1" ht="24.95" customHeight="1" x14ac:dyDescent="0.2">
      <c r="A162" s="108">
        <f>+A158+1</f>
        <v>61</v>
      </c>
      <c r="B162" s="26" t="s">
        <v>494</v>
      </c>
      <c r="C162" s="12" t="s">
        <v>469</v>
      </c>
      <c r="D162" s="26" t="s">
        <v>486</v>
      </c>
      <c r="E162" s="129" t="s">
        <v>233</v>
      </c>
      <c r="F162" s="26" t="s">
        <v>595</v>
      </c>
      <c r="G162" s="26" t="s">
        <v>663</v>
      </c>
      <c r="H162" s="9">
        <v>70000</v>
      </c>
      <c r="I162" s="112">
        <f t="shared" ref="I162" si="43">H162*2.87%</f>
        <v>2009</v>
      </c>
      <c r="J162" s="112">
        <f>+H162*3.04%</f>
        <v>2128</v>
      </c>
      <c r="K162" s="112">
        <v>5368.48</v>
      </c>
      <c r="L162" s="111">
        <v>5025</v>
      </c>
      <c r="M162" s="112">
        <f t="shared" ref="M162" si="44">SUM(I162:L162)</f>
        <v>14530.48</v>
      </c>
      <c r="N162" s="111">
        <f>+H162-M162</f>
        <v>55469.520000000004</v>
      </c>
    </row>
    <row r="163" spans="1:14" s="28" customFormat="1" ht="22.5" customHeight="1" x14ac:dyDescent="0.2">
      <c r="A163" s="108">
        <f>+A162+1</f>
        <v>62</v>
      </c>
      <c r="B163" s="26" t="s">
        <v>243</v>
      </c>
      <c r="C163" s="12" t="s">
        <v>469</v>
      </c>
      <c r="D163" s="26" t="s">
        <v>242</v>
      </c>
      <c r="E163" s="129" t="s">
        <v>233</v>
      </c>
      <c r="F163" s="131" t="s">
        <v>545</v>
      </c>
      <c r="G163" s="131" t="s">
        <v>618</v>
      </c>
      <c r="H163" s="9">
        <v>60000</v>
      </c>
      <c r="I163" s="112">
        <f t="shared" ref="I163" si="45">H163*2.87%</f>
        <v>1722</v>
      </c>
      <c r="J163" s="112">
        <f t="shared" ref="J163" si="46">+H163*3.04%</f>
        <v>1824</v>
      </c>
      <c r="K163" s="112">
        <v>3486.65</v>
      </c>
      <c r="L163" s="111">
        <v>25</v>
      </c>
      <c r="M163" s="112">
        <f t="shared" ref="M163" si="47">SUM(I163:L163)</f>
        <v>7057.65</v>
      </c>
      <c r="N163" s="111">
        <f>+H163-M163</f>
        <v>52942.35</v>
      </c>
    </row>
    <row r="164" spans="1:14" s="2" customFormat="1" ht="22.5" customHeight="1" x14ac:dyDescent="0.2">
      <c r="A164" s="261" t="s">
        <v>138</v>
      </c>
      <c r="B164" s="261"/>
      <c r="C164" s="261"/>
      <c r="D164" s="261"/>
      <c r="E164" s="261"/>
      <c r="F164" s="261"/>
      <c r="G164" s="261"/>
      <c r="H164" s="16">
        <f>SUM(H162:H163)</f>
        <v>130000</v>
      </c>
      <c r="I164" s="16">
        <f t="shared" ref="I164:M164" si="48">SUM(I162:I163)</f>
        <v>3731</v>
      </c>
      <c r="J164" s="16">
        <f t="shared" si="48"/>
        <v>3952</v>
      </c>
      <c r="K164" s="16">
        <f t="shared" si="48"/>
        <v>8855.1299999999992</v>
      </c>
      <c r="L164" s="16">
        <f t="shared" si="48"/>
        <v>5050</v>
      </c>
      <c r="M164" s="16">
        <f t="shared" si="48"/>
        <v>21588.129999999997</v>
      </c>
      <c r="N164" s="16">
        <f>SUM(N162:N163)</f>
        <v>108411.87</v>
      </c>
    </row>
    <row r="165" spans="1:14" s="71" customFormat="1" ht="20.100000000000001" customHeight="1" thickBot="1" x14ac:dyDescent="0.25">
      <c r="A165" s="4"/>
      <c r="B165" s="25"/>
      <c r="C165" s="4"/>
      <c r="D165" s="27"/>
      <c r="E165" s="27"/>
      <c r="F165" s="27"/>
      <c r="G165" s="27"/>
      <c r="H165" s="2"/>
      <c r="I165" s="2"/>
      <c r="J165" s="2"/>
      <c r="K165" s="2"/>
      <c r="L165" s="2"/>
      <c r="M165" s="2"/>
      <c r="N165" s="7"/>
    </row>
    <row r="166" spans="1:14" s="71" customFormat="1" ht="24.95" customHeight="1" thickBot="1" x14ac:dyDescent="0.25">
      <c r="A166" s="262" t="s">
        <v>337</v>
      </c>
      <c r="B166" s="263"/>
      <c r="C166" s="263"/>
      <c r="D166" s="263"/>
      <c r="E166" s="263"/>
      <c r="F166" s="263"/>
      <c r="G166" s="263"/>
      <c r="H166" s="263"/>
      <c r="I166" s="263"/>
      <c r="J166" s="263"/>
      <c r="K166" s="263"/>
      <c r="L166" s="263"/>
      <c r="M166" s="263"/>
      <c r="N166" s="264"/>
    </row>
    <row r="167" spans="1:14" s="2" customFormat="1" ht="24.95" customHeight="1" x14ac:dyDescent="0.2">
      <c r="A167" s="108">
        <f>+A163+1</f>
        <v>63</v>
      </c>
      <c r="B167" s="26" t="s">
        <v>430</v>
      </c>
      <c r="C167" s="12" t="s">
        <v>469</v>
      </c>
      <c r="D167" s="129" t="s">
        <v>431</v>
      </c>
      <c r="E167" s="129" t="s">
        <v>233</v>
      </c>
      <c r="F167" s="110" t="s">
        <v>584</v>
      </c>
      <c r="G167" s="110" t="s">
        <v>639</v>
      </c>
      <c r="H167" s="8">
        <v>190000</v>
      </c>
      <c r="I167" s="112">
        <f>H167*2.87%</f>
        <v>5453</v>
      </c>
      <c r="J167" s="5">
        <v>4943.8</v>
      </c>
      <c r="K167" s="5">
        <v>33483.67</v>
      </c>
      <c r="L167" s="111">
        <v>20025</v>
      </c>
      <c r="M167" s="112">
        <f>SUM(I167:L167)</f>
        <v>63905.47</v>
      </c>
      <c r="N167" s="111">
        <f t="shared" ref="N167" si="49">+H167-M167</f>
        <v>126094.53</v>
      </c>
    </row>
    <row r="168" spans="1:14" s="71" customFormat="1" ht="24.75" customHeight="1" thickBot="1" x14ac:dyDescent="0.25">
      <c r="A168" s="261" t="s">
        <v>138</v>
      </c>
      <c r="B168" s="261"/>
      <c r="C168" s="261"/>
      <c r="D168" s="261"/>
      <c r="E168" s="268"/>
      <c r="F168" s="268"/>
      <c r="G168" s="269"/>
      <c r="H168" s="80">
        <f>SUM(H167:H167)</f>
        <v>190000</v>
      </c>
      <c r="I168" s="80">
        <f t="shared" ref="I168:M168" si="50">SUM(I167:I167)</f>
        <v>5453</v>
      </c>
      <c r="J168" s="80">
        <f t="shared" si="50"/>
        <v>4943.8</v>
      </c>
      <c r="K168" s="80">
        <f t="shared" si="50"/>
        <v>33483.67</v>
      </c>
      <c r="L168" s="80">
        <f t="shared" si="50"/>
        <v>20025</v>
      </c>
      <c r="M168" s="80">
        <f t="shared" si="50"/>
        <v>63905.47</v>
      </c>
      <c r="N168" s="80">
        <f>SUM(N167:N167)</f>
        <v>126094.53</v>
      </c>
    </row>
    <row r="169" spans="1:14" s="71" customFormat="1" ht="24.75" customHeight="1" thickBot="1" x14ac:dyDescent="0.25">
      <c r="A169" s="223"/>
      <c r="B169" s="223"/>
      <c r="C169" s="223"/>
      <c r="D169" s="223"/>
      <c r="E169" s="223"/>
      <c r="F169" s="223"/>
      <c r="G169" s="223"/>
      <c r="H169" s="224"/>
      <c r="I169" s="224"/>
      <c r="J169" s="224"/>
      <c r="K169" s="224"/>
      <c r="L169" s="224"/>
      <c r="M169" s="224"/>
      <c r="N169" s="224"/>
    </row>
    <row r="170" spans="1:14" s="71" customFormat="1" ht="24.75" customHeight="1" thickBot="1" x14ac:dyDescent="0.25">
      <c r="A170" s="262" t="s">
        <v>432</v>
      </c>
      <c r="B170" s="263"/>
      <c r="C170" s="263"/>
      <c r="D170" s="263"/>
      <c r="E170" s="263"/>
      <c r="F170" s="263"/>
      <c r="G170" s="263"/>
      <c r="H170" s="263"/>
      <c r="I170" s="263"/>
      <c r="J170" s="263"/>
      <c r="K170" s="263"/>
      <c r="L170" s="263"/>
      <c r="M170" s="263"/>
      <c r="N170" s="264"/>
    </row>
    <row r="171" spans="1:14" s="28" customFormat="1" ht="24.95" customHeight="1" x14ac:dyDescent="0.2">
      <c r="A171" s="69">
        <f>+A167+1</f>
        <v>64</v>
      </c>
      <c r="B171" s="134" t="s">
        <v>97</v>
      </c>
      <c r="C171" s="133" t="s">
        <v>469</v>
      </c>
      <c r="D171" s="134" t="s">
        <v>112</v>
      </c>
      <c r="E171" s="129" t="s">
        <v>233</v>
      </c>
      <c r="F171" s="26" t="s">
        <v>595</v>
      </c>
      <c r="G171" s="26" t="s">
        <v>663</v>
      </c>
      <c r="H171" s="64">
        <v>90000</v>
      </c>
      <c r="I171" s="64">
        <f t="shared" ref="I171" si="51">H171*2.87%</f>
        <v>2583</v>
      </c>
      <c r="J171" s="64">
        <f t="shared" ref="J171" si="52">+H171*3.04%</f>
        <v>2736</v>
      </c>
      <c r="K171" s="64">
        <v>9753.1200000000008</v>
      </c>
      <c r="L171" s="111">
        <v>25</v>
      </c>
      <c r="M171" s="112">
        <f>SUM(I171:L171)</f>
        <v>15097.12</v>
      </c>
      <c r="N171" s="111">
        <f t="shared" ref="N171:N172" si="53">+H171-M171</f>
        <v>74902.880000000005</v>
      </c>
    </row>
    <row r="172" spans="1:14" s="28" customFormat="1" ht="24.95" customHeight="1" thickBot="1" x14ac:dyDescent="0.25">
      <c r="A172" s="69">
        <f>+A171+1</f>
        <v>65</v>
      </c>
      <c r="B172" s="134" t="s">
        <v>660</v>
      </c>
      <c r="C172" s="133" t="s">
        <v>469</v>
      </c>
      <c r="D172" s="134" t="s">
        <v>92</v>
      </c>
      <c r="E172" s="129" t="s">
        <v>233</v>
      </c>
      <c r="F172" s="26" t="s">
        <v>579</v>
      </c>
      <c r="G172" s="26" t="s">
        <v>652</v>
      </c>
      <c r="H172" s="64">
        <v>70000</v>
      </c>
      <c r="I172" s="64">
        <f t="shared" ref="I172" si="54">H172*2.87%</f>
        <v>2009</v>
      </c>
      <c r="J172" s="64">
        <f t="shared" ref="J172" si="55">+H172*3.04%</f>
        <v>2128</v>
      </c>
      <c r="K172" s="64">
        <v>5368.48</v>
      </c>
      <c r="L172" s="111">
        <v>25</v>
      </c>
      <c r="M172" s="112">
        <f>SUM(I172:L172)</f>
        <v>9530.48</v>
      </c>
      <c r="N172" s="111">
        <f t="shared" si="53"/>
        <v>60469.520000000004</v>
      </c>
    </row>
    <row r="173" spans="1:14" s="2" customFormat="1" ht="21.75" customHeight="1" thickBot="1" x14ac:dyDescent="0.25">
      <c r="A173" s="261" t="s">
        <v>138</v>
      </c>
      <c r="B173" s="261"/>
      <c r="C173" s="261"/>
      <c r="D173" s="261"/>
      <c r="E173" s="261"/>
      <c r="F173" s="261"/>
      <c r="G173" s="265"/>
      <c r="H173" s="66">
        <f>SUM(H171:H172)</f>
        <v>160000</v>
      </c>
      <c r="I173" s="66">
        <f t="shared" ref="I173:L173" si="56">SUM(I171:I172)</f>
        <v>4592</v>
      </c>
      <c r="J173" s="66">
        <f t="shared" si="56"/>
        <v>4864</v>
      </c>
      <c r="K173" s="66">
        <f t="shared" si="56"/>
        <v>15121.6</v>
      </c>
      <c r="L173" s="66">
        <f t="shared" si="56"/>
        <v>50</v>
      </c>
      <c r="M173" s="66">
        <f>SUM(M171:M172)</f>
        <v>24627.599999999999</v>
      </c>
      <c r="N173" s="66">
        <f>SUM(N171:N172)</f>
        <v>135372.40000000002</v>
      </c>
    </row>
    <row r="174" spans="1:14" s="71" customFormat="1" ht="13.5" customHeight="1" thickBot="1" x14ac:dyDescent="0.25">
      <c r="A174" s="65"/>
      <c r="B174" s="65"/>
      <c r="C174" s="65"/>
      <c r="D174" s="65"/>
      <c r="E174" s="65"/>
      <c r="F174" s="65"/>
      <c r="G174" s="65"/>
      <c r="H174"/>
      <c r="I174"/>
      <c r="J174"/>
      <c r="K174"/>
      <c r="L174"/>
      <c r="M174"/>
      <c r="N174"/>
    </row>
    <row r="175" spans="1:14" s="71" customFormat="1" ht="24.95" customHeight="1" thickBot="1" x14ac:dyDescent="0.25">
      <c r="A175" s="262" t="s">
        <v>343</v>
      </c>
      <c r="B175" s="263"/>
      <c r="C175" s="263"/>
      <c r="D175" s="263"/>
      <c r="E175" s="263"/>
      <c r="F175" s="263"/>
      <c r="G175" s="263"/>
      <c r="H175" s="263"/>
      <c r="I175" s="263"/>
      <c r="J175" s="263"/>
      <c r="K175" s="263"/>
      <c r="L175" s="263"/>
      <c r="M175" s="263"/>
      <c r="N175" s="264"/>
    </row>
    <row r="176" spans="1:14" s="81" customFormat="1" ht="27" customHeight="1" x14ac:dyDescent="0.2">
      <c r="A176" s="108">
        <f>+A172+1</f>
        <v>66</v>
      </c>
      <c r="B176" s="26" t="s">
        <v>507</v>
      </c>
      <c r="C176" s="12" t="s">
        <v>469</v>
      </c>
      <c r="D176" s="129" t="s">
        <v>508</v>
      </c>
      <c r="E176" s="129" t="s">
        <v>233</v>
      </c>
      <c r="F176" s="26" t="s">
        <v>596</v>
      </c>
      <c r="G176" s="26" t="s">
        <v>662</v>
      </c>
      <c r="H176" s="112">
        <v>135000</v>
      </c>
      <c r="I176" s="112">
        <f>H176*2.87%</f>
        <v>3874.5</v>
      </c>
      <c r="J176" s="112">
        <f>+H176*3.04%</f>
        <v>4104</v>
      </c>
      <c r="K176" s="64">
        <v>20338.240000000002</v>
      </c>
      <c r="L176" s="111">
        <v>5025</v>
      </c>
      <c r="M176" s="112">
        <f>SUM(I176:L176)</f>
        <v>33341.740000000005</v>
      </c>
      <c r="N176" s="111">
        <f>+H176-M176</f>
        <v>101658.26</v>
      </c>
    </row>
    <row r="177" spans="1:14" s="81" customFormat="1" ht="25.5" customHeight="1" x14ac:dyDescent="0.2">
      <c r="A177" s="108">
        <f>+A176+1</f>
        <v>67</v>
      </c>
      <c r="B177" s="26" t="s">
        <v>569</v>
      </c>
      <c r="C177" s="12" t="s">
        <v>469</v>
      </c>
      <c r="D177" s="129" t="s">
        <v>570</v>
      </c>
      <c r="E177" s="129" t="s">
        <v>233</v>
      </c>
      <c r="F177" s="26" t="s">
        <v>576</v>
      </c>
      <c r="G177" s="26" t="s">
        <v>637</v>
      </c>
      <c r="H177" s="112">
        <v>110000</v>
      </c>
      <c r="I177" s="112">
        <f>H177*2.87%</f>
        <v>3157</v>
      </c>
      <c r="J177" s="112">
        <f>+H177*3.04%</f>
        <v>3344</v>
      </c>
      <c r="K177" s="112">
        <v>14079.57</v>
      </c>
      <c r="L177" s="111">
        <f>1512.4+25</f>
        <v>1537.4</v>
      </c>
      <c r="M177" s="112">
        <f>SUM(I177:L177)</f>
        <v>22117.97</v>
      </c>
      <c r="N177" s="111">
        <f>+H177-M177</f>
        <v>87882.03</v>
      </c>
    </row>
    <row r="178" spans="1:14" s="81" customFormat="1" ht="25.5" customHeight="1" x14ac:dyDescent="0.2">
      <c r="A178" s="108">
        <f>+A177+1</f>
        <v>68</v>
      </c>
      <c r="B178" s="110" t="s">
        <v>591</v>
      </c>
      <c r="C178" s="108" t="s">
        <v>469</v>
      </c>
      <c r="D178" s="109" t="s">
        <v>570</v>
      </c>
      <c r="E178" s="109" t="s">
        <v>233</v>
      </c>
      <c r="F178" s="26" t="s">
        <v>595</v>
      </c>
      <c r="G178" s="26" t="s">
        <v>663</v>
      </c>
      <c r="H178" s="112">
        <v>100000</v>
      </c>
      <c r="I178" s="112">
        <f>H178*2.87%</f>
        <v>2870</v>
      </c>
      <c r="J178" s="112">
        <f>+H178*3.04%</f>
        <v>3040</v>
      </c>
      <c r="K178" s="5">
        <v>11349.21</v>
      </c>
      <c r="L178" s="111">
        <f>25+3024.9+4536.48</f>
        <v>7586.3799999999992</v>
      </c>
      <c r="M178" s="112">
        <f>SUM(I178:L178)</f>
        <v>24845.589999999997</v>
      </c>
      <c r="N178" s="111">
        <f>+H178-M178</f>
        <v>75154.41</v>
      </c>
    </row>
    <row r="179" spans="1:14" s="2" customFormat="1" ht="24.95" customHeight="1" x14ac:dyDescent="0.2">
      <c r="A179" s="108">
        <f>+A178+1</f>
        <v>69</v>
      </c>
      <c r="B179" s="26" t="s">
        <v>495</v>
      </c>
      <c r="C179" s="12" t="s">
        <v>469</v>
      </c>
      <c r="D179" s="109" t="s">
        <v>468</v>
      </c>
      <c r="E179" s="129" t="s">
        <v>233</v>
      </c>
      <c r="F179" s="26" t="s">
        <v>595</v>
      </c>
      <c r="G179" s="26" t="s">
        <v>663</v>
      </c>
      <c r="H179" s="116">
        <v>60000</v>
      </c>
      <c r="I179" s="112">
        <f>H179*2.87%</f>
        <v>1722</v>
      </c>
      <c r="J179" s="112">
        <f>+H179*3.04%</f>
        <v>1824</v>
      </c>
      <c r="K179" s="112">
        <v>3486.68</v>
      </c>
      <c r="L179" s="111">
        <v>25</v>
      </c>
      <c r="M179" s="112">
        <f t="shared" ref="M179" si="57">SUM(I179:L179)</f>
        <v>7057.68</v>
      </c>
      <c r="N179" s="111">
        <f t="shared" ref="N179" si="58">+H179-M179</f>
        <v>52942.32</v>
      </c>
    </row>
    <row r="180" spans="1:14" s="2" customFormat="1" ht="24.95" customHeight="1" x14ac:dyDescent="0.2">
      <c r="A180" s="108">
        <f>+A179+1</f>
        <v>70</v>
      </c>
      <c r="B180" s="134" t="s">
        <v>245</v>
      </c>
      <c r="C180" s="133" t="s">
        <v>469</v>
      </c>
      <c r="D180" s="134" t="s">
        <v>433</v>
      </c>
      <c r="E180" s="132" t="s">
        <v>233</v>
      </c>
      <c r="F180" s="131" t="s">
        <v>545</v>
      </c>
      <c r="G180" s="131" t="s">
        <v>618</v>
      </c>
      <c r="H180" s="117">
        <v>50000</v>
      </c>
      <c r="I180" s="64">
        <f t="shared" ref="I180" si="59">H180*2.87%</f>
        <v>1435</v>
      </c>
      <c r="J180" s="64">
        <f t="shared" ref="J180:J181" si="60">+H180*3.04%</f>
        <v>1520</v>
      </c>
      <c r="K180" s="64">
        <v>1854</v>
      </c>
      <c r="L180" s="70">
        <v>2025</v>
      </c>
      <c r="M180" s="64">
        <f t="shared" ref="M180" si="61">SUM(I180:L180)</f>
        <v>6834</v>
      </c>
      <c r="N180" s="70">
        <f t="shared" ref="N180" si="62">+H180-M180</f>
        <v>43166</v>
      </c>
    </row>
    <row r="181" spans="1:14" s="2" customFormat="1" ht="24.95" customHeight="1" x14ac:dyDescent="0.2">
      <c r="A181" s="108">
        <f>+A180+1</f>
        <v>71</v>
      </c>
      <c r="B181" s="134" t="s">
        <v>487</v>
      </c>
      <c r="C181" s="133" t="s">
        <v>469</v>
      </c>
      <c r="D181" s="134" t="s">
        <v>433</v>
      </c>
      <c r="E181" s="132" t="s">
        <v>233</v>
      </c>
      <c r="F181" s="26" t="s">
        <v>578</v>
      </c>
      <c r="G181" s="26" t="s">
        <v>648</v>
      </c>
      <c r="H181" s="117">
        <v>50000</v>
      </c>
      <c r="I181" s="64">
        <f>H181*2.87%</f>
        <v>1435</v>
      </c>
      <c r="J181" s="64">
        <f t="shared" si="60"/>
        <v>1520</v>
      </c>
      <c r="K181" s="64">
        <v>1627.12</v>
      </c>
      <c r="L181" s="70">
        <f>1512.25+10000+25</f>
        <v>11537.25</v>
      </c>
      <c r="M181" s="64">
        <f t="shared" ref="M181" si="63">SUM(I181:L181)</f>
        <v>16119.369999999999</v>
      </c>
      <c r="N181" s="70">
        <f t="shared" ref="N181" si="64">+H181-M181</f>
        <v>33880.630000000005</v>
      </c>
    </row>
    <row r="182" spans="1:14" s="2" customFormat="1" ht="26.25" customHeight="1" thickBot="1" x14ac:dyDescent="0.25">
      <c r="A182" s="268" t="s">
        <v>138</v>
      </c>
      <c r="B182" s="268"/>
      <c r="C182" s="268"/>
      <c r="D182" s="268"/>
      <c r="E182" s="268"/>
      <c r="F182" s="268"/>
      <c r="G182" s="268"/>
      <c r="H182" s="165">
        <f>SUM(H176:H181)</f>
        <v>505000</v>
      </c>
      <c r="I182" s="165">
        <f t="shared" ref="I182:M182" si="65">SUM(I176:I181)</f>
        <v>14493.5</v>
      </c>
      <c r="J182" s="165">
        <f t="shared" si="65"/>
        <v>15352</v>
      </c>
      <c r="K182" s="165">
        <f t="shared" si="65"/>
        <v>52734.82</v>
      </c>
      <c r="L182" s="165">
        <f t="shared" si="65"/>
        <v>27736.03</v>
      </c>
      <c r="M182" s="165">
        <f t="shared" si="65"/>
        <v>110316.35</v>
      </c>
      <c r="N182" s="165">
        <f>SUM(N176:N181)</f>
        <v>394683.64999999997</v>
      </c>
    </row>
    <row r="183" spans="1:14" s="2" customFormat="1" ht="20.100000000000001" customHeight="1" thickBot="1" x14ac:dyDescent="0.25">
      <c r="A183" s="65"/>
      <c r="B183" s="65"/>
      <c r="C183" s="65"/>
      <c r="D183" s="65"/>
      <c r="E183" s="65"/>
      <c r="F183" s="65"/>
      <c r="G183" s="65"/>
      <c r="H183" s="6"/>
      <c r="I183" s="6"/>
      <c r="J183" s="6"/>
      <c r="K183" s="6"/>
      <c r="L183" s="6"/>
      <c r="M183" s="6"/>
      <c r="N183" s="6"/>
    </row>
    <row r="184" spans="1:14" s="2" customFormat="1" ht="24.95" customHeight="1" thickBot="1" x14ac:dyDescent="0.25">
      <c r="A184" s="262" t="s">
        <v>253</v>
      </c>
      <c r="B184" s="263"/>
      <c r="C184" s="263"/>
      <c r="D184" s="263"/>
      <c r="E184" s="263"/>
      <c r="F184" s="263"/>
      <c r="G184" s="263"/>
      <c r="H184" s="263"/>
      <c r="I184" s="263"/>
      <c r="J184" s="263"/>
      <c r="K184" s="263"/>
      <c r="L184" s="263"/>
      <c r="M184" s="263"/>
      <c r="N184" s="264"/>
    </row>
    <row r="185" spans="1:14" s="2" customFormat="1" ht="24.95" customHeight="1" x14ac:dyDescent="0.2">
      <c r="A185" s="108">
        <f>+A181+1</f>
        <v>72</v>
      </c>
      <c r="B185" s="26" t="s">
        <v>496</v>
      </c>
      <c r="C185" s="12" t="s">
        <v>469</v>
      </c>
      <c r="D185" s="26" t="s">
        <v>433</v>
      </c>
      <c r="E185" s="129" t="s">
        <v>233</v>
      </c>
      <c r="F185" s="110" t="s">
        <v>578</v>
      </c>
      <c r="G185" s="110" t="s">
        <v>648</v>
      </c>
      <c r="H185" s="117">
        <v>50000</v>
      </c>
      <c r="I185" s="64">
        <f>H185*2.87%</f>
        <v>1435</v>
      </c>
      <c r="J185" s="64">
        <f t="shared" ref="J185" si="66">+H185*3.04%</f>
        <v>1520</v>
      </c>
      <c r="K185" s="64">
        <v>1854</v>
      </c>
      <c r="L185" s="70">
        <v>25</v>
      </c>
      <c r="M185" s="64">
        <f>SUM(I185:L185)</f>
        <v>4834</v>
      </c>
      <c r="N185" s="70">
        <f>+H185-M185</f>
        <v>45166</v>
      </c>
    </row>
    <row r="186" spans="1:14" s="2" customFormat="1" ht="24.95" customHeight="1" x14ac:dyDescent="0.2">
      <c r="A186" s="108">
        <f>+A185+1</f>
        <v>73</v>
      </c>
      <c r="B186" s="26" t="s">
        <v>599</v>
      </c>
      <c r="C186" s="12" t="s">
        <v>469</v>
      </c>
      <c r="D186" s="26" t="s">
        <v>433</v>
      </c>
      <c r="E186" s="129" t="s">
        <v>233</v>
      </c>
      <c r="F186" s="110" t="s">
        <v>600</v>
      </c>
      <c r="G186" s="206" t="s">
        <v>601</v>
      </c>
      <c r="H186" s="117">
        <v>55000</v>
      </c>
      <c r="I186" s="5">
        <f>H186*2.87%</f>
        <v>1578.5</v>
      </c>
      <c r="J186" s="5">
        <f>+H186*3.04%</f>
        <v>1672</v>
      </c>
      <c r="K186" s="5">
        <v>2559.6799999999998</v>
      </c>
      <c r="L186" s="5">
        <v>25</v>
      </c>
      <c r="M186" s="64">
        <f>SUM(I186:L186)</f>
        <v>5835.18</v>
      </c>
      <c r="N186" s="70">
        <f>H186-M186</f>
        <v>49164.82</v>
      </c>
    </row>
    <row r="187" spans="1:14" s="2" customFormat="1" ht="24.95" customHeight="1" thickBot="1" x14ac:dyDescent="0.25">
      <c r="A187" s="268" t="s">
        <v>138</v>
      </c>
      <c r="B187" s="268"/>
      <c r="C187" s="268"/>
      <c r="D187" s="268"/>
      <c r="E187" s="268"/>
      <c r="F187" s="268"/>
      <c r="G187" s="269"/>
      <c r="H187" s="80">
        <f>SUM(H185:H186)</f>
        <v>105000</v>
      </c>
      <c r="I187" s="80">
        <f>SUM(I185:I186)</f>
        <v>3013.5</v>
      </c>
      <c r="J187" s="80">
        <f t="shared" ref="J187:L187" si="67">SUM(J185)</f>
        <v>1520</v>
      </c>
      <c r="K187" s="80">
        <f t="shared" si="67"/>
        <v>1854</v>
      </c>
      <c r="L187" s="80">
        <f t="shared" si="67"/>
        <v>25</v>
      </c>
      <c r="M187" s="80">
        <f>SUM(M185:M186)</f>
        <v>10669.18</v>
      </c>
      <c r="N187" s="80">
        <f>SUM(N185:N186)</f>
        <v>94330.82</v>
      </c>
    </row>
    <row r="188" spans="1:14" s="2" customFormat="1" ht="13.5" customHeight="1" thickBot="1" x14ac:dyDescent="0.25">
      <c r="A188" s="65"/>
      <c r="B188" s="65"/>
      <c r="C188" s="65"/>
      <c r="D188" s="65"/>
      <c r="E188" s="65"/>
      <c r="F188" s="65"/>
      <c r="G188" s="65"/>
      <c r="H188" s="146"/>
      <c r="I188" s="146"/>
      <c r="J188" s="146"/>
      <c r="K188" s="146"/>
      <c r="L188" s="146"/>
      <c r="M188" s="146"/>
      <c r="N188" s="147"/>
    </row>
    <row r="189" spans="1:14" s="2" customFormat="1" ht="24.95" customHeight="1" thickBot="1" x14ac:dyDescent="0.25">
      <c r="A189" s="262" t="s">
        <v>244</v>
      </c>
      <c r="B189" s="263"/>
      <c r="C189" s="263"/>
      <c r="D189" s="263"/>
      <c r="E189" s="263"/>
      <c r="F189" s="263"/>
      <c r="G189" s="263"/>
      <c r="H189" s="263"/>
      <c r="I189" s="263"/>
      <c r="J189" s="263"/>
      <c r="K189" s="263"/>
      <c r="L189" s="263"/>
      <c r="M189" s="263"/>
      <c r="N189" s="264"/>
    </row>
    <row r="190" spans="1:14" s="2" customFormat="1" ht="24.95" customHeight="1" x14ac:dyDescent="0.2">
      <c r="A190" s="108">
        <f>+A186+1</f>
        <v>74</v>
      </c>
      <c r="B190" s="26" t="s">
        <v>509</v>
      </c>
      <c r="C190" s="12" t="s">
        <v>469</v>
      </c>
      <c r="D190" s="129" t="s">
        <v>510</v>
      </c>
      <c r="E190" s="129" t="s">
        <v>233</v>
      </c>
      <c r="F190" s="26" t="s">
        <v>596</v>
      </c>
      <c r="G190" s="26" t="s">
        <v>662</v>
      </c>
      <c r="H190" s="112">
        <v>135000</v>
      </c>
      <c r="I190" s="112">
        <f>H190*2.87%</f>
        <v>3874.5</v>
      </c>
      <c r="J190" s="112">
        <f>+H190*3.04%</f>
        <v>4104</v>
      </c>
      <c r="K190" s="64">
        <v>20338.240000000002</v>
      </c>
      <c r="L190" s="111">
        <v>5025</v>
      </c>
      <c r="M190" s="112">
        <f>SUM(I190:L190)</f>
        <v>33341.740000000005</v>
      </c>
      <c r="N190" s="111">
        <f>+H190-M190</f>
        <v>101658.26</v>
      </c>
    </row>
    <row r="191" spans="1:14" s="2" customFormat="1" ht="24.95" customHeight="1" x14ac:dyDescent="0.2">
      <c r="A191" s="108">
        <f>+A190+1</f>
        <v>75</v>
      </c>
      <c r="B191" s="26" t="s">
        <v>165</v>
      </c>
      <c r="C191" s="12" t="s">
        <v>469</v>
      </c>
      <c r="D191" s="129" t="s">
        <v>434</v>
      </c>
      <c r="E191" s="129" t="s">
        <v>233</v>
      </c>
      <c r="F191" s="131" t="s">
        <v>544</v>
      </c>
      <c r="G191" s="131" t="s">
        <v>619</v>
      </c>
      <c r="H191" s="112">
        <v>100000</v>
      </c>
      <c r="I191" s="112">
        <f t="shared" ref="I191" si="68">H191*2.87%</f>
        <v>2870</v>
      </c>
      <c r="J191" s="112">
        <f t="shared" ref="J191" si="69">+H191*3.04%</f>
        <v>3040</v>
      </c>
      <c r="K191" s="112">
        <v>11727.32</v>
      </c>
      <c r="L191" s="111">
        <f>25+1512.45</f>
        <v>1537.45</v>
      </c>
      <c r="M191" s="112">
        <f>SUM(I191:L191)</f>
        <v>19174.77</v>
      </c>
      <c r="N191" s="111">
        <f t="shared" ref="N191" si="70">+H191-M191</f>
        <v>80825.23</v>
      </c>
    </row>
    <row r="192" spans="1:14" s="2" customFormat="1" ht="24.95" customHeight="1" x14ac:dyDescent="0.2">
      <c r="A192" s="69">
        <f>+A191+1</f>
        <v>76</v>
      </c>
      <c r="B192" s="134" t="s">
        <v>488</v>
      </c>
      <c r="C192" s="133" t="s">
        <v>469</v>
      </c>
      <c r="D192" s="132" t="s">
        <v>489</v>
      </c>
      <c r="E192" s="129" t="s">
        <v>233</v>
      </c>
      <c r="F192" s="26" t="s">
        <v>578</v>
      </c>
      <c r="G192" s="26" t="s">
        <v>648</v>
      </c>
      <c r="H192" s="64">
        <v>90000</v>
      </c>
      <c r="I192" s="64">
        <f>H192*2.87%</f>
        <v>2583</v>
      </c>
      <c r="J192" s="64">
        <f>+H192*3.04%</f>
        <v>2736</v>
      </c>
      <c r="K192" s="64">
        <v>9753.19</v>
      </c>
      <c r="L192" s="70">
        <v>25</v>
      </c>
      <c r="M192" s="64">
        <f>SUM(I192:L192)</f>
        <v>15097.19</v>
      </c>
      <c r="N192" s="70">
        <f>+H192-M192</f>
        <v>74902.81</v>
      </c>
    </row>
    <row r="193" spans="1:14" s="2" customFormat="1" ht="24.95" customHeight="1" thickBot="1" x14ac:dyDescent="0.25">
      <c r="A193" s="268" t="s">
        <v>138</v>
      </c>
      <c r="B193" s="268"/>
      <c r="C193" s="268"/>
      <c r="D193" s="268"/>
      <c r="E193" s="268"/>
      <c r="F193" s="268"/>
      <c r="G193" s="269"/>
      <c r="H193" s="80">
        <f>SUM(H190:H192)</f>
        <v>325000</v>
      </c>
      <c r="I193" s="80">
        <f t="shared" ref="I193:M193" si="71">SUM(I190:I192)</f>
        <v>9327.5</v>
      </c>
      <c r="J193" s="80">
        <f t="shared" si="71"/>
        <v>9880</v>
      </c>
      <c r="K193" s="80">
        <f t="shared" si="71"/>
        <v>41818.75</v>
      </c>
      <c r="L193" s="80">
        <f t="shared" si="71"/>
        <v>6587.45</v>
      </c>
      <c r="M193" s="80">
        <f t="shared" si="71"/>
        <v>67613.700000000012</v>
      </c>
      <c r="N193" s="80">
        <f>SUM(N190:N192)</f>
        <v>257386.3</v>
      </c>
    </row>
    <row r="194" spans="1:14" s="2" customFormat="1" ht="11.25" customHeight="1" thickBot="1" x14ac:dyDescent="0.25">
      <c r="A194" s="217"/>
      <c r="B194" s="217"/>
      <c r="C194" s="217"/>
      <c r="D194" s="217"/>
      <c r="E194" s="217"/>
      <c r="F194" s="217"/>
      <c r="G194" s="217"/>
      <c r="H194" s="78"/>
      <c r="I194" s="78"/>
      <c r="J194" s="78"/>
      <c r="K194" s="78"/>
      <c r="L194" s="78"/>
      <c r="M194" s="78"/>
      <c r="N194" s="79"/>
    </row>
    <row r="195" spans="1:14" s="71" customFormat="1" ht="24.95" customHeight="1" thickBot="1" x14ac:dyDescent="0.25">
      <c r="A195" s="2"/>
      <c r="B195" s="2"/>
      <c r="C195" s="16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</row>
    <row r="196" spans="1:14" s="71" customFormat="1" ht="26.25" customHeight="1" thickBot="1" x14ac:dyDescent="0.25">
      <c r="A196" s="262" t="s">
        <v>435</v>
      </c>
      <c r="B196" s="263"/>
      <c r="C196" s="263"/>
      <c r="D196" s="263"/>
      <c r="E196" s="263"/>
      <c r="F196" s="263"/>
      <c r="G196" s="263"/>
      <c r="H196" s="263"/>
      <c r="I196" s="263"/>
      <c r="J196" s="263"/>
      <c r="K196" s="263"/>
      <c r="L196" s="263"/>
      <c r="M196" s="263"/>
      <c r="N196" s="264"/>
    </row>
    <row r="197" spans="1:14" s="71" customFormat="1" ht="29.25" customHeight="1" x14ac:dyDescent="0.2">
      <c r="A197" s="166">
        <f>A192+1</f>
        <v>77</v>
      </c>
      <c r="B197" s="167" t="s">
        <v>436</v>
      </c>
      <c r="C197" s="168" t="s">
        <v>469</v>
      </c>
      <c r="D197" s="167" t="s">
        <v>168</v>
      </c>
      <c r="E197" s="109" t="s">
        <v>233</v>
      </c>
      <c r="F197" s="110" t="s">
        <v>586</v>
      </c>
      <c r="G197" s="110" t="s">
        <v>654</v>
      </c>
      <c r="H197" s="112">
        <v>155000</v>
      </c>
      <c r="I197" s="112">
        <f>H197*2.87%</f>
        <v>4448.5</v>
      </c>
      <c r="J197" s="112">
        <f>+H197*3.04%</f>
        <v>4712</v>
      </c>
      <c r="K197" s="112">
        <v>24664.7</v>
      </c>
      <c r="L197" s="111">
        <f>25+1512.45</f>
        <v>1537.45</v>
      </c>
      <c r="M197" s="112">
        <f>SUM(I197:L197)</f>
        <v>35362.649999999994</v>
      </c>
      <c r="N197" s="111">
        <f t="shared" ref="N197" si="72">+H197-M197</f>
        <v>119637.35</v>
      </c>
    </row>
    <row r="198" spans="1:14" ht="18" customHeight="1" x14ac:dyDescent="0.2">
      <c r="A198" s="261" t="s">
        <v>138</v>
      </c>
      <c r="B198" s="268"/>
      <c r="C198" s="268"/>
      <c r="D198" s="268"/>
      <c r="E198" s="268"/>
      <c r="F198" s="268"/>
      <c r="G198" s="261"/>
      <c r="H198" s="16">
        <f>SUM(H197:H197)</f>
        <v>155000</v>
      </c>
      <c r="I198" s="16">
        <f t="shared" ref="I198:M198" si="73">SUM(I197:I197)</f>
        <v>4448.5</v>
      </c>
      <c r="J198" s="16">
        <f t="shared" si="73"/>
        <v>4712</v>
      </c>
      <c r="K198" s="16">
        <f t="shared" si="73"/>
        <v>24664.7</v>
      </c>
      <c r="L198" s="16">
        <f t="shared" si="73"/>
        <v>1537.45</v>
      </c>
      <c r="M198" s="16">
        <f t="shared" si="73"/>
        <v>35362.649999999994</v>
      </c>
      <c r="N198" s="16">
        <f>SUM(N197:N197)</f>
        <v>119637.35</v>
      </c>
    </row>
    <row r="199" spans="1:14" s="71" customFormat="1" ht="26.25" customHeight="1" thickBot="1" x14ac:dyDescent="0.25">
      <c r="A199" s="65"/>
      <c r="B199" s="65"/>
      <c r="C199" s="65"/>
      <c r="D199" s="65"/>
      <c r="E199" s="65"/>
      <c r="F199" s="65"/>
      <c r="G199" s="65"/>
      <c r="H199"/>
      <c r="I199"/>
      <c r="J199"/>
      <c r="K199"/>
      <c r="L199"/>
      <c r="M199"/>
      <c r="N199"/>
    </row>
    <row r="200" spans="1:14" s="71" customFormat="1" ht="26.25" customHeight="1" thickBot="1" x14ac:dyDescent="0.25">
      <c r="A200" s="262" t="s">
        <v>357</v>
      </c>
      <c r="B200" s="263"/>
      <c r="C200" s="263"/>
      <c r="D200" s="263"/>
      <c r="E200" s="263"/>
      <c r="F200" s="263"/>
      <c r="G200" s="263"/>
      <c r="H200" s="263"/>
      <c r="I200" s="263"/>
      <c r="J200" s="263"/>
      <c r="K200" s="263"/>
      <c r="L200" s="263"/>
      <c r="M200" s="263"/>
      <c r="N200" s="264"/>
    </row>
    <row r="201" spans="1:14" s="71" customFormat="1" ht="28.5" customHeight="1" x14ac:dyDescent="0.2">
      <c r="A201" s="108">
        <f>+A197+1</f>
        <v>78</v>
      </c>
      <c r="B201" s="130" t="s">
        <v>246</v>
      </c>
      <c r="C201" s="163" t="s">
        <v>470</v>
      </c>
      <c r="D201" s="132" t="s">
        <v>247</v>
      </c>
      <c r="E201" s="129" t="s">
        <v>233</v>
      </c>
      <c r="F201" s="131" t="s">
        <v>545</v>
      </c>
      <c r="G201" s="131" t="s">
        <v>618</v>
      </c>
      <c r="H201" s="112">
        <v>100000</v>
      </c>
      <c r="I201" s="112">
        <f>H201*2.87%</f>
        <v>2870</v>
      </c>
      <c r="J201" s="112">
        <f>+H201*3.04%</f>
        <v>3040</v>
      </c>
      <c r="K201" s="5">
        <v>12105.37</v>
      </c>
      <c r="L201" s="111">
        <v>5025</v>
      </c>
      <c r="M201" s="112">
        <f>SUM(I201:L201)</f>
        <v>23040.370000000003</v>
      </c>
      <c r="N201" s="111">
        <f t="shared" ref="N201" si="74">+H201-M201</f>
        <v>76959.63</v>
      </c>
    </row>
    <row r="202" spans="1:14" s="2" customFormat="1" ht="25.5" customHeight="1" x14ac:dyDescent="0.2">
      <c r="A202" s="261" t="s">
        <v>138</v>
      </c>
      <c r="B202" s="261"/>
      <c r="C202" s="261"/>
      <c r="D202" s="261"/>
      <c r="E202" s="261"/>
      <c r="F202" s="261"/>
      <c r="G202" s="261"/>
      <c r="H202" s="16">
        <f>SUM(H201:H201)</f>
        <v>100000</v>
      </c>
      <c r="I202" s="16">
        <f t="shared" ref="I202:M202" si="75">SUM(I201:I201)</f>
        <v>2870</v>
      </c>
      <c r="J202" s="16">
        <f t="shared" si="75"/>
        <v>3040</v>
      </c>
      <c r="K202" s="16">
        <f t="shared" si="75"/>
        <v>12105.37</v>
      </c>
      <c r="L202" s="16">
        <f t="shared" si="75"/>
        <v>5025</v>
      </c>
      <c r="M202" s="16">
        <f t="shared" si="75"/>
        <v>23040.370000000003</v>
      </c>
      <c r="N202" s="16">
        <f>SUM(N201:N201)</f>
        <v>76959.63</v>
      </c>
    </row>
    <row r="203" spans="1:14" s="2" customFormat="1" ht="20.25" customHeight="1" thickBot="1" x14ac:dyDescent="0.25">
      <c r="A203" s="65"/>
      <c r="B203" s="65"/>
      <c r="C203" s="65"/>
      <c r="D203" s="65"/>
      <c r="E203" s="65"/>
      <c r="F203" s="65"/>
      <c r="G203" s="65"/>
      <c r="H203" s="6"/>
      <c r="I203" s="6"/>
      <c r="J203" s="6"/>
      <c r="K203" s="6"/>
      <c r="L203" s="6"/>
      <c r="M203" s="6"/>
      <c r="N203" s="6"/>
    </row>
    <row r="204" spans="1:14" s="2" customFormat="1" ht="27.75" customHeight="1" thickBot="1" x14ac:dyDescent="0.25">
      <c r="A204" s="258" t="s">
        <v>497</v>
      </c>
      <c r="B204" s="259"/>
      <c r="C204" s="259"/>
      <c r="D204" s="259"/>
      <c r="E204" s="259"/>
      <c r="F204" s="259"/>
      <c r="G204" s="259"/>
      <c r="H204" s="259"/>
      <c r="I204" s="259"/>
      <c r="J204" s="259"/>
      <c r="K204" s="259"/>
      <c r="L204" s="259"/>
      <c r="M204" s="259"/>
      <c r="N204" s="260"/>
    </row>
    <row r="205" spans="1:14" s="2" customFormat="1" ht="24.95" customHeight="1" x14ac:dyDescent="0.2">
      <c r="A205" s="12">
        <f>+A201+1</f>
        <v>79</v>
      </c>
      <c r="B205" s="62" t="s">
        <v>490</v>
      </c>
      <c r="C205" s="161" t="s">
        <v>469</v>
      </c>
      <c r="D205" s="130" t="s">
        <v>491</v>
      </c>
      <c r="E205" s="129" t="s">
        <v>233</v>
      </c>
      <c r="F205" s="26" t="s">
        <v>578</v>
      </c>
      <c r="G205" s="26" t="s">
        <v>648</v>
      </c>
      <c r="H205" s="64">
        <v>70000</v>
      </c>
      <c r="I205" s="112">
        <f>H205*2.87%</f>
        <v>2009</v>
      </c>
      <c r="J205" s="112">
        <f>+H205*3.04%</f>
        <v>2128</v>
      </c>
      <c r="K205" s="64">
        <v>5368.51</v>
      </c>
      <c r="L205" s="111">
        <v>25</v>
      </c>
      <c r="M205" s="112">
        <f>SUM(I205:L205)</f>
        <v>9530.51</v>
      </c>
      <c r="N205" s="111">
        <f t="shared" ref="N205" si="76">+H205-M205</f>
        <v>60469.49</v>
      </c>
    </row>
    <row r="206" spans="1:14" s="114" customFormat="1" ht="24.95" customHeight="1" x14ac:dyDescent="0.2">
      <c r="A206" s="261" t="s">
        <v>138</v>
      </c>
      <c r="B206" s="261"/>
      <c r="C206" s="261"/>
      <c r="D206" s="261"/>
      <c r="E206" s="261"/>
      <c r="F206" s="261"/>
      <c r="G206" s="261"/>
      <c r="H206" s="16">
        <f>SUM(H205:H205)</f>
        <v>70000</v>
      </c>
      <c r="I206" s="16">
        <f t="shared" ref="I206:M206" si="77">SUM(I205:I205)</f>
        <v>2009</v>
      </c>
      <c r="J206" s="16">
        <f t="shared" si="77"/>
        <v>2128</v>
      </c>
      <c r="K206" s="16">
        <f t="shared" si="77"/>
        <v>5368.51</v>
      </c>
      <c r="L206" s="16">
        <f t="shared" si="77"/>
        <v>25</v>
      </c>
      <c r="M206" s="16">
        <f t="shared" si="77"/>
        <v>9530.51</v>
      </c>
      <c r="N206" s="16">
        <f>SUM(N205:N205)</f>
        <v>60469.49</v>
      </c>
    </row>
    <row r="207" spans="1:14" s="114" customFormat="1" ht="24.95" customHeight="1" thickBot="1" x14ac:dyDescent="0.25">
      <c r="A207" s="223"/>
      <c r="B207" s="223"/>
      <c r="C207" s="223"/>
      <c r="D207" s="223"/>
      <c r="E207" s="223"/>
      <c r="F207" s="223"/>
      <c r="G207" s="223"/>
      <c r="H207" s="82"/>
      <c r="I207" s="82"/>
      <c r="J207" s="82"/>
      <c r="K207" s="82"/>
      <c r="L207" s="82"/>
      <c r="M207" s="82"/>
      <c r="N207" s="82"/>
    </row>
    <row r="208" spans="1:14" s="2" customFormat="1" ht="24.95" customHeight="1" thickBot="1" x14ac:dyDescent="0.25">
      <c r="A208" s="262" t="s">
        <v>498</v>
      </c>
      <c r="B208" s="263"/>
      <c r="C208" s="263"/>
      <c r="D208" s="263"/>
      <c r="E208" s="263"/>
      <c r="F208" s="263"/>
      <c r="G208" s="263"/>
      <c r="H208" s="263"/>
      <c r="I208" s="263"/>
      <c r="J208" s="263"/>
      <c r="K208" s="263"/>
      <c r="L208" s="263"/>
      <c r="M208" s="263"/>
      <c r="N208" s="264"/>
    </row>
    <row r="209" spans="1:14" s="2" customFormat="1" ht="24.95" customHeight="1" x14ac:dyDescent="0.2">
      <c r="A209" s="12">
        <f>+A205+1</f>
        <v>80</v>
      </c>
      <c r="B209" s="62" t="s">
        <v>528</v>
      </c>
      <c r="C209" s="161" t="s">
        <v>469</v>
      </c>
      <c r="D209" s="183" t="s">
        <v>441</v>
      </c>
      <c r="E209" s="129" t="s">
        <v>233</v>
      </c>
      <c r="F209" s="129" t="s">
        <v>545</v>
      </c>
      <c r="G209" s="26" t="s">
        <v>618</v>
      </c>
      <c r="H209" s="112">
        <v>155000</v>
      </c>
      <c r="I209" s="112">
        <f>H209*2.87%</f>
        <v>4448.5</v>
      </c>
      <c r="J209" s="112">
        <f>+H209*3.04%</f>
        <v>4712</v>
      </c>
      <c r="K209" s="8">
        <v>25042.74</v>
      </c>
      <c r="L209" s="111">
        <v>25</v>
      </c>
      <c r="M209" s="112">
        <f>SUM(I209:L209)</f>
        <v>34228.240000000005</v>
      </c>
      <c r="N209" s="111">
        <f t="shared" ref="N209:N210" si="78">+H209-M209</f>
        <v>120771.76</v>
      </c>
    </row>
    <row r="210" spans="1:14" s="2" customFormat="1" ht="24.95" customHeight="1" x14ac:dyDescent="0.2">
      <c r="A210" s="108">
        <f>+A209+1</f>
        <v>81</v>
      </c>
      <c r="B210" s="62" t="s">
        <v>442</v>
      </c>
      <c r="C210" s="161" t="s">
        <v>469</v>
      </c>
      <c r="D210" s="130" t="s">
        <v>248</v>
      </c>
      <c r="E210" s="129" t="s">
        <v>233</v>
      </c>
      <c r="F210" s="132" t="s">
        <v>620</v>
      </c>
      <c r="G210" s="134" t="s">
        <v>621</v>
      </c>
      <c r="H210" s="112">
        <v>70000</v>
      </c>
      <c r="I210" s="112">
        <f>H210*2.87%</f>
        <v>2009</v>
      </c>
      <c r="J210" s="112">
        <f>+H210*3.04%</f>
        <v>2128</v>
      </c>
      <c r="K210" s="112">
        <v>5368.45</v>
      </c>
      <c r="L210" s="111">
        <v>25</v>
      </c>
      <c r="M210" s="112">
        <f>SUM(I210:L210)</f>
        <v>9530.4500000000007</v>
      </c>
      <c r="N210" s="111">
        <f t="shared" si="78"/>
        <v>60469.55</v>
      </c>
    </row>
    <row r="211" spans="1:14" s="2" customFormat="1" ht="24.95" customHeight="1" x14ac:dyDescent="0.2">
      <c r="A211" s="108">
        <f>A210+1</f>
        <v>82</v>
      </c>
      <c r="B211" s="62" t="s">
        <v>651</v>
      </c>
      <c r="C211" s="161" t="s">
        <v>469</v>
      </c>
      <c r="D211" s="130" t="s">
        <v>248</v>
      </c>
      <c r="E211" s="129" t="s">
        <v>233</v>
      </c>
      <c r="F211" s="132" t="s">
        <v>580</v>
      </c>
      <c r="G211" s="134" t="s">
        <v>633</v>
      </c>
      <c r="H211" s="112">
        <v>70000</v>
      </c>
      <c r="I211" s="112">
        <f>H211*2.87%</f>
        <v>2009</v>
      </c>
      <c r="J211" s="112">
        <f>+H211*3.04%</f>
        <v>2128</v>
      </c>
      <c r="K211" s="112">
        <v>5368.48</v>
      </c>
      <c r="L211" s="111">
        <v>25</v>
      </c>
      <c r="M211" s="112">
        <f>I211+J211+K211+L211</f>
        <v>9530.48</v>
      </c>
      <c r="N211" s="111">
        <f>H211-M211</f>
        <v>60469.520000000004</v>
      </c>
    </row>
    <row r="212" spans="1:14" s="2" customFormat="1" ht="26.25" customHeight="1" x14ac:dyDescent="0.2">
      <c r="A212" s="261" t="s">
        <v>138</v>
      </c>
      <c r="B212" s="261"/>
      <c r="C212" s="261"/>
      <c r="D212" s="261"/>
      <c r="E212" s="261"/>
      <c r="F212" s="261"/>
      <c r="G212" s="261"/>
      <c r="H212" s="16">
        <f t="shared" ref="H212:M212" si="79">SUM(H209:H211)</f>
        <v>295000</v>
      </c>
      <c r="I212" s="16">
        <f t="shared" si="79"/>
        <v>8466.5</v>
      </c>
      <c r="J212" s="16">
        <f t="shared" si="79"/>
        <v>8968</v>
      </c>
      <c r="K212" s="16">
        <f t="shared" si="79"/>
        <v>35779.67</v>
      </c>
      <c r="L212" s="16">
        <f t="shared" si="79"/>
        <v>75</v>
      </c>
      <c r="M212" s="16">
        <f t="shared" si="79"/>
        <v>53289.17</v>
      </c>
      <c r="N212" s="16">
        <f>SUM(N209:N211)</f>
        <v>241710.83000000002</v>
      </c>
    </row>
    <row r="213" spans="1:14" s="2" customFormat="1" ht="20.25" customHeight="1" thickBot="1" x14ac:dyDescent="0.25">
      <c r="A213" s="65"/>
      <c r="B213" s="65"/>
      <c r="C213" s="65"/>
      <c r="D213" s="65"/>
      <c r="E213" s="65"/>
      <c r="F213" s="65"/>
      <c r="G213" s="65"/>
      <c r="H213" s="6"/>
      <c r="I213" s="6"/>
      <c r="J213" s="6"/>
      <c r="K213" s="6"/>
      <c r="L213" s="6"/>
      <c r="M213" s="6"/>
      <c r="N213" s="6"/>
    </row>
    <row r="214" spans="1:14" s="2" customFormat="1" ht="23.25" customHeight="1" thickBot="1" x14ac:dyDescent="0.25">
      <c r="A214" s="258" t="s">
        <v>373</v>
      </c>
      <c r="B214" s="259"/>
      <c r="C214" s="259"/>
      <c r="D214" s="259"/>
      <c r="E214" s="259"/>
      <c r="F214" s="259"/>
      <c r="G214" s="259"/>
      <c r="H214" s="259"/>
      <c r="I214" s="259"/>
      <c r="J214" s="259"/>
      <c r="K214" s="259"/>
      <c r="L214" s="259"/>
      <c r="M214" s="259"/>
      <c r="N214" s="260"/>
    </row>
    <row r="215" spans="1:14" s="2" customFormat="1" ht="24.95" customHeight="1" x14ac:dyDescent="0.2">
      <c r="A215" s="108">
        <f>A211+1</f>
        <v>83</v>
      </c>
      <c r="B215" s="62" t="s">
        <v>444</v>
      </c>
      <c r="C215" s="161" t="s">
        <v>469</v>
      </c>
      <c r="D215" s="130" t="s">
        <v>401</v>
      </c>
      <c r="E215" s="129" t="s">
        <v>233</v>
      </c>
      <c r="F215" s="110" t="s">
        <v>578</v>
      </c>
      <c r="G215" s="110" t="s">
        <v>648</v>
      </c>
      <c r="H215" s="64">
        <v>70000</v>
      </c>
      <c r="I215" s="112">
        <f>H215*2.87%</f>
        <v>2009</v>
      </c>
      <c r="J215" s="112">
        <f>+H215*3.04%</f>
        <v>2128</v>
      </c>
      <c r="K215" s="64">
        <v>5368.45</v>
      </c>
      <c r="L215" s="111">
        <v>125</v>
      </c>
      <c r="M215" s="112">
        <f>SUM(I215:L215)</f>
        <v>9630.4500000000007</v>
      </c>
      <c r="N215" s="111">
        <f t="shared" ref="N215" si="80">+H215-M215</f>
        <v>60369.55</v>
      </c>
    </row>
    <row r="216" spans="1:14" s="2" customFormat="1" ht="24" customHeight="1" x14ac:dyDescent="0.2">
      <c r="A216" s="261" t="s">
        <v>138</v>
      </c>
      <c r="B216" s="261"/>
      <c r="C216" s="261"/>
      <c r="D216" s="261"/>
      <c r="E216" s="261"/>
      <c r="F216" s="261"/>
      <c r="G216" s="261"/>
      <c r="H216" s="16">
        <f>SUM(H215:H215)</f>
        <v>70000</v>
      </c>
      <c r="I216" s="16">
        <f t="shared" ref="I216:M216" si="81">SUM(I215:I215)</f>
        <v>2009</v>
      </c>
      <c r="J216" s="16">
        <f t="shared" si="81"/>
        <v>2128</v>
      </c>
      <c r="K216" s="16">
        <f t="shared" si="81"/>
        <v>5368.45</v>
      </c>
      <c r="L216" s="16">
        <f t="shared" si="81"/>
        <v>125</v>
      </c>
      <c r="M216" s="16">
        <f t="shared" si="81"/>
        <v>9630.4500000000007</v>
      </c>
      <c r="N216" s="16">
        <f>SUM(N215:N215)</f>
        <v>60369.55</v>
      </c>
    </row>
    <row r="217" spans="1:14" s="2" customFormat="1" ht="24.75" customHeight="1" thickBot="1" x14ac:dyDescent="0.25">
      <c r="A217" s="65"/>
      <c r="B217" s="65"/>
      <c r="C217" s="65"/>
      <c r="D217" s="65"/>
      <c r="E217" s="65"/>
      <c r="F217" s="65"/>
      <c r="G217" s="65"/>
      <c r="H217" s="6"/>
      <c r="I217" s="6"/>
      <c r="J217" s="6"/>
      <c r="K217" s="6"/>
      <c r="L217" s="6"/>
      <c r="M217" s="6"/>
      <c r="N217" s="6"/>
    </row>
    <row r="218" spans="1:14" s="2" customFormat="1" ht="23.25" customHeight="1" thickBot="1" x14ac:dyDescent="0.25">
      <c r="A218" s="277" t="s">
        <v>400</v>
      </c>
      <c r="B218" s="278"/>
      <c r="C218" s="278"/>
      <c r="D218" s="278"/>
      <c r="E218" s="278"/>
      <c r="F218" s="278"/>
      <c r="G218" s="278"/>
      <c r="H218" s="278"/>
      <c r="I218" s="278"/>
      <c r="J218" s="278"/>
      <c r="K218" s="278"/>
      <c r="L218" s="278"/>
      <c r="M218" s="278"/>
      <c r="N218" s="279"/>
    </row>
    <row r="219" spans="1:14" s="2" customFormat="1" ht="33" customHeight="1" x14ac:dyDescent="0.2">
      <c r="A219" s="108">
        <f>+A215+1</f>
        <v>84</v>
      </c>
      <c r="B219" s="62" t="s">
        <v>445</v>
      </c>
      <c r="C219" s="161" t="s">
        <v>469</v>
      </c>
      <c r="D219" s="130" t="s">
        <v>402</v>
      </c>
      <c r="E219" s="129" t="s">
        <v>233</v>
      </c>
      <c r="F219" s="110" t="s">
        <v>578</v>
      </c>
      <c r="G219" s="110" t="s">
        <v>648</v>
      </c>
      <c r="H219" s="64">
        <v>90000</v>
      </c>
      <c r="I219" s="112">
        <f>H219*2.87%</f>
        <v>2583</v>
      </c>
      <c r="J219" s="112">
        <f>+H219*3.04%</f>
        <v>2736</v>
      </c>
      <c r="K219" s="64">
        <v>9753.1200000000008</v>
      </c>
      <c r="L219" s="111">
        <v>125</v>
      </c>
      <c r="M219" s="112">
        <f>SUM(I219:L219)</f>
        <v>15197.12</v>
      </c>
      <c r="N219" s="111">
        <f>+H219-M219</f>
        <v>74802.880000000005</v>
      </c>
    </row>
    <row r="220" spans="1:14" s="2" customFormat="1" ht="23.25" customHeight="1" x14ac:dyDescent="0.2">
      <c r="A220" s="261" t="s">
        <v>138</v>
      </c>
      <c r="B220" s="261"/>
      <c r="C220" s="261"/>
      <c r="D220" s="261"/>
      <c r="E220" s="261"/>
      <c r="F220" s="261"/>
      <c r="G220" s="261"/>
      <c r="H220" s="16">
        <f>SUM(H219:H219)</f>
        <v>90000</v>
      </c>
      <c r="I220" s="16">
        <f t="shared" ref="I220:N220" si="82">SUM(I219:I219)</f>
        <v>2583</v>
      </c>
      <c r="J220" s="16">
        <f t="shared" si="82"/>
        <v>2736</v>
      </c>
      <c r="K220" s="16">
        <f t="shared" si="82"/>
        <v>9753.1200000000008</v>
      </c>
      <c r="L220" s="16">
        <f t="shared" si="82"/>
        <v>125</v>
      </c>
      <c r="M220" s="16">
        <f t="shared" si="82"/>
        <v>15197.12</v>
      </c>
      <c r="N220" s="16">
        <f t="shared" si="82"/>
        <v>74802.880000000005</v>
      </c>
    </row>
    <row r="221" spans="1:14" s="71" customFormat="1" ht="24.95" customHeight="1" thickBot="1" x14ac:dyDescent="0.25">
      <c r="A221" s="65"/>
      <c r="B221" s="65"/>
      <c r="C221" s="65"/>
      <c r="D221" s="65"/>
      <c r="E221" s="65"/>
      <c r="F221" s="65"/>
      <c r="G221" s="65"/>
      <c r="H221" s="6"/>
      <c r="I221" s="6"/>
      <c r="J221" s="6"/>
      <c r="K221" s="6"/>
      <c r="L221" s="6"/>
      <c r="M221" s="6"/>
      <c r="N221" s="6"/>
    </row>
    <row r="222" spans="1:14" s="114" customFormat="1" ht="32.25" customHeight="1" thickBot="1" x14ac:dyDescent="0.25">
      <c r="A222" s="262" t="s">
        <v>249</v>
      </c>
      <c r="B222" s="263"/>
      <c r="C222" s="263"/>
      <c r="D222" s="263"/>
      <c r="E222" s="263"/>
      <c r="F222" s="263"/>
      <c r="G222" s="263"/>
      <c r="H222" s="263"/>
      <c r="I222" s="263"/>
      <c r="J222" s="263"/>
      <c r="K222" s="263"/>
      <c r="L222" s="263"/>
      <c r="M222" s="263"/>
      <c r="N222" s="264"/>
    </row>
    <row r="223" spans="1:14" s="114" customFormat="1" ht="32.25" customHeight="1" x14ac:dyDescent="0.2">
      <c r="A223" s="108">
        <f>+A219+1</f>
        <v>85</v>
      </c>
      <c r="B223" s="62" t="s">
        <v>446</v>
      </c>
      <c r="C223" s="161" t="s">
        <v>470</v>
      </c>
      <c r="D223" s="62" t="s">
        <v>447</v>
      </c>
      <c r="E223" s="129" t="s">
        <v>233</v>
      </c>
      <c r="F223" s="110" t="s">
        <v>578</v>
      </c>
      <c r="G223" s="110" t="s">
        <v>648</v>
      </c>
      <c r="H223" s="112">
        <v>45000</v>
      </c>
      <c r="I223" s="112">
        <f t="shared" ref="I223:I224" si="83">H223*2.87%</f>
        <v>1291.5</v>
      </c>
      <c r="J223" s="112">
        <f t="shared" ref="J223:J224" si="84">+H223*3.04%</f>
        <v>1368</v>
      </c>
      <c r="K223" s="5"/>
      <c r="L223" s="111">
        <f>25+1512.45+100</f>
        <v>1637.45</v>
      </c>
      <c r="M223" s="112">
        <f>SUM(I223:L223)</f>
        <v>4296.95</v>
      </c>
      <c r="N223" s="111">
        <f>+H223-M223</f>
        <v>40703.050000000003</v>
      </c>
    </row>
    <row r="224" spans="1:14" ht="25.15" customHeight="1" x14ac:dyDescent="0.2">
      <c r="A224" s="108">
        <f>+A223+1</f>
        <v>86</v>
      </c>
      <c r="B224" s="62" t="s">
        <v>448</v>
      </c>
      <c r="C224" s="161" t="s">
        <v>470</v>
      </c>
      <c r="D224" s="62" t="s">
        <v>447</v>
      </c>
      <c r="E224" s="129" t="s">
        <v>233</v>
      </c>
      <c r="F224" s="26" t="s">
        <v>573</v>
      </c>
      <c r="G224" s="26" t="s">
        <v>632</v>
      </c>
      <c r="H224" s="112">
        <v>45000</v>
      </c>
      <c r="I224" s="112">
        <f t="shared" si="83"/>
        <v>1291.5</v>
      </c>
      <c r="J224" s="112">
        <f t="shared" si="84"/>
        <v>1368</v>
      </c>
      <c r="K224" s="5">
        <v>921.46</v>
      </c>
      <c r="L224" s="111">
        <f>125+1512.45</f>
        <v>1637.45</v>
      </c>
      <c r="M224" s="112">
        <f>SUM(I224:L224)</f>
        <v>5218.41</v>
      </c>
      <c r="N224" s="111">
        <f>+H224-M224</f>
        <v>39781.589999999997</v>
      </c>
    </row>
    <row r="225" spans="1:14" ht="24.75" customHeight="1" x14ac:dyDescent="0.2">
      <c r="A225" s="261" t="s">
        <v>138</v>
      </c>
      <c r="B225" s="261"/>
      <c r="C225" s="261"/>
      <c r="D225" s="261"/>
      <c r="E225" s="261"/>
      <c r="F225" s="261"/>
      <c r="G225" s="261"/>
      <c r="H225" s="16">
        <f>SUM(H223:H224)</f>
        <v>90000</v>
      </c>
      <c r="I225" s="16">
        <f t="shared" ref="I225:M225" si="85">SUM(I223:I224)</f>
        <v>2583</v>
      </c>
      <c r="J225" s="16">
        <f t="shared" si="85"/>
        <v>2736</v>
      </c>
      <c r="K225" s="16">
        <f t="shared" si="85"/>
        <v>921.46</v>
      </c>
      <c r="L225" s="16">
        <f t="shared" si="85"/>
        <v>3274.9</v>
      </c>
      <c r="M225" s="16">
        <f t="shared" si="85"/>
        <v>9515.36</v>
      </c>
      <c r="N225" s="16">
        <f>SUM(N223:N224)</f>
        <v>80484.639999999999</v>
      </c>
    </row>
    <row r="226" spans="1:14" s="71" customFormat="1" ht="24.95" customHeight="1" thickBot="1" x14ac:dyDescent="0.25">
      <c r="A226" s="65"/>
      <c r="B226" s="65"/>
      <c r="C226" s="65"/>
      <c r="D226" s="65"/>
      <c r="E226" s="65"/>
      <c r="F226" s="65"/>
      <c r="G226" s="65"/>
      <c r="H226" s="6"/>
      <c r="I226" s="6"/>
      <c r="J226" s="6"/>
      <c r="K226" s="6"/>
      <c r="L226" s="6"/>
      <c r="M226" s="6"/>
      <c r="N226" s="6"/>
    </row>
    <row r="227" spans="1:14" s="71" customFormat="1" ht="24.95" customHeight="1" thickBot="1" x14ac:dyDescent="0.25">
      <c r="A227" s="276" t="s">
        <v>250</v>
      </c>
      <c r="B227" s="263"/>
      <c r="C227" s="263"/>
      <c r="D227" s="263"/>
      <c r="E227" s="263"/>
      <c r="F227" s="263"/>
      <c r="G227" s="263"/>
      <c r="H227" s="263"/>
      <c r="I227" s="263"/>
      <c r="J227" s="263"/>
      <c r="K227" s="263"/>
      <c r="L227" s="263"/>
      <c r="M227" s="263"/>
      <c r="N227" s="264"/>
    </row>
    <row r="228" spans="1:14" ht="23.25" customHeight="1" x14ac:dyDescent="0.2">
      <c r="A228" s="69">
        <f>+A224+1</f>
        <v>87</v>
      </c>
      <c r="B228" s="26" t="s">
        <v>449</v>
      </c>
      <c r="C228" s="12" t="s">
        <v>470</v>
      </c>
      <c r="D228" s="26" t="s">
        <v>450</v>
      </c>
      <c r="E228" s="129" t="s">
        <v>233</v>
      </c>
      <c r="F228" s="110" t="s">
        <v>578</v>
      </c>
      <c r="G228" s="110" t="s">
        <v>648</v>
      </c>
      <c r="H228" s="64">
        <v>55000</v>
      </c>
      <c r="I228" s="64">
        <f>H228*2.87%</f>
        <v>1578.5</v>
      </c>
      <c r="J228" s="64">
        <f>+H228*3.04%</f>
        <v>1672</v>
      </c>
      <c r="K228" s="64">
        <v>2559.6799999999998</v>
      </c>
      <c r="L228" s="70">
        <v>25</v>
      </c>
      <c r="M228" s="64">
        <f>SUM(I228:L228)</f>
        <v>5835.18</v>
      </c>
      <c r="N228" s="70">
        <f>+H228-M228</f>
        <v>49164.82</v>
      </c>
    </row>
    <row r="229" spans="1:14" ht="24.75" customHeight="1" x14ac:dyDescent="0.2">
      <c r="A229" s="261" t="s">
        <v>138</v>
      </c>
      <c r="B229" s="261"/>
      <c r="C229" s="261"/>
      <c r="D229" s="261"/>
      <c r="E229" s="261"/>
      <c r="F229" s="261"/>
      <c r="G229" s="261"/>
      <c r="H229" s="16">
        <f>SUM(H228:H228)</f>
        <v>55000</v>
      </c>
      <c r="I229" s="16">
        <f t="shared" ref="I229:N229" si="86">SUM(I228:I228)</f>
        <v>1578.5</v>
      </c>
      <c r="J229" s="16">
        <f t="shared" si="86"/>
        <v>1672</v>
      </c>
      <c r="K229" s="16">
        <f t="shared" si="86"/>
        <v>2559.6799999999998</v>
      </c>
      <c r="L229" s="16">
        <f t="shared" si="86"/>
        <v>25</v>
      </c>
      <c r="M229" s="16">
        <f t="shared" si="86"/>
        <v>5835.18</v>
      </c>
      <c r="N229" s="16">
        <f t="shared" si="86"/>
        <v>49164.82</v>
      </c>
    </row>
    <row r="230" spans="1:14" ht="25.5" customHeight="1" thickBot="1" x14ac:dyDescent="0.25">
      <c r="A230" s="65"/>
      <c r="B230" s="65"/>
      <c r="C230" s="65"/>
      <c r="D230" s="65"/>
      <c r="E230" s="65"/>
      <c r="F230" s="65"/>
      <c r="G230" s="65"/>
      <c r="H230" s="6"/>
      <c r="I230" s="6"/>
      <c r="J230" s="6"/>
      <c r="K230" s="6"/>
      <c r="L230" s="6"/>
      <c r="M230" s="6"/>
      <c r="N230" s="6"/>
    </row>
    <row r="231" spans="1:14" ht="24.75" customHeight="1" thickBot="1" x14ac:dyDescent="0.25">
      <c r="A231" s="262" t="s">
        <v>499</v>
      </c>
      <c r="B231" s="263"/>
      <c r="C231" s="263"/>
      <c r="D231" s="263"/>
      <c r="E231" s="263"/>
      <c r="F231" s="263"/>
      <c r="G231" s="263"/>
      <c r="H231" s="263"/>
      <c r="I231" s="263"/>
      <c r="J231" s="263"/>
      <c r="K231" s="263"/>
      <c r="L231" s="263"/>
      <c r="M231" s="263"/>
      <c r="N231" s="264"/>
    </row>
    <row r="232" spans="1:14" ht="29.25" customHeight="1" x14ac:dyDescent="0.2">
      <c r="A232" s="108">
        <f>+A228+1</f>
        <v>88</v>
      </c>
      <c r="B232" s="115" t="s">
        <v>159</v>
      </c>
      <c r="C232" s="118" t="s">
        <v>470</v>
      </c>
      <c r="D232" s="115" t="s">
        <v>451</v>
      </c>
      <c r="E232" s="109" t="s">
        <v>233</v>
      </c>
      <c r="F232" s="26" t="s">
        <v>515</v>
      </c>
      <c r="G232" s="26" t="s">
        <v>614</v>
      </c>
      <c r="H232" s="112">
        <v>60000</v>
      </c>
      <c r="I232" s="112">
        <f>H232*2.87%</f>
        <v>1722</v>
      </c>
      <c r="J232" s="112">
        <f>+H232*3.04%</f>
        <v>1824</v>
      </c>
      <c r="K232" s="112">
        <v>3486.68</v>
      </c>
      <c r="L232" s="111">
        <v>125</v>
      </c>
      <c r="M232" s="112">
        <f>SUM(I232:L232)</f>
        <v>7157.68</v>
      </c>
      <c r="N232" s="111">
        <f>+H232-M232</f>
        <v>52842.32</v>
      </c>
    </row>
    <row r="233" spans="1:14" ht="26.25" customHeight="1" x14ac:dyDescent="0.2">
      <c r="A233" s="261" t="s">
        <v>138</v>
      </c>
      <c r="B233" s="261"/>
      <c r="C233" s="261"/>
      <c r="D233" s="261"/>
      <c r="E233" s="261"/>
      <c r="F233" s="261"/>
      <c r="G233" s="261"/>
      <c r="H233" s="16">
        <f>SUM(H232:H232)</f>
        <v>60000</v>
      </c>
      <c r="I233" s="16">
        <f t="shared" ref="I233:N233" si="87">SUM(I232:I232)</f>
        <v>1722</v>
      </c>
      <c r="J233" s="16">
        <f t="shared" si="87"/>
        <v>1824</v>
      </c>
      <c r="K233" s="16">
        <f t="shared" si="87"/>
        <v>3486.68</v>
      </c>
      <c r="L233" s="16">
        <f t="shared" si="87"/>
        <v>125</v>
      </c>
      <c r="M233" s="16">
        <f t="shared" si="87"/>
        <v>7157.68</v>
      </c>
      <c r="N233" s="16">
        <f t="shared" si="87"/>
        <v>52842.32</v>
      </c>
    </row>
    <row r="234" spans="1:14" s="71" customFormat="1" ht="26.25" customHeight="1" thickBot="1" x14ac:dyDescent="0.25">
      <c r="A234" s="65"/>
      <c r="B234" s="65"/>
      <c r="C234" s="65"/>
      <c r="D234" s="65"/>
      <c r="E234" s="65"/>
      <c r="F234" s="65"/>
      <c r="G234" s="65"/>
      <c r="H234" s="6"/>
      <c r="I234" s="6"/>
      <c r="J234" s="6"/>
      <c r="K234" s="6"/>
      <c r="L234" s="6"/>
      <c r="M234" s="6"/>
      <c r="N234" s="6"/>
    </row>
    <row r="235" spans="1:14" s="2" customFormat="1" ht="24.95" customHeight="1" thickBot="1" x14ac:dyDescent="0.25">
      <c r="A235" s="262" t="s">
        <v>229</v>
      </c>
      <c r="B235" s="263"/>
      <c r="C235" s="263"/>
      <c r="D235" s="263"/>
      <c r="E235" s="263"/>
      <c r="F235" s="263"/>
      <c r="G235" s="263"/>
      <c r="H235" s="263"/>
      <c r="I235" s="263"/>
      <c r="J235" s="263"/>
      <c r="K235" s="263"/>
      <c r="L235" s="263"/>
      <c r="M235" s="263"/>
      <c r="N235" s="264"/>
    </row>
    <row r="236" spans="1:14" ht="27" customHeight="1" x14ac:dyDescent="0.2">
      <c r="A236" s="12">
        <f>+A232+1</f>
        <v>89</v>
      </c>
      <c r="B236" s="131" t="s">
        <v>452</v>
      </c>
      <c r="C236" s="133" t="s">
        <v>469</v>
      </c>
      <c r="D236" s="131" t="s">
        <v>145</v>
      </c>
      <c r="E236" s="109" t="s">
        <v>233</v>
      </c>
      <c r="F236" s="26" t="s">
        <v>585</v>
      </c>
      <c r="G236" s="26" t="s">
        <v>640</v>
      </c>
      <c r="H236" s="112">
        <v>45000</v>
      </c>
      <c r="I236" s="112">
        <f>H236*2.87%</f>
        <v>1291.5</v>
      </c>
      <c r="J236" s="112">
        <f>+H236*3.04%</f>
        <v>1368</v>
      </c>
      <c r="K236" s="112">
        <v>901.26</v>
      </c>
      <c r="L236" s="111">
        <v>5756.64</v>
      </c>
      <c r="M236" s="112">
        <f>SUM(I236:L236)</f>
        <v>9317.4000000000015</v>
      </c>
      <c r="N236" s="111">
        <f>+H236-M236</f>
        <v>35682.6</v>
      </c>
    </row>
    <row r="237" spans="1:14" ht="21.75" customHeight="1" x14ac:dyDescent="0.2">
      <c r="A237" s="261" t="s">
        <v>138</v>
      </c>
      <c r="B237" s="261"/>
      <c r="C237" s="261"/>
      <c r="D237" s="261"/>
      <c r="E237" s="261"/>
      <c r="F237" s="261"/>
      <c r="G237" s="261"/>
      <c r="H237" s="16">
        <f>SUM(H236:H236)</f>
        <v>45000</v>
      </c>
      <c r="I237" s="16">
        <f t="shared" ref="I237:M237" si="88">SUM(I236:I236)</f>
        <v>1291.5</v>
      </c>
      <c r="J237" s="16">
        <f t="shared" si="88"/>
        <v>1368</v>
      </c>
      <c r="K237" s="16">
        <f t="shared" si="88"/>
        <v>901.26</v>
      </c>
      <c r="L237" s="16">
        <f t="shared" si="88"/>
        <v>5756.64</v>
      </c>
      <c r="M237" s="16">
        <f t="shared" si="88"/>
        <v>9317.4000000000015</v>
      </c>
      <c r="N237" s="16">
        <f>SUM(N236:N236)</f>
        <v>35682.6</v>
      </c>
    </row>
    <row r="238" spans="1:14" ht="26.25" customHeight="1" thickBot="1" x14ac:dyDescent="0.25">
      <c r="D238" s="27"/>
      <c r="E238" s="27"/>
      <c r="F238" s="27"/>
      <c r="G238" s="27"/>
      <c r="I238" s="2"/>
      <c r="J238" s="2"/>
      <c r="K238" s="2"/>
      <c r="L238" s="2"/>
      <c r="M238" s="2"/>
      <c r="N238" s="7"/>
    </row>
    <row r="239" spans="1:14" ht="26.25" customHeight="1" thickBot="1" x14ac:dyDescent="0.25">
      <c r="A239" s="274" t="s">
        <v>453</v>
      </c>
      <c r="B239" s="275"/>
      <c r="C239" s="275"/>
      <c r="D239" s="275"/>
      <c r="E239" s="135"/>
      <c r="F239" s="63"/>
      <c r="G239" s="63"/>
    </row>
    <row r="240" spans="1:14" ht="26.25" customHeight="1" thickBot="1" x14ac:dyDescent="0.25">
      <c r="A240" s="159"/>
      <c r="B240" s="159"/>
      <c r="C240" s="159"/>
      <c r="D240" s="159"/>
      <c r="E240" s="159"/>
      <c r="H240" s="15">
        <f t="shared" ref="H240:N240" si="89">+H12+H17+H23+H33+H38+H42+H48+H63+H69+H73+H82+H90+H101+H109+H125+H135+H139+H149+H159+H164+H168+H173+H182+H193+H198+H202+H212++H229+H233+H237+H225+H220+H216+H187+H206+H27+H77+H53+H153+H119+H97+H130+H114+H57+H105+H85</f>
        <v>7760000</v>
      </c>
      <c r="I240" s="15">
        <f>+I12+I17+I23+I33+I38+I42+I48+I63+I69+I73+I82+I90+I101+I109+I125+I135+I139+I149+I159+I164+I168+I173+I182+I193+I198+I202+I212++I229+I233+I237+I225+I220+I216+I187+I206+I27+I77+I53+I153+I119+I97+I130+I114+I57+I105+I85</f>
        <v>222712</v>
      </c>
      <c r="J240" s="15">
        <f t="shared" si="89"/>
        <v>231670.8</v>
      </c>
      <c r="K240" s="15">
        <f t="shared" si="89"/>
        <v>829766.58000000019</v>
      </c>
      <c r="L240" s="15">
        <f t="shared" si="89"/>
        <v>234269.67000000004</v>
      </c>
      <c r="M240" s="15">
        <f t="shared" si="89"/>
        <v>1522675.7299999997</v>
      </c>
      <c r="N240" s="15">
        <f t="shared" si="89"/>
        <v>6237324.2700000014</v>
      </c>
    </row>
    <row r="241" spans="1:14" x14ac:dyDescent="0.2">
      <c r="A241" s="159"/>
      <c r="B241" s="159"/>
      <c r="C241" s="159"/>
      <c r="D241" s="159"/>
      <c r="E241" s="159"/>
      <c r="H241" s="174"/>
      <c r="I241" s="174"/>
      <c r="J241" s="174"/>
      <c r="K241" s="174"/>
      <c r="L241" s="174"/>
      <c r="M241" s="174"/>
      <c r="N241" s="174"/>
    </row>
    <row r="242" spans="1:14" ht="20.25" customHeight="1" x14ac:dyDescent="0.25">
      <c r="B242" s="23" t="s">
        <v>219</v>
      </c>
      <c r="C242" s="158"/>
      <c r="D242" s="22"/>
      <c r="E242" s="22"/>
      <c r="F242" s="23" t="s">
        <v>546</v>
      </c>
    </row>
    <row r="243" spans="1:14" ht="15.75" customHeight="1" x14ac:dyDescent="0.25">
      <c r="B243" s="23" t="s">
        <v>547</v>
      </c>
      <c r="C243" s="158"/>
      <c r="D243" s="22"/>
      <c r="E243" s="22"/>
      <c r="F243" s="23" t="s">
        <v>548</v>
      </c>
    </row>
    <row r="245" spans="1:14" x14ac:dyDescent="0.2">
      <c r="H245" s="68"/>
    </row>
    <row r="64839" spans="2:14" s="4" customFormat="1" x14ac:dyDescent="0.2">
      <c r="B64839" s="25"/>
      <c r="D64839" s="25"/>
      <c r="E64839" s="25"/>
      <c r="F64839" s="25"/>
      <c r="G64839" s="25"/>
      <c r="H64839" s="2"/>
      <c r="I64839" s="1"/>
      <c r="J64839" s="1"/>
      <c r="K64839" s="1"/>
      <c r="L64839" s="1"/>
      <c r="M64839" s="1"/>
      <c r="N64839" s="1"/>
    </row>
    <row r="64840" spans="2:14" x14ac:dyDescent="0.2">
      <c r="I64840" s="4"/>
      <c r="J64840" s="4"/>
    </row>
    <row r="64841" spans="2:14" s="4" customFormat="1" x14ac:dyDescent="0.2">
      <c r="B64841" s="25"/>
      <c r="D64841" s="25"/>
      <c r="E64841" s="25"/>
      <c r="F64841" s="25"/>
      <c r="G64841" s="25"/>
      <c r="H64841" s="2"/>
      <c r="I64841" s="1"/>
      <c r="J64841" s="1"/>
      <c r="K64841" s="1"/>
      <c r="L64841" s="1"/>
      <c r="M64841" s="1"/>
      <c r="N64841" s="1"/>
    </row>
    <row r="64842" spans="2:14" x14ac:dyDescent="0.2">
      <c r="I64842" s="4"/>
      <c r="J64842" s="4"/>
    </row>
    <row r="64852" spans="2:14" x14ac:dyDescent="0.2">
      <c r="B64852" s="25">
        <f>SUM(B7:B64851)</f>
        <v>0</v>
      </c>
      <c r="L64852" s="4"/>
      <c r="M64852" s="4"/>
      <c r="N64852" s="4"/>
    </row>
    <row r="64854" spans="2:14" x14ac:dyDescent="0.2">
      <c r="B64854" s="25">
        <f>SUM(B64852)</f>
        <v>0</v>
      </c>
      <c r="L64854" s="4"/>
      <c r="M64854" s="4"/>
      <c r="N64854" s="4"/>
    </row>
    <row r="64855" spans="2:14" x14ac:dyDescent="0.2">
      <c r="K64855" s="4"/>
    </row>
    <row r="64857" spans="2:14" x14ac:dyDescent="0.2">
      <c r="K64857" s="4"/>
    </row>
    <row r="1048181" spans="13:13" x14ac:dyDescent="0.2">
      <c r="M1048181" s="11" t="e">
        <f>SUM(#REF!)</f>
        <v>#REF!</v>
      </c>
    </row>
  </sheetData>
  <mergeCells count="100">
    <mergeCell ref="A97:G97"/>
    <mergeCell ref="A92:N92"/>
    <mergeCell ref="A51:N51"/>
    <mergeCell ref="A53:G53"/>
    <mergeCell ref="A73:G73"/>
    <mergeCell ref="A55:N55"/>
    <mergeCell ref="A57:G57"/>
    <mergeCell ref="A93:N93"/>
    <mergeCell ref="A69:G69"/>
    <mergeCell ref="A79:N79"/>
    <mergeCell ref="A82:G82"/>
    <mergeCell ref="A83:N83"/>
    <mergeCell ref="A85:G85"/>
    <mergeCell ref="A8:N8"/>
    <mergeCell ref="A12:G12"/>
    <mergeCell ref="A121:N121"/>
    <mergeCell ref="A14:N14"/>
    <mergeCell ref="A17:G17"/>
    <mergeCell ref="A42:G42"/>
    <mergeCell ref="A109:G109"/>
    <mergeCell ref="A19:N19"/>
    <mergeCell ref="A23:G23"/>
    <mergeCell ref="A87:N87"/>
    <mergeCell ref="A90:G90"/>
    <mergeCell ref="A35:N35"/>
    <mergeCell ref="A38:G38"/>
    <mergeCell ref="A29:N29"/>
    <mergeCell ref="A63:G63"/>
    <mergeCell ref="A71:N71"/>
    <mergeCell ref="A198:G198"/>
    <mergeCell ref="A196:N196"/>
    <mergeCell ref="A202:G202"/>
    <mergeCell ref="A151:N151"/>
    <mergeCell ref="A153:G153"/>
    <mergeCell ref="A187:G187"/>
    <mergeCell ref="A116:N116"/>
    <mergeCell ref="A127:N127"/>
    <mergeCell ref="A130:G130"/>
    <mergeCell ref="A103:N103"/>
    <mergeCell ref="A105:G105"/>
    <mergeCell ref="A125:G125"/>
    <mergeCell ref="A111:N111"/>
    <mergeCell ref="A114:G114"/>
    <mergeCell ref="A235:N235"/>
    <mergeCell ref="A231:N231"/>
    <mergeCell ref="A233:G233"/>
    <mergeCell ref="A222:N222"/>
    <mergeCell ref="A208:N208"/>
    <mergeCell ref="A212:G212"/>
    <mergeCell ref="A225:G225"/>
    <mergeCell ref="A220:G220"/>
    <mergeCell ref="A218:N218"/>
    <mergeCell ref="A44:N44"/>
    <mergeCell ref="A48:G48"/>
    <mergeCell ref="A239:D239"/>
    <mergeCell ref="A107:N107"/>
    <mergeCell ref="A132:N132"/>
    <mergeCell ref="A159:G159"/>
    <mergeCell ref="A161:N161"/>
    <mergeCell ref="A164:G164"/>
    <mergeCell ref="A175:N175"/>
    <mergeCell ref="A237:G237"/>
    <mergeCell ref="A227:N227"/>
    <mergeCell ref="A229:G229"/>
    <mergeCell ref="A200:N200"/>
    <mergeCell ref="A119:G119"/>
    <mergeCell ref="A214:N214"/>
    <mergeCell ref="A216:G216"/>
    <mergeCell ref="A99:N99"/>
    <mergeCell ref="A101:G101"/>
    <mergeCell ref="A75:N75"/>
    <mergeCell ref="A77:G77"/>
    <mergeCell ref="A2:N2"/>
    <mergeCell ref="A3:N3"/>
    <mergeCell ref="A4:N4"/>
    <mergeCell ref="A5:B5"/>
    <mergeCell ref="A6:B6"/>
    <mergeCell ref="I6:J6"/>
    <mergeCell ref="A25:N25"/>
    <mergeCell ref="A27:G27"/>
    <mergeCell ref="A33:G33"/>
    <mergeCell ref="A65:N65"/>
    <mergeCell ref="A60:N60"/>
    <mergeCell ref="A40:N40"/>
    <mergeCell ref="A204:N204"/>
    <mergeCell ref="A206:G206"/>
    <mergeCell ref="A135:G135"/>
    <mergeCell ref="A141:N141"/>
    <mergeCell ref="A137:N137"/>
    <mergeCell ref="A139:G139"/>
    <mergeCell ref="A155:N155"/>
    <mergeCell ref="A149:G149"/>
    <mergeCell ref="A166:N166"/>
    <mergeCell ref="A168:G168"/>
    <mergeCell ref="A170:N170"/>
    <mergeCell ref="A173:G173"/>
    <mergeCell ref="A182:G182"/>
    <mergeCell ref="A189:N189"/>
    <mergeCell ref="A193:G193"/>
    <mergeCell ref="A184:N184"/>
  </mergeCells>
  <phoneticPr fontId="18" type="noConversion"/>
  <pageMargins left="0.15748031496062992" right="0.15748031496062992" top="0.15748031496062992" bottom="0.15748031496062992" header="0.15748031496062992" footer="0.15748031496062992"/>
  <pageSetup scale="48" fitToHeight="0" orientation="landscape" r:id="rId1"/>
  <rowBreaks count="9" manualBreakCount="9">
    <brk id="43" max="13" man="1"/>
    <brk id="74" max="13" man="1"/>
    <brk id="105" max="13" man="1"/>
    <brk id="136" max="13" man="1"/>
    <brk id="169" max="13" man="1"/>
    <brk id="198" max="13" man="1"/>
    <brk id="229" max="13" man="1"/>
    <brk id="245" max="12" man="1"/>
    <brk id="250" max="12" man="1"/>
  </rowBreaks>
  <ignoredErrors>
    <ignoredError sqref="M223:M224 M180:M181 M215:N215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F89F1-DC2B-46C9-976F-A36889A02C55}">
  <dimension ref="A1"/>
  <sheetViews>
    <sheetView workbookViewId="0">
      <selection activeCell="B1" sqref="B1"/>
    </sheetView>
  </sheetViews>
  <sheetFormatPr baseColWidth="10" defaultRowHeight="12.75" x14ac:dyDescent="0.2"/>
  <cols>
    <col min="1" max="1" width="20" customWidth="1"/>
  </cols>
  <sheetData>
    <row r="1" spans="1:1" x14ac:dyDescent="0.2">
      <c r="A1" t="s">
        <v>674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877144"/>
  <sheetViews>
    <sheetView showGridLines="0" tabSelected="1" view="pageBreakPreview" topLeftCell="A5" zoomScale="93" zoomScaleNormal="93" zoomScaleSheetLayoutView="93" workbookViewId="0">
      <selection activeCell="A5" sqref="A5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3" width="11.42578125" style="114"/>
    <col min="14" max="16384" width="11.42578125" style="1"/>
  </cols>
  <sheetData>
    <row r="2" spans="1:13" ht="23.25" x14ac:dyDescent="0.35">
      <c r="A2" s="242" t="s">
        <v>454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</row>
    <row r="3" spans="1:13" ht="21" x14ac:dyDescent="0.35">
      <c r="A3" s="243" t="s">
        <v>455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</row>
    <row r="4" spans="1:13" ht="18.75" x14ac:dyDescent="0.3">
      <c r="A4" s="244" t="s">
        <v>667</v>
      </c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25"/>
    </row>
    <row r="5" spans="1:13" ht="19.5" thickBot="1" x14ac:dyDescent="0.3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225"/>
    </row>
    <row r="6" spans="1:13" s="2" customFormat="1" ht="21" customHeight="1" thickBot="1" x14ac:dyDescent="0.25">
      <c r="B6" s="3"/>
      <c r="C6" s="159"/>
      <c r="D6" s="3"/>
      <c r="E6" s="4"/>
      <c r="F6" s="6"/>
      <c r="G6" s="285" t="s">
        <v>133</v>
      </c>
      <c r="H6" s="286"/>
      <c r="M6" s="71"/>
    </row>
    <row r="7" spans="1:13" s="2" customFormat="1" ht="27" customHeight="1" x14ac:dyDescent="0.2">
      <c r="A7" s="13" t="s">
        <v>0</v>
      </c>
      <c r="B7" s="13" t="s">
        <v>397</v>
      </c>
      <c r="C7" s="36" t="s">
        <v>471</v>
      </c>
      <c r="D7" s="13" t="s">
        <v>139</v>
      </c>
      <c r="E7" s="13" t="s">
        <v>140</v>
      </c>
      <c r="F7" s="13" t="s">
        <v>137</v>
      </c>
      <c r="G7" s="13" t="s">
        <v>1</v>
      </c>
      <c r="H7" s="13" t="s">
        <v>2</v>
      </c>
      <c r="I7" s="14" t="s">
        <v>128</v>
      </c>
      <c r="J7" s="14" t="s">
        <v>130</v>
      </c>
      <c r="K7" s="14" t="s">
        <v>3</v>
      </c>
      <c r="L7" s="14" t="s">
        <v>129</v>
      </c>
      <c r="M7" s="71"/>
    </row>
    <row r="8" spans="1:13" s="106" customFormat="1" ht="26.45" customHeight="1" x14ac:dyDescent="0.25">
      <c r="A8" s="102">
        <v>1</v>
      </c>
      <c r="B8" s="121" t="s">
        <v>461</v>
      </c>
      <c r="C8" s="39" t="s">
        <v>470</v>
      </c>
      <c r="D8" s="122" t="s">
        <v>460</v>
      </c>
      <c r="E8" s="121" t="s">
        <v>120</v>
      </c>
      <c r="F8" s="123">
        <v>155250</v>
      </c>
      <c r="G8" s="90">
        <f t="shared" ref="G8:G16" si="0">F8*2.87%</f>
        <v>4455.6750000000002</v>
      </c>
      <c r="H8" s="90">
        <f t="shared" ref="H8:H12" si="1">+F8*3.04%</f>
        <v>4719.6000000000004</v>
      </c>
      <c r="I8" s="90">
        <v>24723.51</v>
      </c>
      <c r="J8" s="92">
        <v>1637.45</v>
      </c>
      <c r="K8" s="120">
        <f>SUM(G8:J8)</f>
        <v>35536.235000000001</v>
      </c>
      <c r="L8" s="86">
        <f>+F8-K8</f>
        <v>119713.765</v>
      </c>
    </row>
    <row r="9" spans="1:13" s="18" customFormat="1" ht="24" customHeight="1" x14ac:dyDescent="0.25">
      <c r="A9" s="102">
        <v>2</v>
      </c>
      <c r="B9" s="121" t="s">
        <v>205</v>
      </c>
      <c r="C9" s="39" t="s">
        <v>470</v>
      </c>
      <c r="D9" s="122" t="s">
        <v>119</v>
      </c>
      <c r="E9" s="121" t="s">
        <v>135</v>
      </c>
      <c r="F9" s="123">
        <v>126500</v>
      </c>
      <c r="G9" s="90">
        <f>F9*2.87%</f>
        <v>3630.55</v>
      </c>
      <c r="H9" s="90">
        <f>+F9*3.04%</f>
        <v>3845.6</v>
      </c>
      <c r="I9" s="90">
        <v>17960.7872916667</v>
      </c>
      <c r="J9" s="92">
        <v>1537.45</v>
      </c>
      <c r="K9" s="120">
        <f>SUM(G9:J9)</f>
        <v>26974.387291666699</v>
      </c>
      <c r="L9" s="86">
        <f>+F9-K9</f>
        <v>99525.612708333298</v>
      </c>
      <c r="M9" s="105"/>
    </row>
    <row r="10" spans="1:13" s="106" customFormat="1" ht="23.45" customHeight="1" x14ac:dyDescent="0.25">
      <c r="A10" s="102">
        <v>3</v>
      </c>
      <c r="B10" s="121" t="s">
        <v>24</v>
      </c>
      <c r="C10" s="39" t="s">
        <v>469</v>
      </c>
      <c r="D10" s="121" t="s">
        <v>23</v>
      </c>
      <c r="E10" s="121" t="s">
        <v>135</v>
      </c>
      <c r="F10" s="123">
        <v>60000</v>
      </c>
      <c r="G10" s="123">
        <f>F10*2.87%</f>
        <v>1722</v>
      </c>
      <c r="H10" s="90">
        <f>+F10*3.04%</f>
        <v>1824</v>
      </c>
      <c r="I10" s="90">
        <v>3486.68</v>
      </c>
      <c r="J10" s="86">
        <v>25</v>
      </c>
      <c r="K10" s="85">
        <f>SUM(G10:J10)</f>
        <v>7057.68</v>
      </c>
      <c r="L10" s="86">
        <f>+F10-K10</f>
        <v>52942.32</v>
      </c>
    </row>
    <row r="11" spans="1:13" s="105" customFormat="1" ht="19.899999999999999" customHeight="1" x14ac:dyDescent="0.25">
      <c r="A11" s="102">
        <v>4</v>
      </c>
      <c r="B11" s="121" t="s">
        <v>336</v>
      </c>
      <c r="C11" s="39" t="s">
        <v>470</v>
      </c>
      <c r="D11" s="122" t="s">
        <v>95</v>
      </c>
      <c r="E11" s="121" t="s">
        <v>209</v>
      </c>
      <c r="F11" s="90">
        <v>50000</v>
      </c>
      <c r="G11" s="90">
        <f>F11*2.87%</f>
        <v>1435</v>
      </c>
      <c r="H11" s="90">
        <f>+F11*3.04%</f>
        <v>1520</v>
      </c>
      <c r="I11" s="90">
        <v>1854</v>
      </c>
      <c r="J11" s="86">
        <v>1798.84</v>
      </c>
      <c r="K11" s="120">
        <f>SUM(G11:J11)</f>
        <v>6607.84</v>
      </c>
      <c r="L11" s="86">
        <f>+F11-K11</f>
        <v>43392.160000000003</v>
      </c>
    </row>
    <row r="12" spans="1:13" s="106" customFormat="1" ht="20.100000000000001" customHeight="1" x14ac:dyDescent="0.25">
      <c r="A12" s="102">
        <v>5</v>
      </c>
      <c r="B12" s="121" t="s">
        <v>462</v>
      </c>
      <c r="C12" s="39" t="s">
        <v>469</v>
      </c>
      <c r="D12" s="122" t="s">
        <v>479</v>
      </c>
      <c r="E12" s="121" t="s">
        <v>463</v>
      </c>
      <c r="F12" s="103">
        <v>44000</v>
      </c>
      <c r="G12" s="103">
        <f t="shared" si="0"/>
        <v>1262.8</v>
      </c>
      <c r="H12" s="103">
        <f t="shared" si="1"/>
        <v>1337.6</v>
      </c>
      <c r="I12" s="103">
        <v>1007.19</v>
      </c>
      <c r="J12" s="104">
        <v>25</v>
      </c>
      <c r="K12" s="119">
        <f>+G12+H12+J12+I12</f>
        <v>3632.5899999999997</v>
      </c>
      <c r="L12" s="104">
        <f t="shared" ref="L12:L16" si="2">+F12-K12</f>
        <v>40367.410000000003</v>
      </c>
    </row>
    <row r="13" spans="1:13" s="105" customFormat="1" ht="20.100000000000001" customHeight="1" x14ac:dyDescent="0.25">
      <c r="A13" s="102">
        <v>6</v>
      </c>
      <c r="B13" s="121" t="s">
        <v>366</v>
      </c>
      <c r="C13" s="39" t="s">
        <v>469</v>
      </c>
      <c r="D13" s="122" t="s">
        <v>361</v>
      </c>
      <c r="E13" s="121" t="s">
        <v>110</v>
      </c>
      <c r="F13" s="90">
        <v>28875</v>
      </c>
      <c r="G13" s="90">
        <f t="shared" ref="G13:G14" si="3">F13*2.87%</f>
        <v>828.71249999999998</v>
      </c>
      <c r="H13" s="90">
        <f t="shared" ref="H13:H14" si="4">+F13*3.04%</f>
        <v>877.8</v>
      </c>
      <c r="I13" s="90"/>
      <c r="J13" s="92">
        <v>6572.99</v>
      </c>
      <c r="K13" s="120">
        <f>G13+H13+I13+J13</f>
        <v>8279.5024999999987</v>
      </c>
      <c r="L13" s="92">
        <f t="shared" ref="L13:L14" si="5">+F13-K13</f>
        <v>20595.497500000001</v>
      </c>
    </row>
    <row r="14" spans="1:13" s="105" customFormat="1" ht="20.100000000000001" customHeight="1" x14ac:dyDescent="0.25">
      <c r="A14" s="102">
        <v>7</v>
      </c>
      <c r="B14" s="121" t="s">
        <v>370</v>
      </c>
      <c r="C14" s="39" t="s">
        <v>469</v>
      </c>
      <c r="D14" s="122" t="s">
        <v>361</v>
      </c>
      <c r="E14" s="121" t="s">
        <v>42</v>
      </c>
      <c r="F14" s="90">
        <v>26565</v>
      </c>
      <c r="G14" s="90">
        <f t="shared" si="3"/>
        <v>762.41549999999995</v>
      </c>
      <c r="H14" s="90">
        <f t="shared" si="4"/>
        <v>807.57600000000002</v>
      </c>
      <c r="I14" s="90"/>
      <c r="J14" s="92">
        <v>10989.44</v>
      </c>
      <c r="K14" s="120">
        <f>SUM(G14:J14)</f>
        <v>12559.431500000001</v>
      </c>
      <c r="L14" s="92">
        <f t="shared" si="5"/>
        <v>14005.568499999999</v>
      </c>
    </row>
    <row r="15" spans="1:13" s="105" customFormat="1" ht="20.100000000000001" customHeight="1" x14ac:dyDescent="0.25">
      <c r="A15" s="102">
        <v>8</v>
      </c>
      <c r="B15" s="121" t="s">
        <v>86</v>
      </c>
      <c r="C15" s="39" t="s">
        <v>470</v>
      </c>
      <c r="D15" s="122" t="s">
        <v>464</v>
      </c>
      <c r="E15" s="121" t="s">
        <v>389</v>
      </c>
      <c r="F15" s="103">
        <v>20356.599999999999</v>
      </c>
      <c r="G15" s="103">
        <f t="shared" si="0"/>
        <v>584.23442</v>
      </c>
      <c r="H15" s="103">
        <f t="shared" ref="H15:H16" si="6">+F15*3.04%</f>
        <v>618.84064000000001</v>
      </c>
      <c r="I15" s="103"/>
      <c r="J15" s="104">
        <v>25</v>
      </c>
      <c r="K15" s="119">
        <f>+G15+H15+J15+I15</f>
        <v>1228.0750600000001</v>
      </c>
      <c r="L15" s="104">
        <f t="shared" si="2"/>
        <v>19128.524939999999</v>
      </c>
    </row>
    <row r="16" spans="1:13" s="105" customFormat="1" ht="20.100000000000001" customHeight="1" x14ac:dyDescent="0.25">
      <c r="A16" s="102">
        <v>9</v>
      </c>
      <c r="B16" s="121" t="s">
        <v>87</v>
      </c>
      <c r="C16" s="39" t="s">
        <v>470</v>
      </c>
      <c r="D16" s="122" t="s">
        <v>346</v>
      </c>
      <c r="E16" s="121" t="s">
        <v>89</v>
      </c>
      <c r="F16" s="103">
        <v>15400</v>
      </c>
      <c r="G16" s="103">
        <f t="shared" si="0"/>
        <v>441.98</v>
      </c>
      <c r="H16" s="103">
        <f t="shared" si="6"/>
        <v>468.16</v>
      </c>
      <c r="I16" s="103"/>
      <c r="J16" s="104">
        <v>25</v>
      </c>
      <c r="K16" s="119">
        <f>+G16+H16+J16+I16</f>
        <v>935.1400000000001</v>
      </c>
      <c r="L16" s="104">
        <f t="shared" si="2"/>
        <v>14464.86</v>
      </c>
    </row>
    <row r="17" spans="1:13" s="107" customFormat="1" ht="20.100000000000001" customHeight="1" x14ac:dyDescent="0.25">
      <c r="A17" s="72"/>
      <c r="B17" s="214" t="s">
        <v>456</v>
      </c>
      <c r="C17" s="74"/>
      <c r="D17" s="73"/>
      <c r="E17" s="74"/>
      <c r="F17" s="75">
        <f t="shared" ref="F17:L17" si="7">SUM(F8:F16)</f>
        <v>526946.6</v>
      </c>
      <c r="G17" s="75">
        <f t="shared" si="7"/>
        <v>15123.367419999999</v>
      </c>
      <c r="H17" s="75">
        <f t="shared" si="7"/>
        <v>16019.17664</v>
      </c>
      <c r="I17" s="75">
        <f t="shared" si="7"/>
        <v>49032.167291666701</v>
      </c>
      <c r="J17" s="75">
        <f t="shared" si="7"/>
        <v>22636.17</v>
      </c>
      <c r="K17" s="75">
        <f t="shared" si="7"/>
        <v>102810.88135166671</v>
      </c>
      <c r="L17" s="75">
        <f t="shared" si="7"/>
        <v>424135.71864833328</v>
      </c>
      <c r="M17" s="226"/>
    </row>
    <row r="18" spans="1:13" ht="15.75" x14ac:dyDescent="0.25">
      <c r="D18" s="20"/>
      <c r="E18"/>
      <c r="F18" s="22"/>
    </row>
    <row r="19" spans="1:13" ht="15.75" x14ac:dyDescent="0.25">
      <c r="D19" s="20"/>
      <c r="E19"/>
      <c r="F19" s="22"/>
    </row>
    <row r="20" spans="1:13" ht="15.75" x14ac:dyDescent="0.25">
      <c r="B20" s="21"/>
      <c r="C20" s="157"/>
      <c r="D20" s="22"/>
      <c r="E20" s="21"/>
      <c r="F20"/>
      <c r="H20"/>
    </row>
    <row r="21" spans="1:13" ht="15.75" x14ac:dyDescent="0.25">
      <c r="B21" s="23" t="s">
        <v>219</v>
      </c>
      <c r="C21" s="158"/>
      <c r="D21" s="22"/>
      <c r="E21" s="23" t="s">
        <v>546</v>
      </c>
      <c r="F21" s="22"/>
      <c r="H21" s="23"/>
    </row>
    <row r="22" spans="1:13" ht="15.75" x14ac:dyDescent="0.25">
      <c r="B22" s="23" t="s">
        <v>547</v>
      </c>
      <c r="C22" s="158"/>
      <c r="D22" s="22"/>
      <c r="E22" s="23" t="s">
        <v>548</v>
      </c>
      <c r="F22" s="22"/>
      <c r="H22" s="23"/>
    </row>
    <row r="26" spans="1:13" hidden="1" x14ac:dyDescent="0.2"/>
    <row r="877144" spans="11:11" x14ac:dyDescent="0.2">
      <c r="K877144" s="11" t="e">
        <f>SUM(#REF!)</f>
        <v>#REF!</v>
      </c>
    </row>
  </sheetData>
  <sortState xmlns:xlrd2="http://schemas.microsoft.com/office/spreadsheetml/2017/richdata2" ref="A8:L17">
    <sortCondition descending="1" ref="F8:F17"/>
  </sortState>
  <mergeCells count="4">
    <mergeCell ref="G6:H6"/>
    <mergeCell ref="A2:L2"/>
    <mergeCell ref="A3:L3"/>
    <mergeCell ref="A4:L4"/>
  </mergeCells>
  <pageMargins left="0.17" right="0.17" top="0.62" bottom="0.17" header="0.31496062992125984" footer="0.17"/>
  <pageSetup scale="53" fitToHeight="0" orientation="landscape" r:id="rId1"/>
  <rowBreaks count="2" manualBreakCount="2">
    <brk id="25" max="10" man="1"/>
    <brk id="48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6" ma:contentTypeDescription="Create a new document." ma:contentTypeScope="" ma:versionID="850522bfbdc09d5fbf568ad3f3ac454c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71ad68405c2dd518f2d98800998c5d6e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6E6598D-8688-4331-BEF7-61E9DF25B8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http://purl.org/dc/elements/1.1/"/>
    <ds:schemaRef ds:uri="http://schemas.microsoft.com/office/2006/metadata/properties"/>
    <ds:schemaRef ds:uri="bb6b0d22-0a16-4c1a-9b76-95dfb845d415"/>
    <ds:schemaRef ds:uri="d39205a1-5442-419a-b1e5-b39410ee3123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7</vt:i4>
      </vt:variant>
    </vt:vector>
  </HeadingPairs>
  <TitlesOfParts>
    <vt:vector size="12" baseType="lpstr">
      <vt:lpstr>NOMINA FIJOS </vt:lpstr>
      <vt:lpstr>SUPLENCIA FIJOS</vt:lpstr>
      <vt:lpstr>PERSONAL TEMPORAL</vt:lpstr>
      <vt:lpstr>Hoja1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2022-11-25T13:37:10Z</cp:lastPrinted>
  <dcterms:created xsi:type="dcterms:W3CDTF">2019-01-11T19:06:47Z</dcterms:created>
  <dcterms:modified xsi:type="dcterms:W3CDTF">2022-11-28T15:47:46Z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