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B689B2BE-8CBE-4F27-A8FA-F9456D9D1B0E}" xr6:coauthVersionLast="47" xr6:coauthVersionMax="47" xr10:uidLastSave="{00000000-0000-0000-0000-000000000000}"/>
  <bookViews>
    <workbookView xWindow="28680" yWindow="-120" windowWidth="29040" windowHeight="15840" tabRatio="599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'!$A$1:$L$402</definedName>
    <definedName name="_xlnm.Print_Area" localSheetId="2">'PERSONAL TEMPORAL'!$A$1:$N$232</definedName>
    <definedName name="_xlnm.Print_Area" localSheetId="1">'SUPLENCIA FIJOS'!$B$1:$L$140</definedName>
    <definedName name="_xlnm.Print_Area" localSheetId="3">'TRAMITE PENSION '!$A$1:$L$21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4" l="1"/>
  <c r="J8" i="14"/>
  <c r="L224" i="13"/>
  <c r="I229" i="13" l="1"/>
  <c r="J229" i="13"/>
  <c r="H229" i="13"/>
  <c r="K194" i="13"/>
  <c r="H194" i="13"/>
  <c r="L194" i="13"/>
  <c r="J194" i="13"/>
  <c r="I193" i="13"/>
  <c r="M193" i="13" s="1"/>
  <c r="L92" i="13"/>
  <c r="L21" i="13"/>
  <c r="J379" i="4"/>
  <c r="J383" i="4"/>
  <c r="J377" i="4"/>
  <c r="I194" i="13" l="1"/>
  <c r="M194" i="13"/>
  <c r="N193" i="13"/>
  <c r="N194" i="13" s="1"/>
  <c r="J339" i="4"/>
  <c r="J289" i="4"/>
  <c r="J287" i="4"/>
  <c r="J286" i="4"/>
  <c r="J299" i="4"/>
  <c r="J295" i="4"/>
  <c r="J297" i="4"/>
  <c r="H282" i="4"/>
  <c r="J282" i="4"/>
  <c r="A261" i="4"/>
  <c r="A257" i="4"/>
  <c r="J198" i="4"/>
  <c r="J196" i="4"/>
  <c r="J132" i="4" l="1"/>
  <c r="J123" i="4"/>
  <c r="J125" i="4"/>
  <c r="J101" i="4"/>
  <c r="J94" i="4"/>
  <c r="J87" i="4"/>
  <c r="J86" i="4"/>
  <c r="J80" i="4"/>
  <c r="J41" i="4"/>
  <c r="J14" i="14" l="1"/>
  <c r="G14" i="14"/>
  <c r="H14" i="14"/>
  <c r="I14" i="14"/>
  <c r="F14" i="14"/>
  <c r="L13" i="14"/>
  <c r="K13" i="14"/>
  <c r="G13" i="14"/>
  <c r="H13" i="14"/>
  <c r="A13" i="14"/>
  <c r="K113" i="16"/>
  <c r="K184" i="13"/>
  <c r="L184" i="13"/>
  <c r="H184" i="13"/>
  <c r="L176" i="13"/>
  <c r="L179" i="13"/>
  <c r="L58" i="13"/>
  <c r="L32" i="13"/>
  <c r="K18" i="13"/>
  <c r="L18" i="13"/>
  <c r="H18" i="13"/>
  <c r="M17" i="13"/>
  <c r="N17" i="13" s="1"/>
  <c r="A15" i="13"/>
  <c r="A16" i="13" s="1"/>
  <c r="A17" i="13" s="1"/>
  <c r="A21" i="13" s="1"/>
  <c r="J392" i="4" l="1"/>
  <c r="J325" i="4"/>
  <c r="J210" i="4"/>
  <c r="J194" i="4"/>
  <c r="J187" i="4"/>
  <c r="J93" i="4"/>
  <c r="J74" i="4"/>
  <c r="J43" i="4"/>
  <c r="J40" i="4"/>
  <c r="F82" i="4"/>
  <c r="H80" i="4"/>
  <c r="G80" i="4"/>
  <c r="K80" i="4" s="1"/>
  <c r="L80" i="4" s="1"/>
  <c r="A15" i="4"/>
  <c r="L84" i="13" l="1"/>
  <c r="L91" i="13"/>
  <c r="L69" i="13"/>
  <c r="L31" i="13"/>
  <c r="L54" i="13"/>
  <c r="L79" i="13"/>
  <c r="K35" i="13"/>
  <c r="H35" i="13"/>
  <c r="H207" i="13"/>
  <c r="J76" i="13"/>
  <c r="I76" i="13"/>
  <c r="M76" i="13" l="1"/>
  <c r="N76" i="13" s="1"/>
  <c r="L155" i="13"/>
  <c r="L117" i="13"/>
  <c r="J388" i="4"/>
  <c r="J362" i="4"/>
  <c r="J290" i="4"/>
  <c r="J252" i="4"/>
  <c r="J129" i="4"/>
  <c r="J113" i="4"/>
  <c r="J106" i="4"/>
  <c r="J56" i="4"/>
  <c r="I174" i="4"/>
  <c r="J174" i="4"/>
  <c r="F174" i="4"/>
  <c r="G173" i="4"/>
  <c r="H173" i="4"/>
  <c r="I120" i="4"/>
  <c r="F120" i="4"/>
  <c r="J119" i="4"/>
  <c r="J120" i="4" s="1"/>
  <c r="H119" i="4"/>
  <c r="G119" i="4"/>
  <c r="I160" i="4"/>
  <c r="J160" i="4"/>
  <c r="F160" i="4"/>
  <c r="H159" i="4"/>
  <c r="H160" i="4" s="1"/>
  <c r="G159" i="4"/>
  <c r="I207" i="4"/>
  <c r="F207" i="4"/>
  <c r="J207" i="4"/>
  <c r="I311" i="4"/>
  <c r="F311" i="4"/>
  <c r="G310" i="4"/>
  <c r="H310" i="4"/>
  <c r="J12" i="4"/>
  <c r="J13" i="4"/>
  <c r="J14" i="4"/>
  <c r="I16" i="4"/>
  <c r="F16" i="4"/>
  <c r="G15" i="4"/>
  <c r="H15" i="4"/>
  <c r="A19" i="4"/>
  <c r="K119" i="4" l="1"/>
  <c r="L119" i="4" s="1"/>
  <c r="K173" i="4"/>
  <c r="L173" i="4" s="1"/>
  <c r="K159" i="4"/>
  <c r="G160" i="4"/>
  <c r="K310" i="4"/>
  <c r="K15" i="4"/>
  <c r="L15" i="4" s="1"/>
  <c r="J16" i="4"/>
  <c r="L310" i="4" l="1"/>
  <c r="G128" i="16" l="1"/>
  <c r="G119" i="16"/>
  <c r="G130" i="16" s="1"/>
  <c r="G86" i="16"/>
  <c r="G81" i="16"/>
  <c r="G76" i="16"/>
  <c r="I182" i="4"/>
  <c r="J182" i="4"/>
  <c r="F182" i="4"/>
  <c r="F24" i="4"/>
  <c r="F30" i="4"/>
  <c r="F37" i="4"/>
  <c r="F95" i="4"/>
  <c r="F274" i="4"/>
  <c r="F363" i="4"/>
  <c r="F373" i="4"/>
  <c r="F395" i="4"/>
  <c r="B127" i="16"/>
  <c r="B126" i="16"/>
  <c r="B122" i="16"/>
  <c r="B89" i="16"/>
  <c r="B85" i="16"/>
  <c r="B84" i="16"/>
  <c r="B80" i="16"/>
  <c r="B10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L122" i="16" s="1"/>
  <c r="L123" i="16" s="1"/>
  <c r="H128" i="16"/>
  <c r="I128" i="16"/>
  <c r="J128" i="16"/>
  <c r="K127" i="16"/>
  <c r="L127" i="16" s="1"/>
  <c r="K126" i="16"/>
  <c r="K128" i="16" l="1"/>
  <c r="K123" i="16"/>
  <c r="J94" i="16" l="1"/>
  <c r="I94" i="16"/>
  <c r="H94" i="16"/>
  <c r="G94" i="16"/>
  <c r="K93" i="16"/>
  <c r="K94" i="16" s="1"/>
  <c r="L175" i="13"/>
  <c r="L34" i="13"/>
  <c r="L35" i="13" s="1"/>
  <c r="L93" i="16" l="1"/>
  <c r="L94" i="16" s="1"/>
  <c r="L83" i="13" l="1"/>
  <c r="I21" i="13"/>
  <c r="J21" i="13"/>
  <c r="H24" i="13"/>
  <c r="K24" i="13"/>
  <c r="J16" i="13"/>
  <c r="I16" i="13"/>
  <c r="A22" i="13"/>
  <c r="J11" i="13"/>
  <c r="I11" i="13"/>
  <c r="K12" i="13"/>
  <c r="L12" i="13"/>
  <c r="H12" i="13"/>
  <c r="J389" i="4"/>
  <c r="J302" i="4"/>
  <c r="J311" i="4"/>
  <c r="J262" i="4"/>
  <c r="J189" i="4"/>
  <c r="J190" i="4" s="1"/>
  <c r="I190" i="4"/>
  <c r="F190" i="4"/>
  <c r="M16" i="13" l="1"/>
  <c r="M11" i="13"/>
  <c r="N16" i="13" l="1"/>
  <c r="N11" i="13"/>
  <c r="J62" i="4" l="1"/>
  <c r="I199" i="4"/>
  <c r="J199" i="4"/>
  <c r="F199" i="4"/>
  <c r="G198" i="4"/>
  <c r="H198" i="4"/>
  <c r="K198" i="4" l="1"/>
  <c r="L198" i="4" s="1"/>
  <c r="L88" i="13" l="1"/>
  <c r="K88" i="13"/>
  <c r="H88" i="13"/>
  <c r="J87" i="13"/>
  <c r="J88" i="13" s="1"/>
  <c r="I87" i="13"/>
  <c r="L218" i="13"/>
  <c r="L197" i="13"/>
  <c r="L188" i="13"/>
  <c r="K171" i="13"/>
  <c r="L171" i="13"/>
  <c r="H171" i="13"/>
  <c r="I170" i="13"/>
  <c r="J170" i="13"/>
  <c r="L157" i="13"/>
  <c r="I156" i="13"/>
  <c r="J156" i="13"/>
  <c r="K157" i="13"/>
  <c r="H157" i="13"/>
  <c r="L143" i="13"/>
  <c r="L137" i="13"/>
  <c r="L116" i="13"/>
  <c r="K100" i="13"/>
  <c r="L100" i="13"/>
  <c r="H100" i="13"/>
  <c r="I99" i="13"/>
  <c r="J99" i="13"/>
  <c r="L64" i="13"/>
  <c r="L63" i="13"/>
  <c r="L23" i="13"/>
  <c r="L24" i="13" s="1"/>
  <c r="M87" i="13" l="1"/>
  <c r="M88" i="13" s="1"/>
  <c r="I88" i="13"/>
  <c r="M170" i="13"/>
  <c r="N170" i="13" s="1"/>
  <c r="M156" i="13"/>
  <c r="N156" i="13" s="1"/>
  <c r="M99" i="13"/>
  <c r="N99" i="13" s="1"/>
  <c r="N87" i="13" l="1"/>
  <c r="N88" i="13" s="1"/>
  <c r="F341" i="4" l="1"/>
  <c r="J341" i="4"/>
  <c r="G340" i="4"/>
  <c r="H340" i="4"/>
  <c r="K150" i="4"/>
  <c r="I155" i="4"/>
  <c r="K340" i="4" l="1"/>
  <c r="L340" i="4" s="1"/>
  <c r="K109" i="16"/>
  <c r="K110" i="16" s="1"/>
  <c r="L109" i="16" l="1"/>
  <c r="L110" i="16" s="1"/>
  <c r="L207" i="13" l="1"/>
  <c r="K207" i="13"/>
  <c r="J206" i="13"/>
  <c r="I206" i="13"/>
  <c r="J23" i="13"/>
  <c r="I23" i="13"/>
  <c r="J10" i="13"/>
  <c r="I10" i="13"/>
  <c r="I9" i="13"/>
  <c r="I12" i="13" l="1"/>
  <c r="M23" i="13"/>
  <c r="N23" i="13" s="1"/>
  <c r="M206" i="13"/>
  <c r="N206" i="13" s="1"/>
  <c r="M10" i="13"/>
  <c r="N10" i="13" l="1"/>
  <c r="G339" i="4" l="1"/>
  <c r="H339" i="4"/>
  <c r="K339" i="4" l="1"/>
  <c r="L339" i="4" s="1"/>
  <c r="H185" i="4"/>
  <c r="G185" i="4"/>
  <c r="J115" i="4"/>
  <c r="I115" i="4"/>
  <c r="F115" i="4"/>
  <c r="H112" i="4"/>
  <c r="G112" i="4"/>
  <c r="J82" i="4"/>
  <c r="I82" i="4"/>
  <c r="H81" i="4"/>
  <c r="G81" i="4"/>
  <c r="F57" i="4"/>
  <c r="J57" i="4"/>
  <c r="I57" i="4"/>
  <c r="H56" i="4"/>
  <c r="G56" i="4"/>
  <c r="G60" i="4"/>
  <c r="H60" i="4"/>
  <c r="G61" i="4"/>
  <c r="H61" i="4"/>
  <c r="J44" i="4"/>
  <c r="I44" i="4"/>
  <c r="F44" i="4"/>
  <c r="K39" i="4"/>
  <c r="L39" i="4" s="1"/>
  <c r="K92" i="4"/>
  <c r="L92" i="4" s="1"/>
  <c r="K185" i="4" l="1"/>
  <c r="L185" i="4" s="1"/>
  <c r="K112" i="4"/>
  <c r="L112" i="4" s="1"/>
  <c r="K61" i="4"/>
  <c r="L61" i="4" s="1"/>
  <c r="K60" i="4"/>
  <c r="L60" i="4" s="1"/>
  <c r="K56" i="4"/>
  <c r="L56" i="4" s="1"/>
  <c r="K81" i="4"/>
  <c r="L81" i="4" s="1"/>
  <c r="L71" i="13" l="1"/>
  <c r="K71" i="13"/>
  <c r="H71" i="13"/>
  <c r="J68" i="13"/>
  <c r="I68" i="13"/>
  <c r="J31" i="13"/>
  <c r="I31" i="13"/>
  <c r="J114" i="16"/>
  <c r="I114" i="16"/>
  <c r="H114" i="16"/>
  <c r="G114" i="16"/>
  <c r="K114" i="16"/>
  <c r="M31" i="13" l="1"/>
  <c r="N31" i="13" s="1"/>
  <c r="M68" i="13"/>
  <c r="N68" i="13" s="1"/>
  <c r="L113" i="16"/>
  <c r="L114" i="16" s="1"/>
  <c r="K79" i="16"/>
  <c r="K81" i="16" s="1"/>
  <c r="J59" i="16"/>
  <c r="I59" i="16"/>
  <c r="H59" i="16"/>
  <c r="G59" i="16"/>
  <c r="K58" i="16"/>
  <c r="K59" i="16" s="1"/>
  <c r="K62" i="16"/>
  <c r="L62" i="16" s="1"/>
  <c r="L63" i="16" s="1"/>
  <c r="G63" i="16"/>
  <c r="H63" i="16"/>
  <c r="I63" i="16"/>
  <c r="J63" i="16"/>
  <c r="K66" i="16"/>
  <c r="K67" i="16" s="1"/>
  <c r="G67" i="16"/>
  <c r="H67" i="16"/>
  <c r="I67" i="16"/>
  <c r="J67" i="16"/>
  <c r="J88" i="4"/>
  <c r="I88" i="4"/>
  <c r="F88" i="4"/>
  <c r="H187" i="4"/>
  <c r="G187" i="4"/>
  <c r="H186" i="4"/>
  <c r="G186" i="4"/>
  <c r="J142" i="4"/>
  <c r="I142" i="4"/>
  <c r="F142" i="4"/>
  <c r="H136" i="4"/>
  <c r="G136" i="4"/>
  <c r="H87" i="4"/>
  <c r="G87" i="4"/>
  <c r="J37" i="4"/>
  <c r="I37" i="4"/>
  <c r="H36" i="4"/>
  <c r="G36" i="4"/>
  <c r="L66" i="16" l="1"/>
  <c r="L67" i="16" s="1"/>
  <c r="K187" i="4"/>
  <c r="L187" i="4" s="1"/>
  <c r="L79" i="16"/>
  <c r="L81" i="16" s="1"/>
  <c r="K63" i="16"/>
  <c r="L58" i="16"/>
  <c r="L59" i="16" s="1"/>
  <c r="K186" i="4"/>
  <c r="K136" i="4"/>
  <c r="L136" i="4" s="1"/>
  <c r="K87" i="4"/>
  <c r="L87" i="4" s="1"/>
  <c r="K36" i="4"/>
  <c r="L36" i="4" s="1"/>
  <c r="L186" i="4" l="1"/>
  <c r="K129" i="13" l="1"/>
  <c r="L129" i="13"/>
  <c r="H129" i="13"/>
  <c r="J128" i="13"/>
  <c r="J129" i="13" s="1"/>
  <c r="I128" i="13"/>
  <c r="I127" i="13"/>
  <c r="K70" i="16"/>
  <c r="K71" i="16" s="1"/>
  <c r="J71" i="16"/>
  <c r="I71" i="16"/>
  <c r="H71" i="16"/>
  <c r="G71" i="16"/>
  <c r="F168" i="4"/>
  <c r="I168" i="4"/>
  <c r="J168" i="4"/>
  <c r="I129" i="13" l="1"/>
  <c r="M128" i="13"/>
  <c r="N128" i="13" s="1"/>
  <c r="L70" i="16"/>
  <c r="L71" i="16" s="1"/>
  <c r="I320" i="4" l="1"/>
  <c r="J320" i="4"/>
  <c r="F320" i="4"/>
  <c r="G319" i="4"/>
  <c r="H319" i="4"/>
  <c r="K319" i="4" l="1"/>
  <c r="L319" i="4" s="1"/>
  <c r="K75" i="16"/>
  <c r="H220" i="13"/>
  <c r="H215" i="13"/>
  <c r="H211" i="13"/>
  <c r="H202" i="13"/>
  <c r="H198" i="13"/>
  <c r="H190" i="13"/>
  <c r="H180" i="13"/>
  <c r="H166" i="13"/>
  <c r="H162" i="13"/>
  <c r="H151" i="13"/>
  <c r="H147" i="13"/>
  <c r="H138" i="13"/>
  <c r="K134" i="13"/>
  <c r="L134" i="13"/>
  <c r="H134" i="13"/>
  <c r="K124" i="13"/>
  <c r="L124" i="13"/>
  <c r="H124" i="13"/>
  <c r="H118" i="13"/>
  <c r="H108" i="13"/>
  <c r="H104" i="13"/>
  <c r="H93" i="13"/>
  <c r="H85" i="13"/>
  <c r="H80" i="13"/>
  <c r="H65" i="13"/>
  <c r="H59" i="13"/>
  <c r="H55" i="13"/>
  <c r="H50" i="13"/>
  <c r="H44" i="13"/>
  <c r="H40" i="13"/>
  <c r="H28" i="13"/>
  <c r="J19" i="16" l="1"/>
  <c r="G19" i="16"/>
  <c r="I18" i="16"/>
  <c r="I19" i="16" s="1"/>
  <c r="H18" i="16"/>
  <c r="H19" i="16" s="1"/>
  <c r="K18" i="16" l="1"/>
  <c r="K19" i="16" s="1"/>
  <c r="L18" i="16" l="1"/>
  <c r="L19" i="16" s="1"/>
  <c r="I133" i="4"/>
  <c r="I24" i="4" l="1"/>
  <c r="J20" i="4" l="1"/>
  <c r="I20" i="4"/>
  <c r="F20" i="4"/>
  <c r="J123" i="13" l="1"/>
  <c r="I123" i="13"/>
  <c r="M123" i="13" l="1"/>
  <c r="N123" i="13" s="1"/>
  <c r="J133" i="13"/>
  <c r="I133" i="13"/>
  <c r="J183" i="13"/>
  <c r="J184" i="13" s="1"/>
  <c r="I183" i="13"/>
  <c r="I184" i="13" s="1"/>
  <c r="M133" i="13" l="1"/>
  <c r="N133" i="13" s="1"/>
  <c r="M183" i="13"/>
  <c r="H225" i="13"/>
  <c r="K113" i="13"/>
  <c r="L113" i="13"/>
  <c r="H113" i="13"/>
  <c r="K50" i="16"/>
  <c r="H76" i="16"/>
  <c r="I76" i="16"/>
  <c r="J76" i="16"/>
  <c r="K54" i="16"/>
  <c r="L54" i="16" s="1"/>
  <c r="F263" i="4"/>
  <c r="N183" i="13" l="1"/>
  <c r="M184" i="13"/>
  <c r="L104" i="13"/>
  <c r="K104" i="13"/>
  <c r="J103" i="13"/>
  <c r="J104" i="13" s="1"/>
  <c r="I103" i="13"/>
  <c r="I111" i="13"/>
  <c r="J111" i="13"/>
  <c r="I176" i="13"/>
  <c r="J176" i="13"/>
  <c r="J49" i="13"/>
  <c r="I49" i="13"/>
  <c r="G247" i="4"/>
  <c r="H247" i="4"/>
  <c r="I363" i="4"/>
  <c r="J363" i="4"/>
  <c r="K247" i="4" l="1"/>
  <c r="L247" i="4" s="1"/>
  <c r="M103" i="13"/>
  <c r="M104" i="13" s="1"/>
  <c r="M49" i="13"/>
  <c r="N49" i="13" s="1"/>
  <c r="M111" i="13"/>
  <c r="N111" i="13" s="1"/>
  <c r="M176" i="13"/>
  <c r="I104" i="13"/>
  <c r="N176" i="13" l="1"/>
  <c r="N103" i="13"/>
  <c r="N104" i="13" s="1"/>
  <c r="J210" i="13"/>
  <c r="I210" i="13"/>
  <c r="J75" i="13"/>
  <c r="I75" i="13"/>
  <c r="J219" i="13"/>
  <c r="I219" i="13"/>
  <c r="J218" i="13"/>
  <c r="I218" i="13"/>
  <c r="I214" i="13"/>
  <c r="J201" i="13"/>
  <c r="I201" i="13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76" i="4"/>
  <c r="G366" i="4"/>
  <c r="H366" i="4"/>
  <c r="G367" i="4"/>
  <c r="H367" i="4"/>
  <c r="I175" i="13"/>
  <c r="J175" i="13"/>
  <c r="M127" i="13"/>
  <c r="M129" i="13" s="1"/>
  <c r="K118" i="13"/>
  <c r="L118" i="13"/>
  <c r="I116" i="13"/>
  <c r="J116" i="13"/>
  <c r="J112" i="13"/>
  <c r="J113" i="13" s="1"/>
  <c r="I112" i="13"/>
  <c r="I70" i="13"/>
  <c r="J70" i="13"/>
  <c r="L59" i="13"/>
  <c r="K59" i="13"/>
  <c r="J58" i="13"/>
  <c r="J59" i="13" s="1"/>
  <c r="I58" i="13"/>
  <c r="I59" i="13" s="1"/>
  <c r="K40" i="13"/>
  <c r="L40" i="13"/>
  <c r="I33" i="13"/>
  <c r="J33" i="13"/>
  <c r="J27" i="13"/>
  <c r="I27" i="13"/>
  <c r="J9" i="13"/>
  <c r="J12" i="13" s="1"/>
  <c r="J90" i="16"/>
  <c r="I90" i="16"/>
  <c r="H90" i="16"/>
  <c r="G90" i="16"/>
  <c r="K89" i="16"/>
  <c r="K90" i="16" s="1"/>
  <c r="L126" i="16"/>
  <c r="L128" i="16" s="1"/>
  <c r="K97" i="16"/>
  <c r="K98" i="16" s="1"/>
  <c r="K26" i="16"/>
  <c r="K27" i="16" s="1"/>
  <c r="J27" i="16"/>
  <c r="I27" i="16"/>
  <c r="H27" i="16"/>
  <c r="G27" i="16"/>
  <c r="J15" i="16"/>
  <c r="G15" i="16"/>
  <c r="I14" i="16"/>
  <c r="I15" i="16" s="1"/>
  <c r="H14" i="16"/>
  <c r="G11" i="16"/>
  <c r="K10" i="16"/>
  <c r="K11" i="16" s="1"/>
  <c r="J11" i="16"/>
  <c r="I11" i="16"/>
  <c r="I395" i="4"/>
  <c r="J395" i="4"/>
  <c r="I373" i="4"/>
  <c r="J373" i="4"/>
  <c r="I368" i="4"/>
  <c r="J368" i="4"/>
  <c r="I358" i="4"/>
  <c r="J358" i="4"/>
  <c r="I354" i="4"/>
  <c r="J354" i="4"/>
  <c r="I350" i="4"/>
  <c r="J350" i="4"/>
  <c r="I345" i="4"/>
  <c r="J345" i="4"/>
  <c r="I341" i="4"/>
  <c r="I283" i="4"/>
  <c r="J283" i="4"/>
  <c r="I278" i="4"/>
  <c r="J278" i="4"/>
  <c r="I274" i="4"/>
  <c r="J274" i="4"/>
  <c r="I268" i="4"/>
  <c r="J268" i="4"/>
  <c r="I263" i="4"/>
  <c r="J263" i="4"/>
  <c r="I258" i="4"/>
  <c r="J258" i="4"/>
  <c r="I254" i="4"/>
  <c r="J254" i="4"/>
  <c r="I249" i="4"/>
  <c r="J249" i="4"/>
  <c r="I242" i="4"/>
  <c r="J242" i="4"/>
  <c r="I238" i="4"/>
  <c r="J238" i="4"/>
  <c r="I234" i="4"/>
  <c r="J234" i="4"/>
  <c r="I230" i="4"/>
  <c r="J230" i="4"/>
  <c r="I225" i="4"/>
  <c r="J225" i="4"/>
  <c r="G220" i="4"/>
  <c r="H220" i="4"/>
  <c r="I220" i="4"/>
  <c r="J220" i="4"/>
  <c r="I216" i="4"/>
  <c r="J216" i="4"/>
  <c r="I212" i="4"/>
  <c r="J212" i="4"/>
  <c r="I203" i="4"/>
  <c r="J203" i="4"/>
  <c r="I178" i="4"/>
  <c r="J178" i="4"/>
  <c r="J155" i="4"/>
  <c r="I147" i="4"/>
  <c r="J147" i="4"/>
  <c r="J133" i="4"/>
  <c r="I127" i="4"/>
  <c r="J127" i="4"/>
  <c r="I107" i="4"/>
  <c r="J107" i="4"/>
  <c r="I103" i="4"/>
  <c r="J103" i="4"/>
  <c r="I99" i="4"/>
  <c r="J99" i="4"/>
  <c r="I95" i="4"/>
  <c r="J95" i="4"/>
  <c r="I76" i="4"/>
  <c r="J76" i="4"/>
  <c r="I72" i="4"/>
  <c r="J72" i="4"/>
  <c r="I63" i="4"/>
  <c r="J63" i="4"/>
  <c r="I49" i="4"/>
  <c r="J49" i="4"/>
  <c r="I30" i="4"/>
  <c r="J30" i="4"/>
  <c r="H24" i="4"/>
  <c r="J24" i="4"/>
  <c r="F368" i="4"/>
  <c r="F358" i="4"/>
  <c r="F354" i="4"/>
  <c r="F350" i="4"/>
  <c r="F345" i="4"/>
  <c r="F283" i="4"/>
  <c r="F278" i="4"/>
  <c r="F268" i="4"/>
  <c r="F254" i="4"/>
  <c r="F249" i="4"/>
  <c r="F242" i="4"/>
  <c r="F238" i="4"/>
  <c r="F234" i="4"/>
  <c r="F230" i="4"/>
  <c r="F225" i="4"/>
  <c r="F220" i="4"/>
  <c r="F216" i="4"/>
  <c r="F212" i="4"/>
  <c r="F203" i="4"/>
  <c r="F178" i="4"/>
  <c r="F155" i="4"/>
  <c r="F147" i="4"/>
  <c r="F133" i="4"/>
  <c r="F127" i="4"/>
  <c r="F107" i="4"/>
  <c r="F103" i="4"/>
  <c r="F99" i="4"/>
  <c r="F76" i="4"/>
  <c r="F72" i="4"/>
  <c r="F63" i="4"/>
  <c r="F4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289" i="4"/>
  <c r="G287" i="4"/>
  <c r="G285" i="4"/>
  <c r="H285" i="4"/>
  <c r="G286" i="4"/>
  <c r="H286" i="4"/>
  <c r="H287" i="4"/>
  <c r="G288" i="4"/>
  <c r="H288" i="4"/>
  <c r="H289" i="4"/>
  <c r="H118" i="4"/>
  <c r="H120" i="4" s="1"/>
  <c r="H114" i="4"/>
  <c r="G111" i="4"/>
  <c r="K290" i="4" l="1"/>
  <c r="H311" i="4"/>
  <c r="G311" i="4"/>
  <c r="M9" i="13"/>
  <c r="K299" i="4"/>
  <c r="I113" i="13"/>
  <c r="M112" i="13"/>
  <c r="M113" i="13" s="1"/>
  <c r="K309" i="4"/>
  <c r="K291" i="4"/>
  <c r="K366" i="4"/>
  <c r="L366" i="4" s="1"/>
  <c r="H395" i="4"/>
  <c r="M201" i="13"/>
  <c r="N201" i="13" s="1"/>
  <c r="N202" i="13" s="1"/>
  <c r="M33" i="13"/>
  <c r="K367" i="4"/>
  <c r="L367" i="4" s="1"/>
  <c r="M175" i="13"/>
  <c r="N175" i="13" s="1"/>
  <c r="N127" i="13"/>
  <c r="N129" i="13" s="1"/>
  <c r="M116" i="13"/>
  <c r="M70" i="13"/>
  <c r="N70" i="13" s="1"/>
  <c r="M58" i="13"/>
  <c r="M59" i="13" s="1"/>
  <c r="L89" i="16"/>
  <c r="L90" i="16" s="1"/>
  <c r="K14" i="16"/>
  <c r="K15" i="16" s="1"/>
  <c r="L26" i="16"/>
  <c r="L27" i="16" s="1"/>
  <c r="H15" i="16"/>
  <c r="L10" i="16"/>
  <c r="L11" i="16" s="1"/>
  <c r="H11" i="16"/>
  <c r="G8" i="4"/>
  <c r="G9" i="4"/>
  <c r="H9" i="4"/>
  <c r="H10" i="4"/>
  <c r="G10" i="4"/>
  <c r="K10" i="4" s="1"/>
  <c r="G11" i="4"/>
  <c r="H11" i="4"/>
  <c r="H13" i="4"/>
  <c r="G13" i="4"/>
  <c r="G14" i="4"/>
  <c r="H14" i="4"/>
  <c r="G12" i="4"/>
  <c r="N33" i="13" l="1"/>
  <c r="K13" i="4"/>
  <c r="K9" i="4"/>
  <c r="K11" i="4"/>
  <c r="K14" i="4"/>
  <c r="G16" i="4"/>
  <c r="N9" i="13"/>
  <c r="N12" i="13" s="1"/>
  <c r="M12" i="13"/>
  <c r="N116" i="13"/>
  <c r="N112" i="13"/>
  <c r="N113" i="13" s="1"/>
  <c r="N58" i="13"/>
  <c r="N59" i="13" s="1"/>
  <c r="L14" i="16"/>
  <c r="L15" i="16" s="1"/>
  <c r="M210" i="13" l="1"/>
  <c r="N210" i="13" s="1"/>
  <c r="N211" i="13" s="1"/>
  <c r="J154" i="13"/>
  <c r="I154" i="13"/>
  <c r="I97" i="13"/>
  <c r="M154" i="13" l="1"/>
  <c r="N154" i="13" s="1"/>
  <c r="M97" i="13"/>
  <c r="H119" i="16"/>
  <c r="H130" i="16" s="1"/>
  <c r="I119" i="16"/>
  <c r="I130" i="16" s="1"/>
  <c r="J119" i="16"/>
  <c r="J130" i="16" s="1"/>
  <c r="K117" i="16"/>
  <c r="L117" i="16" s="1"/>
  <c r="N97" i="13" l="1"/>
  <c r="K74" i="16"/>
  <c r="K118" i="16"/>
  <c r="K119" i="16" s="1"/>
  <c r="K130" i="16" s="1"/>
  <c r="J205" i="13"/>
  <c r="J207" i="13" s="1"/>
  <c r="J98" i="13"/>
  <c r="J100" i="13" s="1"/>
  <c r="H206" i="4"/>
  <c r="H207" i="4" s="1"/>
  <c r="K84" i="16"/>
  <c r="K86" i="16" s="1"/>
  <c r="J106" i="16"/>
  <c r="I106" i="16"/>
  <c r="H106" i="16"/>
  <c r="G106" i="16"/>
  <c r="K105" i="16"/>
  <c r="K106" i="16" s="1"/>
  <c r="J51" i="16"/>
  <c r="I51" i="16"/>
  <c r="H51" i="16"/>
  <c r="G51" i="16"/>
  <c r="K51" i="16"/>
  <c r="L74" i="16" l="1"/>
  <c r="K76" i="16"/>
  <c r="L84" i="16"/>
  <c r="L86" i="16" s="1"/>
  <c r="L75" i="16"/>
  <c r="L105" i="16"/>
  <c r="L106" i="16" s="1"/>
  <c r="L50" i="16"/>
  <c r="L51" i="16" s="1"/>
  <c r="L76" i="16" l="1"/>
  <c r="F258" i="4"/>
  <c r="G372" i="4"/>
  <c r="H372" i="4"/>
  <c r="K287" i="4"/>
  <c r="L287" i="4" s="1"/>
  <c r="G337" i="4"/>
  <c r="H337" i="4"/>
  <c r="K147" i="13"/>
  <c r="L147" i="13"/>
  <c r="K65" i="13"/>
  <c r="L65" i="13"/>
  <c r="J117" i="13"/>
  <c r="J118" i="13" s="1"/>
  <c r="I117" i="13"/>
  <c r="H344" i="4"/>
  <c r="H345" i="4" s="1"/>
  <c r="G344" i="4"/>
  <c r="G345" i="4" s="1"/>
  <c r="H196" i="4"/>
  <c r="G196" i="4"/>
  <c r="K138" i="13"/>
  <c r="L138" i="13"/>
  <c r="L151" i="13"/>
  <c r="K151" i="13"/>
  <c r="J151" i="13"/>
  <c r="I150" i="13"/>
  <c r="I151" i="13" s="1"/>
  <c r="I118" i="13" l="1"/>
  <c r="M117" i="13"/>
  <c r="M118" i="13" s="1"/>
  <c r="K337" i="4"/>
  <c r="L337" i="4" s="1"/>
  <c r="K307" i="4"/>
  <c r="L307" i="4" s="1"/>
  <c r="K372" i="4"/>
  <c r="L372" i="4" s="1"/>
  <c r="L309" i="4"/>
  <c r="K308" i="4"/>
  <c r="L308" i="4" s="1"/>
  <c r="K344" i="4"/>
  <c r="K345" i="4" s="1"/>
  <c r="K196" i="4"/>
  <c r="L196" i="4" s="1"/>
  <c r="M150" i="13"/>
  <c r="N150" i="13" s="1"/>
  <c r="N151" i="13" s="1"/>
  <c r="L344" i="4" l="1"/>
  <c r="L345" i="4" s="1"/>
  <c r="N117" i="13"/>
  <c r="N118" i="13" s="1"/>
  <c r="M151" i="13"/>
  <c r="J39" i="16" l="1"/>
  <c r="I39" i="16"/>
  <c r="H39" i="16"/>
  <c r="G39" i="16"/>
  <c r="K38" i="16"/>
  <c r="L38" i="16" s="1"/>
  <c r="L39" i="16" s="1"/>
  <c r="K50" i="13"/>
  <c r="L50" i="13"/>
  <c r="J54" i="13"/>
  <c r="J55" i="13" s="1"/>
  <c r="L55" i="13"/>
  <c r="K55" i="13"/>
  <c r="I54" i="13"/>
  <c r="G154" i="4"/>
  <c r="B14" i="16" l="1"/>
  <c r="L159" i="4"/>
  <c r="K39" i="16"/>
  <c r="M54" i="13"/>
  <c r="N54" i="13" s="1"/>
  <c r="N55" i="13" s="1"/>
  <c r="I55" i="13"/>
  <c r="B18" i="16" l="1"/>
  <c r="B22" i="16" s="1"/>
  <c r="B26" i="16" s="1"/>
  <c r="B30" i="16" s="1"/>
  <c r="M55" i="13"/>
  <c r="I187" i="13" l="1"/>
  <c r="I174" i="13"/>
  <c r="J174" i="13"/>
  <c r="K85" i="13"/>
  <c r="L85" i="13"/>
  <c r="K80" i="13"/>
  <c r="L80" i="13"/>
  <c r="K180" i="13"/>
  <c r="L180" i="13"/>
  <c r="K190" i="13"/>
  <c r="L190" i="13"/>
  <c r="K219" i="4"/>
  <c r="K220" i="4" s="1"/>
  <c r="G69" i="4"/>
  <c r="H69" i="4"/>
  <c r="A23" i="4"/>
  <c r="H11" i="14"/>
  <c r="G11" i="14"/>
  <c r="H10" i="14"/>
  <c r="G10" i="14"/>
  <c r="K10" i="14" s="1"/>
  <c r="H8" i="14"/>
  <c r="G8" i="14"/>
  <c r="J187" i="13"/>
  <c r="J79" i="13"/>
  <c r="J80" i="13" s="1"/>
  <c r="I79" i="13"/>
  <c r="I80" i="13" s="1"/>
  <c r="I84" i="13"/>
  <c r="J84" i="13"/>
  <c r="I83" i="13"/>
  <c r="H277" i="4"/>
  <c r="G277" i="4"/>
  <c r="G318" i="4"/>
  <c r="H318" i="4"/>
  <c r="K8" i="14" l="1"/>
  <c r="K11" i="14"/>
  <c r="L219" i="4"/>
  <c r="L220" i="4" s="1"/>
  <c r="M187" i="13"/>
  <c r="N187" i="13" s="1"/>
  <c r="K285" i="4"/>
  <c r="K69" i="4"/>
  <c r="K277" i="4"/>
  <c r="L277" i="4" s="1"/>
  <c r="I85" i="13"/>
  <c r="M174" i="13"/>
  <c r="M79" i="13"/>
  <c r="L8" i="14"/>
  <c r="L11" i="14"/>
  <c r="L10" i="14"/>
  <c r="M84" i="13"/>
  <c r="N84" i="13" s="1"/>
  <c r="K318" i="4"/>
  <c r="L318" i="4" s="1"/>
  <c r="L14" i="14" l="1"/>
  <c r="K14" i="14"/>
  <c r="A27" i="4"/>
  <c r="A28" i="4" s="1"/>
  <c r="A29" i="4" s="1"/>
  <c r="A33" i="4" s="1"/>
  <c r="A34" i="4" s="1"/>
  <c r="A35" i="4" s="1"/>
  <c r="L285" i="4"/>
  <c r="N174" i="13"/>
  <c r="N79" i="13"/>
  <c r="N80" i="13" s="1"/>
  <c r="M80" i="13"/>
  <c r="L11" i="4"/>
  <c r="A36" i="4" l="1"/>
  <c r="A39" i="4" s="1"/>
  <c r="A40" i="4" s="1"/>
  <c r="A41" i="4" s="1"/>
  <c r="A42" i="4" s="1"/>
  <c r="A43" i="4" s="1"/>
  <c r="M202" i="13"/>
  <c r="L202" i="13"/>
  <c r="K202" i="13"/>
  <c r="J202" i="13"/>
  <c r="I202" i="13"/>
  <c r="J189" i="13"/>
  <c r="I189" i="13"/>
  <c r="I179" i="13"/>
  <c r="I178" i="13"/>
  <c r="J178" i="13"/>
  <c r="J179" i="13"/>
  <c r="I177" i="13"/>
  <c r="J177" i="13"/>
  <c r="J169" i="13"/>
  <c r="J171" i="13" s="1"/>
  <c r="I169" i="13"/>
  <c r="I165" i="13"/>
  <c r="K162" i="13"/>
  <c r="L162" i="13"/>
  <c r="J160" i="13"/>
  <c r="I160" i="13"/>
  <c r="I48" i="13"/>
  <c r="J48" i="13"/>
  <c r="J39" i="13"/>
  <c r="I39" i="13"/>
  <c r="J28" i="13"/>
  <c r="I32" i="13"/>
  <c r="J32" i="13"/>
  <c r="L28" i="13"/>
  <c r="K28" i="13"/>
  <c r="H323" i="4"/>
  <c r="H324" i="4"/>
  <c r="H325" i="4"/>
  <c r="H326" i="4"/>
  <c r="H327" i="4"/>
  <c r="H328" i="4"/>
  <c r="H329" i="4"/>
  <c r="H334" i="4"/>
  <c r="H330" i="4"/>
  <c r="H333" i="4"/>
  <c r="H336" i="4"/>
  <c r="H331" i="4"/>
  <c r="H332" i="4"/>
  <c r="H335" i="4"/>
  <c r="H338" i="4"/>
  <c r="G323" i="4"/>
  <c r="G324" i="4"/>
  <c r="G325" i="4"/>
  <c r="G326" i="4"/>
  <c r="G327" i="4"/>
  <c r="G328" i="4"/>
  <c r="G329" i="4"/>
  <c r="G334" i="4"/>
  <c r="G330" i="4"/>
  <c r="G333" i="4"/>
  <c r="G336" i="4"/>
  <c r="G331" i="4"/>
  <c r="G332" i="4"/>
  <c r="G335" i="4"/>
  <c r="G338" i="4"/>
  <c r="G322" i="4"/>
  <c r="H322" i="4"/>
  <c r="H316" i="4"/>
  <c r="G316" i="4"/>
  <c r="G317" i="4"/>
  <c r="H317" i="4"/>
  <c r="K229" i="4"/>
  <c r="H163" i="4"/>
  <c r="G74" i="4"/>
  <c r="H74" i="4"/>
  <c r="H66" i="4"/>
  <c r="G66" i="4"/>
  <c r="K47" i="4"/>
  <c r="H20" i="4"/>
  <c r="B34" i="16"/>
  <c r="B38" i="16" s="1"/>
  <c r="B42" i="16" s="1"/>
  <c r="K999979" i="16"/>
  <c r="C16654" i="16"/>
  <c r="C16656" i="16" s="1"/>
  <c r="J110" i="16"/>
  <c r="G110" i="16"/>
  <c r="J102" i="16"/>
  <c r="G102" i="16"/>
  <c r="K101" i="16"/>
  <c r="L101" i="16" s="1"/>
  <c r="I102" i="16"/>
  <c r="J98" i="16"/>
  <c r="G98" i="16"/>
  <c r="L97" i="16"/>
  <c r="I98" i="16"/>
  <c r="J55" i="16"/>
  <c r="G55" i="16"/>
  <c r="J47" i="16"/>
  <c r="G47" i="16"/>
  <c r="I47" i="16"/>
  <c r="H47" i="16"/>
  <c r="K46" i="16"/>
  <c r="L46" i="16" s="1"/>
  <c r="J43" i="16"/>
  <c r="G43" i="16"/>
  <c r="K42" i="16"/>
  <c r="L42" i="16" s="1"/>
  <c r="J35" i="16"/>
  <c r="G35" i="16"/>
  <c r="I35" i="16"/>
  <c r="K34" i="16"/>
  <c r="J31" i="16"/>
  <c r="G31" i="16"/>
  <c r="K30" i="16"/>
  <c r="L30" i="16" s="1"/>
  <c r="J23" i="16"/>
  <c r="G23" i="16"/>
  <c r="I23" i="16"/>
  <c r="H23" i="16"/>
  <c r="K22" i="16"/>
  <c r="L22" i="16" s="1"/>
  <c r="K335" i="4" l="1"/>
  <c r="L335" i="4" s="1"/>
  <c r="K332" i="4"/>
  <c r="L332" i="4" s="1"/>
  <c r="K333" i="4"/>
  <c r="L333" i="4" s="1"/>
  <c r="K334" i="4"/>
  <c r="L334" i="4" s="1"/>
  <c r="K338" i="4"/>
  <c r="L338" i="4" s="1"/>
  <c r="K329" i="4"/>
  <c r="L329" i="4" s="1"/>
  <c r="K323" i="4"/>
  <c r="L323" i="4" s="1"/>
  <c r="K331" i="4"/>
  <c r="L331" i="4" s="1"/>
  <c r="K325" i="4"/>
  <c r="L325" i="4" s="1"/>
  <c r="K327" i="4"/>
  <c r="L327" i="4" s="1"/>
  <c r="K326" i="4"/>
  <c r="L326" i="4" s="1"/>
  <c r="K328" i="4"/>
  <c r="L328" i="4" s="1"/>
  <c r="H341" i="4"/>
  <c r="G341" i="4"/>
  <c r="M169" i="13"/>
  <c r="M171" i="13" s="1"/>
  <c r="I171" i="13"/>
  <c r="K324" i="4"/>
  <c r="L324" i="4" s="1"/>
  <c r="K336" i="4"/>
  <c r="L336" i="4" s="1"/>
  <c r="K330" i="4"/>
  <c r="L330" i="4" s="1"/>
  <c r="K322" i="4"/>
  <c r="I180" i="13"/>
  <c r="M189" i="13"/>
  <c r="N189" i="13" s="1"/>
  <c r="J180" i="13"/>
  <c r="K317" i="4"/>
  <c r="L317" i="4" s="1"/>
  <c r="K316" i="4"/>
  <c r="L316" i="4" s="1"/>
  <c r="M179" i="13"/>
  <c r="M160" i="13"/>
  <c r="N160" i="13" s="1"/>
  <c r="M48" i="13"/>
  <c r="N48" i="13" s="1"/>
  <c r="M32" i="13"/>
  <c r="M39" i="13"/>
  <c r="N39" i="13" s="1"/>
  <c r="M27" i="13"/>
  <c r="N27" i="13" s="1"/>
  <c r="N28" i="13" s="1"/>
  <c r="I28" i="13"/>
  <c r="L102" i="16"/>
  <c r="I43" i="16"/>
  <c r="I110" i="16"/>
  <c r="H102" i="16"/>
  <c r="H43" i="16"/>
  <c r="I55" i="16"/>
  <c r="I31" i="16"/>
  <c r="H35" i="16"/>
  <c r="H55" i="16"/>
  <c r="H98" i="16"/>
  <c r="L34" i="16"/>
  <c r="H31" i="16"/>
  <c r="H110" i="16"/>
  <c r="L118" i="16"/>
  <c r="L119" i="16" s="1"/>
  <c r="L130" i="16" s="1"/>
  <c r="K341" i="4" l="1"/>
  <c r="N179" i="13"/>
  <c r="N32" i="13"/>
  <c r="L322" i="4"/>
  <c r="L341" i="4" s="1"/>
  <c r="M28" i="13"/>
  <c r="L35" i="16"/>
  <c r="K102" i="16"/>
  <c r="K47" i="16"/>
  <c r="K23" i="16"/>
  <c r="K35" i="16"/>
  <c r="L98" i="16"/>
  <c r="L23" i="16"/>
  <c r="K43" i="16"/>
  <c r="L43" i="16"/>
  <c r="L47" i="16"/>
  <c r="K55" i="16"/>
  <c r="L31" i="16"/>
  <c r="K31" i="16"/>
  <c r="L55" i="16"/>
  <c r="K66" i="4" l="1"/>
  <c r="G85" i="4"/>
  <c r="H85" i="4"/>
  <c r="G365" i="4"/>
  <c r="H365" i="4"/>
  <c r="H368" i="4" s="1"/>
  <c r="G257" i="4"/>
  <c r="G258" i="4" s="1"/>
  <c r="H257" i="4"/>
  <c r="J107" i="13"/>
  <c r="I107" i="13"/>
  <c r="K132" i="4"/>
  <c r="M107" i="13" l="1"/>
  <c r="K365" i="4"/>
  <c r="G368" i="4"/>
  <c r="K85" i="4"/>
  <c r="K257" i="4"/>
  <c r="K108" i="13"/>
  <c r="L108" i="13"/>
  <c r="J69" i="13"/>
  <c r="J71" i="13" s="1"/>
  <c r="I69" i="13"/>
  <c r="I71" i="13" s="1"/>
  <c r="J214" i="13"/>
  <c r="J215" i="13" s="1"/>
  <c r="L215" i="13"/>
  <c r="K215" i="13"/>
  <c r="L211" i="13"/>
  <c r="K211" i="13"/>
  <c r="J211" i="13"/>
  <c r="I211" i="13"/>
  <c r="I155" i="13"/>
  <c r="I157" i="13" s="1"/>
  <c r="J155" i="13"/>
  <c r="J157" i="13" s="1"/>
  <c r="H258" i="4"/>
  <c r="H273" i="4"/>
  <c r="G273" i="4"/>
  <c r="H272" i="4"/>
  <c r="G272" i="4"/>
  <c r="H271" i="4"/>
  <c r="G271" i="4"/>
  <c r="G253" i="4"/>
  <c r="H253" i="4"/>
  <c r="K225" i="13"/>
  <c r="K229" i="13" s="1"/>
  <c r="L225" i="13"/>
  <c r="L229" i="13" s="1"/>
  <c r="I220" i="13"/>
  <c r="J220" i="13"/>
  <c r="K220" i="13"/>
  <c r="L220" i="13"/>
  <c r="K166" i="13"/>
  <c r="L166" i="13"/>
  <c r="K93" i="13"/>
  <c r="L93" i="13"/>
  <c r="K44" i="13"/>
  <c r="L44" i="13"/>
  <c r="J166" i="13"/>
  <c r="J144" i="13"/>
  <c r="I144" i="13"/>
  <c r="L85" i="4" l="1"/>
  <c r="G274" i="4"/>
  <c r="H274" i="4"/>
  <c r="L257" i="4"/>
  <c r="L365" i="4"/>
  <c r="M69" i="13"/>
  <c r="M214" i="13"/>
  <c r="N214" i="13" s="1"/>
  <c r="N215" i="13" s="1"/>
  <c r="I215" i="13"/>
  <c r="M155" i="13"/>
  <c r="M157" i="13" s="1"/>
  <c r="N107" i="13"/>
  <c r="K302" i="4"/>
  <c r="L302" i="4" s="1"/>
  <c r="K271" i="4"/>
  <c r="K273" i="4"/>
  <c r="L273" i="4" s="1"/>
  <c r="K272" i="4"/>
  <c r="L272" i="4" s="1"/>
  <c r="K253" i="4"/>
  <c r="L253" i="4" s="1"/>
  <c r="M219" i="13"/>
  <c r="N219" i="13" s="1"/>
  <c r="J15" i="13"/>
  <c r="J18" i="13" s="1"/>
  <c r="I15" i="13"/>
  <c r="I18" i="13" s="1"/>
  <c r="I205" i="13"/>
  <c r="I207" i="13" s="1"/>
  <c r="M178" i="13"/>
  <c r="N178" i="13" s="1"/>
  <c r="J188" i="13"/>
  <c r="J190" i="13" s="1"/>
  <c r="I188" i="13"/>
  <c r="I190" i="13" s="1"/>
  <c r="N69" i="13" l="1"/>
  <c r="N71" i="13" s="1"/>
  <c r="M71" i="13"/>
  <c r="L258" i="4"/>
  <c r="K258" i="4"/>
  <c r="L271" i="4"/>
  <c r="K274" i="4"/>
  <c r="M75" i="13"/>
  <c r="N75" i="13" s="1"/>
  <c r="N155" i="13"/>
  <c r="N157" i="13" s="1"/>
  <c r="M215" i="13"/>
  <c r="M211" i="13"/>
  <c r="M15" i="13"/>
  <c r="M18" i="13" s="1"/>
  <c r="M205" i="13"/>
  <c r="M188" i="13"/>
  <c r="M190" i="13" s="1"/>
  <c r="M207" i="13" l="1"/>
  <c r="N15" i="13"/>
  <c r="N18" i="13" s="1"/>
  <c r="L274" i="4"/>
  <c r="N188" i="13"/>
  <c r="N190" i="13" s="1"/>
  <c r="N205" i="13"/>
  <c r="N207" i="13" s="1"/>
  <c r="J161" i="13" l="1"/>
  <c r="J162" i="13" s="1"/>
  <c r="I161" i="13"/>
  <c r="I162" i="13" s="1"/>
  <c r="J141" i="13"/>
  <c r="I141" i="13"/>
  <c r="I92" i="13"/>
  <c r="J92" i="13"/>
  <c r="J83" i="13"/>
  <c r="J85" i="13" s="1"/>
  <c r="J47" i="13"/>
  <c r="I47" i="13"/>
  <c r="I22" i="13"/>
  <c r="I24" i="13" s="1"/>
  <c r="J22" i="13"/>
  <c r="J24" i="13" s="1"/>
  <c r="J50" i="13" l="1"/>
  <c r="I50" i="13"/>
  <c r="M161" i="13"/>
  <c r="M162" i="13" s="1"/>
  <c r="M141" i="13"/>
  <c r="M144" i="13"/>
  <c r="M92" i="13"/>
  <c r="N92" i="13" s="1"/>
  <c r="M83" i="13"/>
  <c r="M85" i="13" s="1"/>
  <c r="M47" i="13"/>
  <c r="M22" i="13"/>
  <c r="N22" i="13" l="1"/>
  <c r="M50" i="13"/>
  <c r="N161" i="13"/>
  <c r="N162" i="13" s="1"/>
  <c r="N141" i="13"/>
  <c r="N47" i="13"/>
  <c r="N144" i="13"/>
  <c r="N83" i="13"/>
  <c r="N85" i="13" s="1"/>
  <c r="N50" i="13" l="1"/>
  <c r="H9" i="14"/>
  <c r="G391" i="4"/>
  <c r="G394" i="4"/>
  <c r="G393" i="4"/>
  <c r="G392" i="4"/>
  <c r="G388" i="4"/>
  <c r="G387" i="4"/>
  <c r="G382" i="4"/>
  <c r="G390" i="4"/>
  <c r="G386" i="4"/>
  <c r="G385" i="4"/>
  <c r="G384" i="4"/>
  <c r="G381" i="4"/>
  <c r="G389" i="4"/>
  <c r="K389" i="4" s="1"/>
  <c r="G383" i="4"/>
  <c r="G380" i="4"/>
  <c r="G379" i="4"/>
  <c r="G378" i="4"/>
  <c r="G211" i="4"/>
  <c r="G377" i="4"/>
  <c r="G376" i="4"/>
  <c r="G361" i="4"/>
  <c r="K286" i="4"/>
  <c r="G395" i="4" l="1"/>
  <c r="L286" i="4"/>
  <c r="K304" i="4"/>
  <c r="L304" i="4" s="1"/>
  <c r="K306" i="4"/>
  <c r="L306" i="4" s="1"/>
  <c r="K301" i="4"/>
  <c r="L301" i="4" s="1"/>
  <c r="K305" i="4"/>
  <c r="L305" i="4" s="1"/>
  <c r="G228" i="4" l="1"/>
  <c r="K101" i="4"/>
  <c r="L13" i="4"/>
  <c r="H371" i="4"/>
  <c r="H373" i="4" s="1"/>
  <c r="G371" i="4"/>
  <c r="G373" i="4" s="1"/>
  <c r="H357" i="4"/>
  <c r="H358" i="4" s="1"/>
  <c r="G357" i="4"/>
  <c r="G358" i="4" s="1"/>
  <c r="H353" i="4"/>
  <c r="H354" i="4" s="1"/>
  <c r="G353" i="4"/>
  <c r="G354" i="4" s="1"/>
  <c r="H315" i="4"/>
  <c r="G315" i="4"/>
  <c r="H314" i="4"/>
  <c r="G314" i="4"/>
  <c r="H237" i="4"/>
  <c r="G237" i="4"/>
  <c r="H233" i="4"/>
  <c r="H234" i="4" s="1"/>
  <c r="G233" i="4"/>
  <c r="G234" i="4" s="1"/>
  <c r="G320" i="4" l="1"/>
  <c r="H320" i="4"/>
  <c r="G230" i="4"/>
  <c r="L14" i="4"/>
  <c r="K233" i="4"/>
  <c r="K237" i="4"/>
  <c r="L229" i="4"/>
  <c r="K371" i="4"/>
  <c r="K373" i="4" s="1"/>
  <c r="K357" i="4"/>
  <c r="K358" i="4" s="1"/>
  <c r="K353" i="4"/>
  <c r="K354" i="4" s="1"/>
  <c r="K314" i="4"/>
  <c r="K315" i="4"/>
  <c r="K320" i="4" l="1"/>
  <c r="L233" i="4"/>
  <c r="L234" i="4" s="1"/>
  <c r="K234" i="4"/>
  <c r="L353" i="4"/>
  <c r="L354" i="4" s="1"/>
  <c r="L315" i="4"/>
  <c r="L357" i="4"/>
  <c r="L358" i="4" s="1"/>
  <c r="L237" i="4"/>
  <c r="L314" i="4"/>
  <c r="L371" i="4"/>
  <c r="L373" i="4" s="1"/>
  <c r="L320" i="4" l="1"/>
  <c r="H33" i="4"/>
  <c r="H102" i="4"/>
  <c r="H103" i="4" s="1"/>
  <c r="G102" i="4"/>
  <c r="G103" i="4" s="1"/>
  <c r="H138" i="4"/>
  <c r="G138" i="4"/>
  <c r="K102" i="4" l="1"/>
  <c r="K103" i="4" s="1"/>
  <c r="K138" i="4"/>
  <c r="L138" i="4" s="1"/>
  <c r="L102" i="4" l="1"/>
  <c r="K198" i="13"/>
  <c r="L198" i="13"/>
  <c r="J91" i="13"/>
  <c r="J93" i="13" s="1"/>
  <c r="I91" i="13"/>
  <c r="I93" i="13" s="1"/>
  <c r="I64" i="13"/>
  <c r="J64" i="13"/>
  <c r="L47" i="4"/>
  <c r="M91" i="13" l="1"/>
  <c r="M93" i="13" s="1"/>
  <c r="M64" i="13"/>
  <c r="N64" i="13" s="1"/>
  <c r="N91" i="13" l="1"/>
  <c r="N93" i="13" s="1"/>
  <c r="K391" i="4" l="1"/>
  <c r="L391" i="4" s="1"/>
  <c r="L132" i="4" l="1"/>
  <c r="G153" i="4" l="1"/>
  <c r="H153" i="4"/>
  <c r="G197" i="4"/>
  <c r="H197" i="4"/>
  <c r="G188" i="4"/>
  <c r="H188" i="4"/>
  <c r="K298" i="4" l="1"/>
  <c r="L298" i="4" s="1"/>
  <c r="K188" i="4"/>
  <c r="K197" i="4"/>
  <c r="L197" i="4" s="1"/>
  <c r="K153" i="4"/>
  <c r="L153" i="4" s="1"/>
  <c r="G126" i="4"/>
  <c r="H126" i="4"/>
  <c r="G146" i="4"/>
  <c r="H146" i="4"/>
  <c r="L188" i="4" l="1"/>
  <c r="K146" i="4"/>
  <c r="L146" i="4" s="1"/>
  <c r="K126" i="4"/>
  <c r="G131" i="4"/>
  <c r="G48" i="4"/>
  <c r="G49" i="4" s="1"/>
  <c r="L126" i="4" l="1"/>
  <c r="I166" i="13"/>
  <c r="I143" i="13"/>
  <c r="J143" i="13"/>
  <c r="M165" i="13" l="1"/>
  <c r="N165" i="13" l="1"/>
  <c r="N166" i="13" s="1"/>
  <c r="M166" i="13"/>
  <c r="H165" i="4"/>
  <c r="H166" i="4" l="1"/>
  <c r="G130" i="4" l="1"/>
  <c r="H130" i="4"/>
  <c r="G124" i="4"/>
  <c r="H124" i="4"/>
  <c r="K124" i="4" l="1"/>
  <c r="L124" i="4" s="1"/>
  <c r="K130" i="4"/>
  <c r="L130" i="4" s="1"/>
  <c r="M218" i="13" l="1"/>
  <c r="N184" i="13"/>
  <c r="J145" i="13"/>
  <c r="I145" i="13"/>
  <c r="J146" i="13"/>
  <c r="I146" i="13"/>
  <c r="H111" i="4"/>
  <c r="G106" i="4"/>
  <c r="G107" i="4" s="1"/>
  <c r="H106" i="4"/>
  <c r="H107" i="4" s="1"/>
  <c r="H110" i="4"/>
  <c r="G110" i="4"/>
  <c r="G113" i="4"/>
  <c r="H137" i="4"/>
  <c r="G166" i="4"/>
  <c r="K166" i="4" s="1"/>
  <c r="G137" i="4"/>
  <c r="G68" i="4"/>
  <c r="H68" i="4"/>
  <c r="G167" i="4"/>
  <c r="G163" i="4"/>
  <c r="G34" i="4"/>
  <c r="H34" i="4"/>
  <c r="G33" i="4"/>
  <c r="H54" i="4"/>
  <c r="G54" i="4"/>
  <c r="G202" i="4"/>
  <c r="G203" i="4" s="1"/>
  <c r="H202" i="4"/>
  <c r="H203" i="4" s="1"/>
  <c r="H48" i="4"/>
  <c r="H49" i="4" s="1"/>
  <c r="H167" i="4"/>
  <c r="G28" i="4"/>
  <c r="H28" i="4"/>
  <c r="G40" i="4"/>
  <c r="K40" i="4" s="1"/>
  <c r="H40" i="4"/>
  <c r="G43" i="4"/>
  <c r="H43" i="4"/>
  <c r="G94" i="4"/>
  <c r="H94" i="4"/>
  <c r="M220" i="13" l="1"/>
  <c r="N218" i="13"/>
  <c r="N220" i="13" s="1"/>
  <c r="K94" i="4"/>
  <c r="K28" i="4"/>
  <c r="K43" i="4"/>
  <c r="L43" i="4" s="1"/>
  <c r="L9" i="4"/>
  <c r="K8" i="4"/>
  <c r="K167" i="4"/>
  <c r="M177" i="13"/>
  <c r="M180" i="13" s="1"/>
  <c r="M146" i="13"/>
  <c r="N146" i="13" s="1"/>
  <c r="M145" i="13"/>
  <c r="N145" i="13" s="1"/>
  <c r="K111" i="4"/>
  <c r="L111" i="4" s="1"/>
  <c r="K110" i="4"/>
  <c r="L10" i="4" l="1"/>
  <c r="L8" i="4"/>
  <c r="N177" i="13"/>
  <c r="N180" i="13" s="1"/>
  <c r="L110" i="4"/>
  <c r="K202" i="4" l="1"/>
  <c r="K203" i="4" s="1"/>
  <c r="J63" i="13"/>
  <c r="I63" i="13"/>
  <c r="I65" i="13" l="1"/>
  <c r="L202" i="4"/>
  <c r="L203" i="4" s="1"/>
  <c r="K180" i="4"/>
  <c r="M63" i="13"/>
  <c r="L180" i="4" l="1"/>
  <c r="N63" i="13"/>
  <c r="N65" i="13" s="1"/>
  <c r="N169" i="13" l="1"/>
  <c r="N171" i="13" s="1"/>
  <c r="K106" i="4" l="1"/>
  <c r="K107" i="4" s="1"/>
  <c r="L106" i="4" l="1"/>
  <c r="L107" i="4" s="1"/>
  <c r="K68" i="4"/>
  <c r="L68" i="4" s="1"/>
  <c r="L69" i="4"/>
  <c r="K34" i="4"/>
  <c r="L34" i="4" s="1"/>
  <c r="K163" i="4"/>
  <c r="K33" i="4"/>
  <c r="L163" i="4" l="1"/>
  <c r="L33" i="4"/>
  <c r="A23" i="13"/>
  <c r="A27" i="13" s="1"/>
  <c r="I34" i="13"/>
  <c r="I35" i="13" s="1"/>
  <c r="J34" i="13"/>
  <c r="J35" i="13" s="1"/>
  <c r="I137" i="13"/>
  <c r="I138" i="13" s="1"/>
  <c r="J137" i="13"/>
  <c r="J138" i="13" s="1"/>
  <c r="M137" i="13" l="1"/>
  <c r="M138" i="13" s="1"/>
  <c r="M34" i="13"/>
  <c r="N34" i="13" l="1"/>
  <c r="N35" i="13" s="1"/>
  <c r="M35" i="13"/>
  <c r="N137" i="13"/>
  <c r="N138" i="13" s="1"/>
  <c r="J65" i="13"/>
  <c r="J224" i="13"/>
  <c r="J225" i="13" s="1"/>
  <c r="I224" i="13"/>
  <c r="I225" i="13" s="1"/>
  <c r="M21" i="13" l="1"/>
  <c r="M224" i="13"/>
  <c r="M225" i="13" s="1"/>
  <c r="M229" i="13" s="1"/>
  <c r="M65" i="13"/>
  <c r="N21" i="13" l="1"/>
  <c r="N24" i="13" s="1"/>
  <c r="M24" i="13"/>
  <c r="N224" i="13"/>
  <c r="N225" i="13" s="1"/>
  <c r="N229" i="13" s="1"/>
  <c r="H62" i="4"/>
  <c r="H193" i="4"/>
  <c r="H194" i="4"/>
  <c r="H195" i="4"/>
  <c r="G62" i="4"/>
  <c r="G193" i="4"/>
  <c r="G194" i="4"/>
  <c r="G195" i="4"/>
  <c r="H199" i="4" l="1"/>
  <c r="G199" i="4"/>
  <c r="K62" i="4"/>
  <c r="K195" i="4"/>
  <c r="L195" i="4" s="1"/>
  <c r="K194" i="4"/>
  <c r="L194" i="4" s="1"/>
  <c r="K193" i="4"/>
  <c r="L193" i="4" s="1"/>
  <c r="H177" i="4"/>
  <c r="H178" i="4" s="1"/>
  <c r="G177" i="4"/>
  <c r="G178" i="4" s="1"/>
  <c r="K199" i="4" l="1"/>
  <c r="L199" i="4"/>
  <c r="L62" i="4"/>
  <c r="L94" i="4"/>
  <c r="K177" i="4"/>
  <c r="K178" i="4" s="1"/>
  <c r="L177" i="4" l="1"/>
  <c r="L178" i="4" s="1"/>
  <c r="J197" i="13" l="1"/>
  <c r="I197" i="13"/>
  <c r="J132" i="13"/>
  <c r="J134" i="13" s="1"/>
  <c r="I132" i="13"/>
  <c r="I134" i="13" s="1"/>
  <c r="J142" i="13"/>
  <c r="J147" i="13" s="1"/>
  <c r="I142" i="13"/>
  <c r="I147" i="13" s="1"/>
  <c r="J122" i="13"/>
  <c r="J124" i="13" s="1"/>
  <c r="I122" i="13"/>
  <c r="I121" i="13"/>
  <c r="J43" i="13"/>
  <c r="I43" i="13"/>
  <c r="J38" i="13"/>
  <c r="J40" i="13" s="1"/>
  <c r="I38" i="13"/>
  <c r="I40" i="13" s="1"/>
  <c r="H361" i="4"/>
  <c r="H349" i="4"/>
  <c r="G349" i="4"/>
  <c r="H348" i="4"/>
  <c r="G348" i="4"/>
  <c r="I44" i="13" l="1"/>
  <c r="J44" i="13"/>
  <c r="I124" i="13"/>
  <c r="G350" i="4"/>
  <c r="H350" i="4"/>
  <c r="M121" i="13"/>
  <c r="K383" i="4"/>
  <c r="L383" i="4" s="1"/>
  <c r="M197" i="13"/>
  <c r="I198" i="13"/>
  <c r="J198" i="13"/>
  <c r="K379" i="4"/>
  <c r="L379" i="4" s="1"/>
  <c r="K361" i="4"/>
  <c r="K348" i="4"/>
  <c r="K349" i="4"/>
  <c r="L349" i="4" s="1"/>
  <c r="K377" i="4"/>
  <c r="L377" i="4" s="1"/>
  <c r="K385" i="4"/>
  <c r="L385" i="4" s="1"/>
  <c r="K386" i="4"/>
  <c r="K393" i="4"/>
  <c r="L393" i="4" s="1"/>
  <c r="K376" i="4"/>
  <c r="L376" i="4" s="1"/>
  <c r="K384" i="4"/>
  <c r="K382" i="4"/>
  <c r="L382" i="4" s="1"/>
  <c r="K390" i="4"/>
  <c r="L390" i="4" s="1"/>
  <c r="K392" i="4"/>
  <c r="L392" i="4" s="1"/>
  <c r="K394" i="4"/>
  <c r="L394" i="4" s="1"/>
  <c r="K387" i="4"/>
  <c r="L387" i="4" s="1"/>
  <c r="M38" i="13"/>
  <c r="M40" i="13" s="1"/>
  <c r="M43" i="13"/>
  <c r="M132" i="13"/>
  <c r="M134" i="13" s="1"/>
  <c r="M142" i="13"/>
  <c r="N142" i="13" s="1"/>
  <c r="M122" i="13"/>
  <c r="G281" i="4"/>
  <c r="H281" i="4"/>
  <c r="G282" i="4"/>
  <c r="H362" i="4"/>
  <c r="H363" i="4" s="1"/>
  <c r="G362" i="4"/>
  <c r="G363" i="4" s="1"/>
  <c r="G261" i="4"/>
  <c r="H261" i="4"/>
  <c r="G266" i="4"/>
  <c r="H266" i="4"/>
  <c r="G267" i="4"/>
  <c r="H267" i="4"/>
  <c r="G262" i="4"/>
  <c r="H262" i="4"/>
  <c r="H278" i="4"/>
  <c r="G278" i="4"/>
  <c r="H12" i="4"/>
  <c r="G252" i="4"/>
  <c r="G254" i="4" s="1"/>
  <c r="H252" i="4"/>
  <c r="H254" i="4" s="1"/>
  <c r="H248" i="4"/>
  <c r="G248" i="4"/>
  <c r="H245" i="4"/>
  <c r="G245" i="4"/>
  <c r="H238" i="4"/>
  <c r="G238" i="4"/>
  <c r="H228" i="4"/>
  <c r="H224" i="4"/>
  <c r="G224" i="4"/>
  <c r="H223" i="4"/>
  <c r="G223" i="4"/>
  <c r="H246" i="4"/>
  <c r="G246" i="4"/>
  <c r="H215" i="4"/>
  <c r="H216" i="4" s="1"/>
  <c r="G215" i="4"/>
  <c r="G216" i="4" s="1"/>
  <c r="H181" i="4"/>
  <c r="H182" i="4" s="1"/>
  <c r="G181" i="4"/>
  <c r="G182" i="4" s="1"/>
  <c r="H210" i="4"/>
  <c r="G210" i="4"/>
  <c r="H209" i="4"/>
  <c r="G209" i="4"/>
  <c r="H211" i="4"/>
  <c r="G206" i="4"/>
  <c r="G207" i="4" s="1"/>
  <c r="H189" i="4"/>
  <c r="H190" i="4" s="1"/>
  <c r="G189" i="4"/>
  <c r="G190" i="4" s="1"/>
  <c r="H172" i="4"/>
  <c r="H174" i="4" s="1"/>
  <c r="G172" i="4"/>
  <c r="G174" i="4" s="1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45" i="4"/>
  <c r="H147" i="4" s="1"/>
  <c r="G145" i="4"/>
  <c r="G147" i="4" s="1"/>
  <c r="G114" i="4"/>
  <c r="G115" i="4" s="1"/>
  <c r="H91" i="4"/>
  <c r="G91" i="4"/>
  <c r="H129" i="4"/>
  <c r="G129" i="4"/>
  <c r="H42" i="4"/>
  <c r="G42" i="4"/>
  <c r="H113" i="4"/>
  <c r="H70" i="4"/>
  <c r="G70" i="4"/>
  <c r="H152" i="4"/>
  <c r="G152" i="4"/>
  <c r="H164" i="4"/>
  <c r="H168" i="4" s="1"/>
  <c r="G164" i="4"/>
  <c r="G118" i="4"/>
  <c r="G120" i="4" s="1"/>
  <c r="G27" i="4"/>
  <c r="H27" i="4"/>
  <c r="G52" i="4"/>
  <c r="H52" i="4"/>
  <c r="G86" i="4"/>
  <c r="G88" i="4" s="1"/>
  <c r="H86" i="4"/>
  <c r="H88" i="4" s="1"/>
  <c r="G41" i="4"/>
  <c r="H41" i="4"/>
  <c r="G19" i="4"/>
  <c r="G20" i="4" s="1"/>
  <c r="G23" i="4"/>
  <c r="G24" i="4" s="1"/>
  <c r="G79" i="4"/>
  <c r="G82" i="4" s="1"/>
  <c r="H79" i="4"/>
  <c r="H82" i="4" s="1"/>
  <c r="G75" i="4"/>
  <c r="G76" i="4" s="1"/>
  <c r="H75" i="4"/>
  <c r="H76" i="4" s="1"/>
  <c r="G29" i="4"/>
  <c r="H29" i="4"/>
  <c r="G35" i="4"/>
  <c r="G37" i="4" s="1"/>
  <c r="H35" i="4"/>
  <c r="H37" i="4" s="1"/>
  <c r="G63" i="4"/>
  <c r="H63" i="4"/>
  <c r="G67" i="4"/>
  <c r="H67" i="4"/>
  <c r="G98" i="4"/>
  <c r="H98" i="4"/>
  <c r="G165" i="4"/>
  <c r="K165" i="4" s="1"/>
  <c r="H93" i="4"/>
  <c r="G93" i="4"/>
  <c r="H71" i="4"/>
  <c r="G71" i="4"/>
  <c r="H55" i="4"/>
  <c r="G55" i="4"/>
  <c r="H53" i="4"/>
  <c r="G53" i="4"/>
  <c r="K12" i="4" l="1"/>
  <c r="K16" i="4" s="1"/>
  <c r="H16" i="4"/>
  <c r="G44" i="4"/>
  <c r="M44" i="13"/>
  <c r="H142" i="4"/>
  <c r="H115" i="4"/>
  <c r="H57" i="4"/>
  <c r="G57" i="4"/>
  <c r="H44" i="4"/>
  <c r="K246" i="4"/>
  <c r="G142" i="4"/>
  <c r="G168" i="4"/>
  <c r="M124" i="13"/>
  <c r="H99" i="4"/>
  <c r="K42" i="4"/>
  <c r="H283" i="4"/>
  <c r="N132" i="13"/>
  <c r="N134" i="13" s="1"/>
  <c r="N122" i="13"/>
  <c r="H230" i="4"/>
  <c r="K228" i="4"/>
  <c r="K230" i="4" s="1"/>
  <c r="H225" i="4"/>
  <c r="G155" i="4"/>
  <c r="G127" i="4"/>
  <c r="G72" i="4"/>
  <c r="G30" i="4"/>
  <c r="H127" i="4"/>
  <c r="G133" i="4"/>
  <c r="H268" i="4"/>
  <c r="K350" i="4"/>
  <c r="G283" i="4"/>
  <c r="H155" i="4"/>
  <c r="G99" i="4"/>
  <c r="G212" i="4"/>
  <c r="H263" i="4"/>
  <c r="H72" i="4"/>
  <c r="H30" i="4"/>
  <c r="H212" i="4"/>
  <c r="G263" i="4"/>
  <c r="K91" i="4"/>
  <c r="G95" i="4"/>
  <c r="H133" i="4"/>
  <c r="G249" i="4"/>
  <c r="G268" i="4"/>
  <c r="H95" i="4"/>
  <c r="G225" i="4"/>
  <c r="H249" i="4"/>
  <c r="L386" i="4"/>
  <c r="L384" i="4"/>
  <c r="L361" i="4"/>
  <c r="K210" i="4"/>
  <c r="L210" i="4" s="1"/>
  <c r="K70" i="4"/>
  <c r="L70" i="4" s="1"/>
  <c r="K289" i="4"/>
  <c r="L289" i="4" s="1"/>
  <c r="L299" i="4"/>
  <c r="K300" i="4"/>
  <c r="L300" i="4" s="1"/>
  <c r="K296" i="4"/>
  <c r="L296" i="4" s="1"/>
  <c r="N121" i="13"/>
  <c r="K41" i="4"/>
  <c r="K281" i="4"/>
  <c r="L290" i="4"/>
  <c r="K288" i="4"/>
  <c r="K303" i="4"/>
  <c r="K297" i="4"/>
  <c r="L297" i="4" s="1"/>
  <c r="K295" i="4"/>
  <c r="L295" i="4" s="1"/>
  <c r="K293" i="4"/>
  <c r="L293" i="4" s="1"/>
  <c r="K252" i="4"/>
  <c r="K254" i="4" s="1"/>
  <c r="K245" i="4"/>
  <c r="K294" i="4"/>
  <c r="L294" i="4" s="1"/>
  <c r="K292" i="4"/>
  <c r="L292" i="4" s="1"/>
  <c r="L291" i="4"/>
  <c r="M198" i="13"/>
  <c r="K27" i="4"/>
  <c r="K131" i="4"/>
  <c r="K164" i="4"/>
  <c r="K168" i="4" s="1"/>
  <c r="K158" i="4"/>
  <c r="K160" i="4" s="1"/>
  <c r="L348" i="4"/>
  <c r="L350" i="4" s="1"/>
  <c r="N38" i="13"/>
  <c r="N40" i="13" s="1"/>
  <c r="N43" i="13"/>
  <c r="N197" i="13"/>
  <c r="N198" i="13" s="1"/>
  <c r="K181" i="4"/>
  <c r="K182" i="4" s="1"/>
  <c r="K189" i="4"/>
  <c r="K190" i="4" s="1"/>
  <c r="K154" i="4"/>
  <c r="L154" i="4" s="1"/>
  <c r="K129" i="4"/>
  <c r="L129" i="4" s="1"/>
  <c r="K114" i="4"/>
  <c r="L114" i="4" s="1"/>
  <c r="K145" i="4"/>
  <c r="K147" i="4" s="1"/>
  <c r="K123" i="4"/>
  <c r="K125" i="4"/>
  <c r="K151" i="4"/>
  <c r="K55" i="4"/>
  <c r="L55" i="4" s="1"/>
  <c r="K137" i="4"/>
  <c r="K71" i="4"/>
  <c r="K362" i="4"/>
  <c r="L362" i="4" s="1"/>
  <c r="K368" i="4"/>
  <c r="K86" i="4"/>
  <c r="K52" i="4"/>
  <c r="K74" i="4"/>
  <c r="K139" i="4"/>
  <c r="K141" i="4"/>
  <c r="L141" i="4" s="1"/>
  <c r="K140" i="4"/>
  <c r="L140" i="4" s="1"/>
  <c r="K172" i="4"/>
  <c r="K278" i="4"/>
  <c r="K48" i="4"/>
  <c r="K49" i="4" s="1"/>
  <c r="K53" i="4"/>
  <c r="L166" i="4"/>
  <c r="K93" i="4"/>
  <c r="L93" i="4" s="1"/>
  <c r="K378" i="4"/>
  <c r="L378" i="4" s="1"/>
  <c r="K54" i="4"/>
  <c r="L167" i="4"/>
  <c r="K98" i="4"/>
  <c r="K35" i="4"/>
  <c r="K37" i="4" s="1"/>
  <c r="K79" i="4"/>
  <c r="K82" i="4" s="1"/>
  <c r="K19" i="4"/>
  <c r="L101" i="4"/>
  <c r="L103" i="4" s="1"/>
  <c r="K118" i="4"/>
  <c r="K120" i="4" s="1"/>
  <c r="K206" i="4"/>
  <c r="K207" i="4" s="1"/>
  <c r="K209" i="4"/>
  <c r="K224" i="4"/>
  <c r="L224" i="4" s="1"/>
  <c r="K248" i="4"/>
  <c r="L248" i="4" s="1"/>
  <c r="K380" i="4"/>
  <c r="L380" i="4" s="1"/>
  <c r="L389" i="4"/>
  <c r="K267" i="4"/>
  <c r="K282" i="4"/>
  <c r="L282" i="4" s="1"/>
  <c r="L165" i="4"/>
  <c r="K67" i="4"/>
  <c r="K29" i="4"/>
  <c r="L29" i="4" s="1"/>
  <c r="K75" i="4"/>
  <c r="L75" i="4" s="1"/>
  <c r="K23" i="4"/>
  <c r="K24" i="4" s="1"/>
  <c r="K152" i="4"/>
  <c r="L152" i="4" s="1"/>
  <c r="K113" i="4"/>
  <c r="K211" i="4"/>
  <c r="L211" i="4" s="1"/>
  <c r="K215" i="4"/>
  <c r="K216" i="4" s="1"/>
  <c r="K223" i="4"/>
  <c r="K238" i="4"/>
  <c r="K381" i="4"/>
  <c r="L381" i="4" s="1"/>
  <c r="K262" i="4"/>
  <c r="K266" i="4"/>
  <c r="L266" i="4" s="1"/>
  <c r="K261" i="4"/>
  <c r="L261" i="4" s="1"/>
  <c r="G12" i="14"/>
  <c r="H12" i="14"/>
  <c r="G9" i="14"/>
  <c r="K9" i="14" s="1"/>
  <c r="K12" i="14" l="1"/>
  <c r="L172" i="4"/>
  <c r="L174" i="4" s="1"/>
  <c r="K174" i="4"/>
  <c r="K311" i="4"/>
  <c r="K76" i="4"/>
  <c r="L151" i="4"/>
  <c r="K155" i="4"/>
  <c r="K44" i="4"/>
  <c r="N44" i="13"/>
  <c r="K115" i="4"/>
  <c r="K95" i="4"/>
  <c r="K57" i="4"/>
  <c r="L86" i="4"/>
  <c r="L88" i="4" s="1"/>
  <c r="K88" i="4"/>
  <c r="K142" i="4"/>
  <c r="N124" i="13"/>
  <c r="K20" i="4"/>
  <c r="L363" i="4"/>
  <c r="K363" i="4"/>
  <c r="K225" i="4"/>
  <c r="K72" i="4"/>
  <c r="K127" i="4"/>
  <c r="K212" i="4"/>
  <c r="K283" i="4"/>
  <c r="K63" i="4"/>
  <c r="K249" i="4"/>
  <c r="L74" i="4"/>
  <c r="L76" i="4" s="1"/>
  <c r="K268" i="4"/>
  <c r="K99" i="4"/>
  <c r="K30" i="4"/>
  <c r="L262" i="4"/>
  <c r="K263" i="4"/>
  <c r="K133" i="4"/>
  <c r="L67" i="4"/>
  <c r="L215" i="4"/>
  <c r="L216" i="4" s="1"/>
  <c r="L123" i="4"/>
  <c r="L113" i="4"/>
  <c r="L158" i="4"/>
  <c r="L160" i="4" s="1"/>
  <c r="L12" i="4"/>
  <c r="L16" i="4" s="1"/>
  <c r="L303" i="4"/>
  <c r="L267" i="4"/>
  <c r="L268" i="4" s="1"/>
  <c r="L288" i="4"/>
  <c r="L42" i="4"/>
  <c r="L368" i="4"/>
  <c r="L238" i="4"/>
  <c r="L278" i="4"/>
  <c r="L53" i="4"/>
  <c r="L245" i="4"/>
  <c r="L12" i="14"/>
  <c r="L228" i="4"/>
  <c r="L230" i="4" s="1"/>
  <c r="L246" i="4"/>
  <c r="L181" i="4"/>
  <c r="L182" i="4" s="1"/>
  <c r="L223" i="4"/>
  <c r="L225" i="4" s="1"/>
  <c r="L252" i="4"/>
  <c r="L254" i="4" s="1"/>
  <c r="L209" i="4"/>
  <c r="L212" i="4" s="1"/>
  <c r="L189" i="4"/>
  <c r="L190" i="4" s="1"/>
  <c r="L118" i="4"/>
  <c r="L120" i="4" s="1"/>
  <c r="L71" i="4"/>
  <c r="L54" i="4"/>
  <c r="L48" i="4"/>
  <c r="L49" i="4" s="1"/>
  <c r="L41" i="4"/>
  <c r="L28" i="4"/>
  <c r="L91" i="4"/>
  <c r="L95" i="4" s="1"/>
  <c r="L137" i="4"/>
  <c r="L131" i="4"/>
  <c r="L27" i="4"/>
  <c r="L40" i="4"/>
  <c r="L164" i="4"/>
  <c r="L168" i="4" s="1"/>
  <c r="L150" i="4"/>
  <c r="L79" i="4"/>
  <c r="L82" i="4" s="1"/>
  <c r="L98" i="4"/>
  <c r="L99" i="4" s="1"/>
  <c r="L145" i="4"/>
  <c r="L147" i="4" s="1"/>
  <c r="L125" i="4"/>
  <c r="L139" i="4"/>
  <c r="L52" i="4"/>
  <c r="L35" i="4"/>
  <c r="L37" i="4" s="1"/>
  <c r="L23" i="4"/>
  <c r="L24" i="4" s="1"/>
  <c r="L206" i="4"/>
  <c r="L207" i="4" s="1"/>
  <c r="L66" i="4"/>
  <c r="L63" i="4"/>
  <c r="L281" i="4"/>
  <c r="L283" i="4" s="1"/>
  <c r="L19" i="4"/>
  <c r="L311" i="4" l="1"/>
  <c r="L155" i="4"/>
  <c r="L115" i="4"/>
  <c r="L57" i="4"/>
  <c r="L142" i="4"/>
  <c r="L44" i="4"/>
  <c r="L20" i="4"/>
  <c r="L9" i="14"/>
  <c r="L133" i="4"/>
  <c r="L72" i="4"/>
  <c r="L249" i="4"/>
  <c r="L263" i="4"/>
  <c r="L127" i="4"/>
  <c r="L30" i="4"/>
  <c r="I98" i="13" l="1"/>
  <c r="I100" i="13" s="1"/>
  <c r="M98" i="13" l="1"/>
  <c r="M100" i="13" s="1"/>
  <c r="N98" i="13" l="1"/>
  <c r="N100" i="13" s="1"/>
  <c r="M1048170" i="13" l="1"/>
  <c r="B64841" i="13"/>
  <c r="B64843" i="13" s="1"/>
  <c r="J108" i="13"/>
  <c r="I108" i="13"/>
  <c r="M143" i="13" l="1"/>
  <c r="M147" i="13" s="1"/>
  <c r="M108" i="13"/>
  <c r="N143" i="13" l="1"/>
  <c r="N147" i="13" s="1"/>
  <c r="N108" i="13"/>
  <c r="K1000245" i="4"/>
  <c r="B16920" i="4"/>
  <c r="B16922" i="4" s="1"/>
  <c r="H241" i="4"/>
  <c r="H242" i="4" s="1"/>
  <c r="G241" i="4"/>
  <c r="G242" i="4" s="1"/>
  <c r="A31" i="13" l="1"/>
  <c r="A32" i="13" s="1"/>
  <c r="A33" i="13" s="1"/>
  <c r="A34" i="13" s="1"/>
  <c r="A38" i="13" s="1"/>
  <c r="K241" i="4"/>
  <c r="K242" i="4" s="1"/>
  <c r="K388" i="4"/>
  <c r="K395" i="4" s="1"/>
  <c r="L388" i="4" l="1"/>
  <c r="L395" i="4" s="1"/>
  <c r="A39" i="13"/>
  <c r="A43" i="13" s="1"/>
  <c r="A47" i="13" s="1"/>
  <c r="A48" i="13" s="1"/>
  <c r="A49" i="13" s="1"/>
  <c r="A54" i="13" s="1"/>
  <c r="L241" i="4"/>
  <c r="L242" i="4" s="1"/>
  <c r="A58" i="13" l="1"/>
  <c r="A63" i="13" s="1"/>
  <c r="K877141" i="14"/>
  <c r="A64" i="13" l="1"/>
  <c r="A68" i="13" s="1"/>
  <c r="A69" i="13" l="1"/>
  <c r="A70" i="13" s="1"/>
  <c r="A75" i="13" l="1"/>
  <c r="A79" i="13" s="1"/>
  <c r="A83" i="13" s="1"/>
  <c r="A84" i="13" l="1"/>
  <c r="A87" i="13" l="1"/>
  <c r="A91" i="13" s="1"/>
  <c r="A92" i="13" s="1"/>
  <c r="A97" i="13" s="1"/>
  <c r="A98" i="13" s="1"/>
  <c r="A99" i="13" s="1"/>
  <c r="A103" i="13" l="1"/>
  <c r="A107" i="13" s="1"/>
  <c r="A111" i="13" s="1"/>
  <c r="A112" i="13" s="1"/>
  <c r="A116" i="13" s="1"/>
  <c r="A117" i="13" s="1"/>
  <c r="A121" i="13" s="1"/>
  <c r="A122" i="13" s="1"/>
  <c r="A123" i="13" s="1"/>
  <c r="A127" i="13" s="1"/>
  <c r="A128" i="13" s="1"/>
  <c r="A132" i="13" s="1"/>
  <c r="A133" i="13" s="1"/>
  <c r="A137" i="13" s="1"/>
  <c r="A141" i="13" s="1"/>
  <c r="A142" i="13" s="1"/>
  <c r="A143" i="13" s="1"/>
  <c r="A144" i="13" s="1"/>
  <c r="A145" i="13" s="1"/>
  <c r="A146" i="13" s="1"/>
  <c r="A150" i="13" s="1"/>
  <c r="A154" i="13" s="1"/>
  <c r="A155" i="13" s="1"/>
  <c r="A156" i="13" s="1"/>
  <c r="A160" i="13" s="1"/>
  <c r="A161" i="13" s="1"/>
  <c r="A165" i="13" s="1"/>
  <c r="A169" i="13" s="1"/>
  <c r="A170" i="13" s="1"/>
  <c r="A174" i="13" s="1"/>
  <c r="A175" i="13" s="1"/>
  <c r="A176" i="13" s="1"/>
  <c r="A177" i="13" s="1"/>
  <c r="A178" i="13" s="1"/>
  <c r="A179" i="13" s="1"/>
  <c r="A183" i="13" s="1"/>
  <c r="A187" i="13" l="1"/>
  <c r="A188" i="13" s="1"/>
  <c r="A189" i="13" s="1"/>
  <c r="A193" i="13" s="1"/>
  <c r="A197" i="13" s="1"/>
  <c r="A47" i="4"/>
  <c r="A48" i="4" l="1"/>
  <c r="A52" i="4" s="1"/>
  <c r="A201" i="13" l="1"/>
  <c r="A205" i="13" s="1"/>
  <c r="A206" i="13" s="1"/>
  <c r="A210" i="13" s="1"/>
  <c r="A214" i="13" s="1"/>
  <c r="A218" i="13" s="1"/>
  <c r="A219" i="13" s="1"/>
  <c r="A53" i="4"/>
  <c r="A224" i="13" l="1"/>
  <c r="A54" i="4"/>
  <c r="A55" i="4" s="1"/>
  <c r="A56" i="4" s="1"/>
  <c r="A60" i="4" s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0" i="4" l="1"/>
  <c r="A81" i="4" s="1"/>
  <c r="A85" i="4" s="1"/>
  <c r="A86" i="4" s="1"/>
  <c r="A87" i="4" l="1"/>
  <c r="A91" i="4" s="1"/>
  <c r="A92" i="4" l="1"/>
  <c r="A93" i="4" l="1"/>
  <c r="A94" i="4" s="1"/>
  <c r="A98" i="4" s="1"/>
  <c r="A101" i="4" s="1"/>
  <c r="A102" i="4" s="1"/>
  <c r="A106" i="4" s="1"/>
  <c r="B46" i="16"/>
  <c r="A110" i="4" l="1"/>
  <c r="A111" i="4" s="1"/>
  <c r="B50" i="16"/>
  <c r="B54" i="16" s="1"/>
  <c r="A112" i="4" l="1"/>
  <c r="A113" i="4" s="1"/>
  <c r="A114" i="4" s="1"/>
  <c r="A118" i="4" s="1"/>
  <c r="B58" i="16"/>
  <c r="B62" i="16" s="1"/>
  <c r="B66" i="16" s="1"/>
  <c r="B70" i="16" s="1"/>
  <c r="B74" i="16" s="1"/>
  <c r="B75" i="16" s="1"/>
  <c r="B79" i="16" s="1"/>
  <c r="A119" i="4" l="1"/>
  <c r="A123" i="4" s="1"/>
  <c r="A124" i="4" s="1"/>
  <c r="A125" i="4" s="1"/>
  <c r="A126" i="4" s="1"/>
  <c r="A129" i="4" s="1"/>
  <c r="A130" i="4" s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4" i="4" s="1"/>
  <c r="A165" i="4" s="1"/>
  <c r="A166" i="4" s="1"/>
  <c r="A167" i="4" s="1"/>
  <c r="A172" i="4" s="1"/>
  <c r="B93" i="16"/>
  <c r="B97" i="16" s="1"/>
  <c r="B101" i="16" s="1"/>
  <c r="B105" i="16" s="1"/>
  <c r="B109" i="16" s="1"/>
  <c r="B113" i="16" s="1"/>
  <c r="B117" i="16" s="1"/>
  <c r="B118" i="16" s="1"/>
  <c r="A173" i="4" l="1"/>
  <c r="A177" i="4" s="1"/>
  <c r="A180" i="4" s="1"/>
  <c r="A181" i="4" s="1"/>
  <c r="A185" i="4" s="1"/>
  <c r="A186" i="4" s="1"/>
  <c r="A187" i="4" s="1"/>
  <c r="A188" i="4" s="1"/>
  <c r="A189" i="4" s="1"/>
  <c r="A193" i="4" s="1"/>
  <c r="A194" i="4" s="1"/>
  <c r="A195" i="4" s="1"/>
  <c r="A196" i="4" s="1"/>
  <c r="A197" i="4" s="1"/>
  <c r="A202" i="4" s="1"/>
  <c r="A206" i="4" s="1"/>
  <c r="A209" i="4" s="1"/>
  <c r="L397" i="4"/>
  <c r="G397" i="4"/>
  <c r="F397" i="4"/>
  <c r="J397" i="4"/>
  <c r="H397" i="4"/>
  <c r="I397" i="4"/>
  <c r="K397" i="4"/>
  <c r="A210" i="4" l="1"/>
  <c r="A211" i="4" s="1"/>
  <c r="A215" i="4" s="1"/>
  <c r="A219" i="4" s="1"/>
  <c r="A223" i="4" s="1"/>
  <c r="A224" i="4" s="1"/>
  <c r="A228" i="4" s="1"/>
  <c r="A229" i="4" s="1"/>
  <c r="A233" i="4" s="1"/>
  <c r="A237" i="4" s="1"/>
  <c r="A241" i="4" l="1"/>
  <c r="A245" i="4" s="1"/>
  <c r="A246" i="4" s="1"/>
  <c r="A247" i="4" s="1"/>
  <c r="A248" i="4" s="1"/>
  <c r="A252" i="4" s="1"/>
  <c r="A253" i="4" s="1"/>
  <c r="A262" i="4" s="1"/>
  <c r="A266" i="4" s="1"/>
  <c r="A267" i="4" s="1"/>
  <c r="A271" i="4" l="1"/>
  <c r="A272" i="4" s="1"/>
  <c r="A273" i="4" s="1"/>
  <c r="A277" i="4" s="1"/>
  <c r="A281" i="4" s="1"/>
  <c r="A282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l="1"/>
  <c r="A302" i="4" s="1"/>
  <c r="A303" i="4" s="1"/>
  <c r="A304" i="4" s="1"/>
  <c r="A305" i="4" s="1"/>
  <c r="A306" i="4" s="1"/>
  <c r="A307" i="4" s="1"/>
  <c r="A308" i="4" s="1"/>
  <c r="A309" i="4" s="1"/>
  <c r="A310" i="4" s="1"/>
  <c r="A314" i="4" s="1"/>
  <c r="A315" i="4" s="1"/>
  <c r="A316" i="4" s="1"/>
  <c r="A317" i="4" s="1"/>
  <c r="A318" i="4" s="1"/>
  <c r="A319" i="4" s="1"/>
  <c r="A322" i="4" s="1"/>
  <c r="A323" i="4" s="1"/>
  <c r="A324" i="4" s="1"/>
  <c r="A325" i="4" s="1"/>
  <c r="A326" i="4" l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4" i="4" s="1"/>
  <c r="A348" i="4" s="1"/>
  <c r="A349" i="4" s="1"/>
  <c r="A353" i="4" s="1"/>
  <c r="A357" i="4" s="1"/>
  <c r="A361" i="4" s="1"/>
  <c r="A362" i="4" s="1"/>
  <c r="A365" i="4" s="1"/>
  <c r="A366" i="4" s="1"/>
  <c r="A367" i="4" s="1"/>
  <c r="A371" i="4" s="1"/>
  <c r="A372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</calcChain>
</file>

<file path=xl/sharedStrings.xml><?xml version="1.0" encoding="utf-8"?>
<sst xmlns="http://schemas.openxmlformats.org/spreadsheetml/2006/main" count="1894" uniqueCount="669">
  <si>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</si>
  <si>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</si>
  <si>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</si>
  <si>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</si>
  <si>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</si>
  <si>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</si>
  <si>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</si>
  <si>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</si>
  <si>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</si>
  <si>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</si>
  <si>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</si>
  <si>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</si>
  <si>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</si>
  <si>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</si>
  <si>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</si>
  <si>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</si>
  <si>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</si>
  <si>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</si>
  <si>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</si>
  <si>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</si>
  <si>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</si>
  <si>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</si>
  <si>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</si>
  <si>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</si>
  <si>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</si>
  <si>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</si>
  <si>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</si>
  <si>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</si>
  <si>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</si>
  <si>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</si>
  <si>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</si>
  <si>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</si>
  <si>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</si>
  <si>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</si>
  <si>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</si>
  <si>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</si>
  <si>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</si>
  <si>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</si>
  <si>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</si>
  <si>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</si>
  <si>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</si>
  <si>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</si>
  <si>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</si>
  <si>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</si>
  <si>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</si>
  <si>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</si>
  <si>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</si>
  <si>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</si>
  <si>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</si>
  <si>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</si>
  <si>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</si>
  <si>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</si>
  <si>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</si>
  <si>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</si>
  <si>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</si>
  <si>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</si>
  <si>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</si>
  <si>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</si>
  <si>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</si>
  <si>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</si>
  <si>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</si>
  <si>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</si>
  <si>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</si>
  <si>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</si>
  <si>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</si>
  <si>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</si>
  <si>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</si>
  <si>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</si>
  <si>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</si>
  <si>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</si>
  <si>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</si>
  <si>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</si>
  <si>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</si>
  <si>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</si>
  <si>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</si>
  <si>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</si>
  <si>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</si>
  <si>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</si>
  <si>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</si>
  <si>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</si>
  <si>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</si>
  <si>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</si>
  <si>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</si>
  <si>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</si>
  <si>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</si>
  <si>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</si>
  <si>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</si>
  <si>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</si>
  <si>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</si>
  <si>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</si>
  <si>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</si>
  <si>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</si>
  <si>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</si>
  <si>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</si>
  <si>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</si>
  <si>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</si>
  <si>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</si>
  <si>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</si>
  <si>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</si>
  <si>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</si>
  <si>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</si>
  <si>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</si>
  <si>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</si>
  <si>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</si>
  <si>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</si>
  <si>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</si>
  <si>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</si>
  <si>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</si>
  <si>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</si>
  <si>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</si>
  <si>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</si>
  <si>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</si>
  <si>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</si>
  <si>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</si>
  <si>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</si>
  <si>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</si>
  <si>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</si>
  <si>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</si>
  <si>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</si>
  <si>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</si>
  <si>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</si>
  <si>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</si>
  <si>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</si>
  <si>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</si>
  <si>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</si>
  <si>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</si>
  <si>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</si>
  <si>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</si>
  <si>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</si>
  <si>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</si>
  <si>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</si>
  <si>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</si>
  <si>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</si>
  <si>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</si>
  <si>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</si>
  <si>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</si>
  <si>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</si>
  <si>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</si>
  <si>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</si>
  <si>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</si>
  <si>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</si>
  <si>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</si>
  <si>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</si>
  <si>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</si>
  <si>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</si>
  <si>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</si>
  <si>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</si>
  <si>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</si>
  <si>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</si>
  <si>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</si>
  <si>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</si>
  <si>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</si>
  <si>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</si>
  <si>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</si>
  <si>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</si>
  <si>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</si>
  <si>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</si>
  <si>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</si>
  <si>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</si>
  <si>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</si>
  <si>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</si>
  <si>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</si>
  <si>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</si>
  <si>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</si>
  <si>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</si>
  <si>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</si>
  <si>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</si>
  <si>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</si>
  <si>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</si>
  <si>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</si>
  <si>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</si>
  <si>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</si>
  <si>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</si>
  <si>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</si>
  <si>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</si>
  <si>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</si>
  <si>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</si>
  <si>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</si>
  <si>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</si>
  <si>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</si>
  <si>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</si>
  <si>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</si>
  <si>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</si>
  <si>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</si>
  <si>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</si>
  <si>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</si>
  <si>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</si>
  <si>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</si>
  <si>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</si>
  <si>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</si>
  <si>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</si>
  <si>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</si>
  <si>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</si>
  <si>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</si>
  <si>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</si>
  <si>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</si>
  <si>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</si>
  <si>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</si>
  <si>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</si>
  <si>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</si>
  <si>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</si>
  <si>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</si>
  <si>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</si>
  <si>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</si>
  <si>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</si>
  <si>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</si>
  <si>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</si>
  <si>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</si>
  <si>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</si>
  <si>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</si>
  <si>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</si>
  <si>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</si>
  <si>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</si>
  <si>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</si>
  <si>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</si>
  <si>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</si>
  <si>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</si>
  <si>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</si>
  <si>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</si>
  <si>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</si>
  <si>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</si>
  <si>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</si>
  <si>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</si>
  <si>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</si>
  <si>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</si>
  <si>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</si>
  <si>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</si>
  <si>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</si>
  <si>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</si>
  <si>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</si>
  <si>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</si>
  <si>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</si>
  <si>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</si>
  <si>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</si>
  <si>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</si>
  <si>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</si>
  <si>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</si>
  <si>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</si>
  <si>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</si>
  <si>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</si>
  <si>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</si>
  <si>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</si>
  <si>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</si>
  <si>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</si>
  <si>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</si>
  <si>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</si>
  <si>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</si>
  <si>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</si>
  <si>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</si>
  <si>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</si>
  <si>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</si>
  <si>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</si>
  <si>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</si>
  <si>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</si>
  <si>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</si>
  <si>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</si>
  <si>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</si>
  <si>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</si>
  <si>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</si>
  <si>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</si>
  <si>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</si>
  <si>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</si>
  <si>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</si>
  <si>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</si>
  <si>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</si>
  <si>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</si>
  <si>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</si>
  <si>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</si>
  <si>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</si>
  <si>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</si>
  <si>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</si>
  <si>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</si>
  <si>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</si>
  <si>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</si>
  <si>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</si>
  <si>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</si>
  <si>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</si>
  <si>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</si>
  <si>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</si>
  <si>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</si>
  <si>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</si>
  <si>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</si>
  <si>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</si>
  <si>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</si>
  <si>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</si>
  <si>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</si>
  <si>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</si>
  <si>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</si>
  <si>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</si>
  <si>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</si>
  <si>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</si>
  <si>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</si>
  <si>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</si>
  <si>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</si>
  <si>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</si>
  <si>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</si>
  <si>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</si>
  <si>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</si>
  <si>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</si>
  <si>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</si>
  <si>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</si>
  <si>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</si>
  <si>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</si>
  <si>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</si>
  <si>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</si>
  <si>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</si>
  <si>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</si>
  <si>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</si>
  <si>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</si>
  <si>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</si>
  <si>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</si>
  <si>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</si>
  <si>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</si>
  <si>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</si>
  <si>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</si>
  <si>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</si>
  <si>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</si>
  <si>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</si>
  <si>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</si>
  <si>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</si>
  <si>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</si>
  <si>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</si>
  <si>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</si>
  <si>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</si>
  <si>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</si>
  <si>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</si>
  <si>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</si>
  <si>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</si>
  <si>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</si>
  <si>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</si>
  <si>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</si>
  <si>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</si>
  <si>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</si>
  <si>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</si>
  <si>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</si>
  <si>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</si>
  <si>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</si>
  <si>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</si>
  <si>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</si>
  <si>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</si>
  <si>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</si>
  <si>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</si>
  <si>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</si>
  <si>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</si>
  <si>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</si>
  <si>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</si>
  <si>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</si>
  <si>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</si>
  <si>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</si>
  <si>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</si>
  <si>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</si>
  <si>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</si>
  <si>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</si>
  <si>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</si>
  <si>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</si>
  <si>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</si>
  <si>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</si>
  <si>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</si>
  <si>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</si>
  <si>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</si>
  <si>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</si>
  <si>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</si>
  <si>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</si>
  <si>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</si>
  <si>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</si>
  <si>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</si>
  <si>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</si>
  <si>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</si>
  <si>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</si>
  <si>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</si>
  <si>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</si>
  <si>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</si>
  <si>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</si>
  <si>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</si>
  <si>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</si>
  <si>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</si>
  <si>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</si>
  <si>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</si>
  <si>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</si>
  <si>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</si>
  <si>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</si>
  <si>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</si>
  <si>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</si>
  <si>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</si>
  <si>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</si>
  <si>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</si>
  <si>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</si>
  <si>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</si>
  <si>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</si>
  <si>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</si>
  <si>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</si>
  <si>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</si>
  <si>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</si>
  <si>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</si>
  <si>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</si>
  <si>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</si>
  <si>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</si>
  <si>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</si>
  <si>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</si>
  <si>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</si>
  <si>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</si>
  <si>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</si>
  <si>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</si>
  <si>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</si>
  <si>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</si>
  <si>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</si>
  <si>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</si>
  <si>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</si>
  <si>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</si>
  <si>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</si>
  <si>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</si>
  <si>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</si>
  <si>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</si>
  <si>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</si>
  <si>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</si>
  <si>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</si>
  <si>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</si>
  <si>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</si>
  <si>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</si>
  <si>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</si>
  <si>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</si>
  <si>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</si>
  <si>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</si>
  <si>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</si>
  <si>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</si>
  <si>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</si>
  <si>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</si>
  <si>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</si>
  <si>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</si>
  <si>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</si>
  <si>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</si>
  <si>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</si>
  <si>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</si>
  <si>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</si>
  <si>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</si>
  <si>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</si>
  <si>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</si>
  <si>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</si>
  <si>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</si>
  <si>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</si>
  <si>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TÉCNICO DE RED Y TELECOMUNICACIONES</t>
  </si>
  <si>
    <t>M</t>
  </si>
  <si>
    <t>F</t>
  </si>
  <si>
    <t>Género</t>
  </si>
  <si>
    <t>JOSÉ ROBERTO MORETA DE LEÓN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</si>
  <si>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</si>
  <si>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</si>
  <si>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</si>
  <si>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</si>
  <si>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</si>
  <si>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</si>
  <si>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</si>
  <si>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</si>
  <si>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</si>
  <si>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</si>
  <si>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</si>
  <si>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</si>
  <si>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</si>
  <si>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</si>
  <si>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</si>
  <si>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</si>
  <si>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</si>
  <si>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</si>
  <si>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</si>
  <si>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</si>
  <si>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</si>
  <si>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</si>
  <si>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HÉCTOR ANTONIO OVALLES ALONZO 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</si>
  <si>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</si>
  <si>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</si>
  <si>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</si>
  <si>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</si>
  <si>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</si>
  <si>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</si>
  <si>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</si>
  <si>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</si>
  <si>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</si>
  <si>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</si>
  <si>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</si>
  <si>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</si>
  <si>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</si>
  <si>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</si>
  <si>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</si>
  <si>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</si>
  <si>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</si>
  <si>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</si>
  <si>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</si>
  <si>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</si>
  <si>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</si>
  <si>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</si>
  <si>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</si>
  <si>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</si>
  <si>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</si>
  <si>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</si>
  <si>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</si>
  <si>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</si>
  <si>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</si>
  <si>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</si>
  <si>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</si>
  <si>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</si>
  <si>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</si>
  <si>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</si>
  <si>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</si>
  <si>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</si>
  <si>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</si>
  <si>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</si>
  <si>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</si>
  <si>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</si>
  <si>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</si>
  <si>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</si>
  <si>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</si>
  <si>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</si>
  <si>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</si>
  <si>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</si>
  <si>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</si>
  <si>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</si>
  <si>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</si>
  <si>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</si>
  <si>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</si>
  <si>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</si>
  <si>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</si>
  <si>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</si>
  <si>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</si>
  <si>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</si>
  <si>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</si>
  <si>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</si>
  <si>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</si>
  <si>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</si>
  <si>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</si>
  <si>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</si>
  <si>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</si>
  <si>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</si>
  <si>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</si>
  <si>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</si>
  <si>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</si>
  <si>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</si>
  <si>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</si>
  <si>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</si>
  <si>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</si>
  <si>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</si>
  <si>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</si>
  <si>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</si>
  <si>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</si>
  <si>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</si>
  <si>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</si>
  <si>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</si>
  <si>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</si>
  <si>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</si>
  <si>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</si>
  <si>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</si>
  <si>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25 DE AGOSTO DEL 2022</t>
  </si>
  <si>
    <t>09 DE SEPTIEMBRE DEL 2022</t>
  </si>
  <si>
    <t>10 DE AGOSTO DEL 2022</t>
  </si>
  <si>
    <t>22 DE AGOSTO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</si>
  <si>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</si>
  <si>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</si>
  <si>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</si>
  <si>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</si>
  <si>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</si>
  <si>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</si>
  <si>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</si>
  <si>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</si>
  <si>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</si>
  <si>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OCTUBRE DEL 2022</t>
  </si>
  <si>
    <t>18 DE OCTUBRE DEL 2022</t>
  </si>
  <si>
    <t xml:space="preserve">ANA YISEL CUEVAS MATOS </t>
  </si>
  <si>
    <t>BRYAN ALEXIS THOMPSON PÉREZ</t>
  </si>
  <si>
    <t xml:space="preserve">HAMLET ALFONSO JIMÉNEZ RIVERA </t>
  </si>
  <si>
    <t>01 DE NOVIEMBRE DEL 2022</t>
  </si>
  <si>
    <t>ANALISTA DE REGISTRO Y CONTROL</t>
  </si>
  <si>
    <t>11 DE OCTUBRE DEL 2022</t>
  </si>
  <si>
    <t xml:space="preserve">PARALEGAL </t>
  </si>
  <si>
    <t>01 DE MAYO DE 2022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</si>
  <si>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</si>
  <si>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</si>
  <si>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</si>
  <si>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</si>
  <si>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</si>
  <si>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</si>
  <si>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 xml:space="preserve"> 01 DE DICIEMBRE DEL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</si>
  <si>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</si>
  <si>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</si>
  <si>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</si>
  <si>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</si>
  <si>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</si>
  <si>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</si>
  <si>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</si>
  <si>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</si>
  <si>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</si>
  <si>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</si>
  <si>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</si>
  <si>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</si>
  <si>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</si>
  <si>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</si>
  <si>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</si>
  <si>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</si>
  <si>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</si>
  <si>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</si>
  <si>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</si>
  <si>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</si>
  <si>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</si>
  <si>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</si>
  <si>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</si>
  <si>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</si>
  <si>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</si>
  <si>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</si>
  <si>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</si>
  <si>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</si>
  <si>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</si>
  <si>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</si>
  <si>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</si>
  <si>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 xml:space="preserve"> 01 DE SEPTIEMBRE DEL 2022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</si>
  <si>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</si>
  <si>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</si>
  <si>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</si>
  <si>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</si>
  <si>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</si>
  <si>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09 DE MARZO DEL 2023</t>
  </si>
  <si>
    <t>03 DE MARZO DEL 2023</t>
  </si>
  <si>
    <t xml:space="preserve">JESUS ALBERTO BETANCES LORA 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</si>
  <si>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</si>
  <si>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</si>
  <si>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</si>
  <si>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</si>
  <si>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</si>
  <si>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</si>
  <si>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</si>
  <si>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</si>
  <si>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11 DE ABRIL DEL 2023</t>
  </si>
  <si>
    <t>5  DE OCTUBRE DEL 2022</t>
  </si>
  <si>
    <t>5 DE ABRIL DEL 2023</t>
  </si>
  <si>
    <t xml:space="preserve">JUAN ALFONSO PAULINO RODRIGUEZ </t>
  </si>
  <si>
    <t>15 DE OCTUBRE DEL 2022</t>
  </si>
  <si>
    <t>15 DE ABRIL DEL 2023</t>
  </si>
  <si>
    <t>ANALISTA DE ANÁLISIS DE ESTUDIOS ECONÓMICOS I</t>
  </si>
  <si>
    <t>01 DE NOVIEMBRE DE 2022</t>
  </si>
  <si>
    <t>01 DE MAYO DE 2023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</si>
  <si>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</si>
  <si>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</si>
  <si>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</si>
  <si>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</si>
  <si>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</si>
  <si>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</si>
  <si>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</si>
  <si>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</si>
  <si>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</si>
  <si>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</si>
  <si>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</si>
  <si>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</si>
  <si>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</si>
  <si>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</si>
  <si>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</si>
  <si>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1 DE DICIEMBRE DEL 2022</t>
  </si>
  <si>
    <t xml:space="preserve"> 01 DE JUNIO DEL 2023</t>
  </si>
  <si>
    <t xml:space="preserve"> 01 DE MAYO DEL 2023</t>
  </si>
  <si>
    <t xml:space="preserve"> 1 DE NOVIEMBRE DEL 2022</t>
  </si>
  <si>
    <t xml:space="preserve">PATRICIA CAROLINA DILONE GIL </t>
  </si>
  <si>
    <t xml:space="preserve">SORANGEL GONZALEZ DIAZ </t>
  </si>
  <si>
    <t>NICKOL RODRÍGUEZ FERNÁNDEZ</t>
  </si>
  <si>
    <t xml:space="preserve">ENCARGADA DE ANALISIS Y ESTUDIOS ECONOMICOS </t>
  </si>
  <si>
    <t>01 DE JUNIO DE 2023</t>
  </si>
  <si>
    <t xml:space="preserve">EUSEBIA PEREZ AGRAMONTE </t>
  </si>
  <si>
    <t xml:space="preserve">EMPRESAS PUBLICAS NO FINANCIERAS </t>
  </si>
  <si>
    <t>Correspondiente al mes de Febrero del año 2023</t>
  </si>
  <si>
    <t xml:space="preserve">RAYDAN DE JESUS DIA DE LA ROSA </t>
  </si>
  <si>
    <t xml:space="preserve">ENCARGADO ADMINISTRATIVO Y FINANCIERO </t>
  </si>
  <si>
    <t>04 DE JUNIO DE 2023</t>
  </si>
  <si>
    <t>04 DE ENERO DE 2023</t>
  </si>
  <si>
    <t>Correspondiente al mes de Febrero 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</si>
</sst>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286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1" xfId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Border="1"/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2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23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8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20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43" fontId="15" fillId="2" borderId="0" xfId="1" applyFont="1" applyFill="1" applyBorder="1" applyAlignment="1"/>
    <xf numFmtId="165" fontId="12" fillId="2" borderId="12" xfId="0" applyNumberFormat="1" applyFont="1" applyFill="1" applyBorder="1" applyAlignment="1">
      <alignment horizontal="left" wrapText="1"/>
    </xf>
    <xf numFmtId="43" fontId="16" fillId="2" borderId="0" xfId="1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6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22" xfId="0" applyFont="1" applyFill="1" applyBorder="1" applyAlignment="1">
      <alignment horizontal="center" wrapText="1"/>
    </xf>
    <xf numFmtId="0" fontId="6" fillId="2" borderId="16" xfId="0" applyFont="1" applyFill="1" applyBorder="1" applyAlignment="1">
      <alignment horizontal="left"/>
    </xf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2380403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1693173</xdr:colOff>
      <xdr:row>4</xdr:row>
      <xdr:rowOff>57786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00245"/>
  <sheetViews>
    <sheetView showGridLines="0" tabSelected="1" view="pageBreakPreview" zoomScale="70" zoomScaleNormal="70" zoomScaleSheetLayoutView="70" workbookViewId="0">
      <pane xSplit="2" ySplit="7" topLeftCell="C383" activePane="bottomRight" state="frozen"/>
      <selection pane="topRight" activeCell="C1" sqref="C1"/>
      <selection pane="bottomLeft" activeCell="A9" sqref="A9"/>
      <selection pane="bottomRight" activeCell="R386" sqref="R386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22.28515625" style="1" customWidth="1"/>
    <col min="10" max="10" width="19" style="1" customWidth="1"/>
    <col min="11" max="12" width="22.85546875" style="1" customWidth="1"/>
    <col min="13" max="13" width="17" style="1" customWidth="1"/>
    <col min="14" max="14" width="11.42578125" style="114"/>
    <col min="15" max="16384" width="11.42578125" style="1"/>
  </cols>
  <sheetData>
    <row r="1" spans="1:14" ht="23.25" x14ac:dyDescent="0.35">
      <c r="A1" s="241" t="s">
        <v>429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</row>
    <row r="2" spans="1:14" ht="21" x14ac:dyDescent="0.35">
      <c r="A2" s="242" t="s">
        <v>433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</row>
    <row r="3" spans="1:14" ht="18.75" x14ac:dyDescent="0.3">
      <c r="A3" s="243" t="s">
        <v>663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</row>
    <row r="4" spans="1:14" ht="19.5" thickBot="1" x14ac:dyDescent="0.35">
      <c r="A4" s="243"/>
      <c r="B4" s="243"/>
      <c r="C4" s="17"/>
      <c r="D4" s="24"/>
      <c r="E4" s="24"/>
      <c r="F4" s="17"/>
    </row>
    <row r="5" spans="1:14" ht="25.5" customHeight="1" thickBot="1" x14ac:dyDescent="0.3">
      <c r="A5" s="32" t="s">
        <v>650</v>
      </c>
      <c r="B5" s="33"/>
      <c r="C5" s="32"/>
      <c r="D5" s="33"/>
      <c r="E5" s="33"/>
      <c r="F5" s="34"/>
      <c r="G5" s="244" t="s">
        <v>123</v>
      </c>
      <c r="H5" s="245"/>
      <c r="I5" s="35"/>
      <c r="J5" s="35"/>
      <c r="K5" s="35"/>
      <c r="L5" s="35"/>
    </row>
    <row r="6" spans="1:14" s="18" customFormat="1" ht="30" customHeight="1" thickBot="1" x14ac:dyDescent="0.3">
      <c r="A6" s="36" t="s">
        <v>0</v>
      </c>
      <c r="B6" s="36" t="s">
        <v>376</v>
      </c>
      <c r="C6" s="36" t="s">
        <v>443</v>
      </c>
      <c r="D6" s="36" t="s">
        <v>464</v>
      </c>
      <c r="E6" s="36" t="s">
        <v>117</v>
      </c>
      <c r="F6" s="36" t="s">
        <v>127</v>
      </c>
      <c r="G6" s="37" t="s">
        <v>1</v>
      </c>
      <c r="H6" s="37" t="s">
        <v>2</v>
      </c>
      <c r="I6" s="38" t="s">
        <v>118</v>
      </c>
      <c r="J6" s="38" t="s">
        <v>120</v>
      </c>
      <c r="K6" s="38" t="s">
        <v>3</v>
      </c>
      <c r="L6" s="38" t="s">
        <v>119</v>
      </c>
      <c r="N6" s="105"/>
    </row>
    <row r="7" spans="1:14" s="33" customFormat="1" ht="30" customHeight="1" thickBot="1" x14ac:dyDescent="0.3">
      <c r="A7" s="238" t="s">
        <v>246</v>
      </c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40"/>
      <c r="M7" s="77"/>
    </row>
    <row r="8" spans="1:14" s="35" customFormat="1" ht="30" customHeight="1" x14ac:dyDescent="0.25">
      <c r="A8" s="136">
        <v>1</v>
      </c>
      <c r="B8" s="126" t="s">
        <v>245</v>
      </c>
      <c r="C8" s="136" t="s">
        <v>441</v>
      </c>
      <c r="D8" s="126" t="s">
        <v>241</v>
      </c>
      <c r="E8" s="140" t="s">
        <v>465</v>
      </c>
      <c r="F8" s="120">
        <v>245000</v>
      </c>
      <c r="G8" s="120">
        <f t="shared" ref="G8:G15" si="0">F8*2.87%</f>
        <v>7031.5</v>
      </c>
      <c r="H8" s="120">
        <v>4943.8</v>
      </c>
      <c r="I8" s="120">
        <v>46839.040000000001</v>
      </c>
      <c r="J8" s="124">
        <v>25</v>
      </c>
      <c r="K8" s="120">
        <f t="shared" ref="K8:K15" si="1">SUM(G8:J8)</f>
        <v>58839.34</v>
      </c>
      <c r="L8" s="124">
        <f t="shared" ref="L8:L15" si="2">+F8-K8</f>
        <v>186160.66</v>
      </c>
      <c r="N8" s="87"/>
    </row>
    <row r="9" spans="1:14" s="42" customFormat="1" ht="30" customHeight="1" x14ac:dyDescent="0.25">
      <c r="A9" s="39">
        <v>2</v>
      </c>
      <c r="B9" s="89" t="s">
        <v>242</v>
      </c>
      <c r="C9" s="88" t="s">
        <v>442</v>
      </c>
      <c r="D9" s="89" t="s">
        <v>107</v>
      </c>
      <c r="E9" s="204" t="s">
        <v>125</v>
      </c>
      <c r="F9" s="90">
        <v>140000</v>
      </c>
      <c r="G9" s="123">
        <f t="shared" si="0"/>
        <v>4018</v>
      </c>
      <c r="H9" s="123">
        <f t="shared" ref="H9:H15" si="3">+F9*3.04%</f>
        <v>4256</v>
      </c>
      <c r="I9" s="123">
        <v>21514.37</v>
      </c>
      <c r="J9" s="124">
        <v>25</v>
      </c>
      <c r="K9" s="120">
        <f t="shared" si="1"/>
        <v>29813.37</v>
      </c>
      <c r="L9" s="124">
        <f t="shared" si="2"/>
        <v>110186.63</v>
      </c>
      <c r="N9" s="56"/>
    </row>
    <row r="10" spans="1:14" s="42" customFormat="1" ht="30" customHeight="1" x14ac:dyDescent="0.25">
      <c r="A10" s="136">
        <v>3</v>
      </c>
      <c r="B10" s="121" t="s">
        <v>582</v>
      </c>
      <c r="C10" s="39" t="s">
        <v>442</v>
      </c>
      <c r="D10" s="140" t="s">
        <v>126</v>
      </c>
      <c r="E10" s="140" t="s">
        <v>124</v>
      </c>
      <c r="F10" s="123">
        <v>90000</v>
      </c>
      <c r="G10" s="123">
        <f t="shared" si="0"/>
        <v>2583</v>
      </c>
      <c r="H10" s="123">
        <f t="shared" si="3"/>
        <v>2736</v>
      </c>
      <c r="I10" s="123">
        <v>9753.1200000000008</v>
      </c>
      <c r="J10" s="124">
        <v>25</v>
      </c>
      <c r="K10" s="120">
        <f t="shared" si="1"/>
        <v>15097.12</v>
      </c>
      <c r="L10" s="124">
        <f t="shared" si="2"/>
        <v>74902.880000000005</v>
      </c>
      <c r="N10" s="56"/>
    </row>
    <row r="11" spans="1:14" s="42" customFormat="1" ht="33" customHeight="1" x14ac:dyDescent="0.25">
      <c r="A11" s="39">
        <v>4</v>
      </c>
      <c r="B11" s="183" t="s">
        <v>210</v>
      </c>
      <c r="C11" s="136" t="s">
        <v>442</v>
      </c>
      <c r="D11" s="183" t="s">
        <v>211</v>
      </c>
      <c r="E11" s="121" t="s">
        <v>237</v>
      </c>
      <c r="F11" s="120">
        <v>55000</v>
      </c>
      <c r="G11" s="85">
        <f t="shared" si="0"/>
        <v>1578.5</v>
      </c>
      <c r="H11" s="85">
        <f t="shared" si="3"/>
        <v>1672</v>
      </c>
      <c r="I11" s="85">
        <v>2105.94</v>
      </c>
      <c r="J11" s="86">
        <v>3049.9</v>
      </c>
      <c r="K11" s="120">
        <f t="shared" si="1"/>
        <v>8406.34</v>
      </c>
      <c r="L11" s="86">
        <f t="shared" si="2"/>
        <v>46593.66</v>
      </c>
      <c r="N11" s="56"/>
    </row>
    <row r="12" spans="1:14" s="42" customFormat="1" ht="30" customHeight="1" x14ac:dyDescent="0.25">
      <c r="A12" s="39">
        <v>5</v>
      </c>
      <c r="B12" s="121" t="s">
        <v>25</v>
      </c>
      <c r="C12" s="39" t="s">
        <v>442</v>
      </c>
      <c r="D12" s="121" t="s">
        <v>91</v>
      </c>
      <c r="E12" s="140" t="s">
        <v>125</v>
      </c>
      <c r="F12" s="123">
        <v>35000</v>
      </c>
      <c r="G12" s="123">
        <f t="shared" si="0"/>
        <v>1004.5</v>
      </c>
      <c r="H12" s="123">
        <f t="shared" si="3"/>
        <v>1064</v>
      </c>
      <c r="I12" s="123">
        <v>0</v>
      </c>
      <c r="J12" s="124">
        <f>2000+25+100</f>
        <v>2125</v>
      </c>
      <c r="K12" s="120">
        <f t="shared" si="1"/>
        <v>4193.5</v>
      </c>
      <c r="L12" s="124">
        <f t="shared" si="2"/>
        <v>30806.5</v>
      </c>
      <c r="N12" s="56"/>
    </row>
    <row r="13" spans="1:14" s="42" customFormat="1" ht="30" customHeight="1" x14ac:dyDescent="0.25">
      <c r="A13" s="136">
        <v>6</v>
      </c>
      <c r="B13" s="121" t="s">
        <v>243</v>
      </c>
      <c r="C13" s="39" t="s">
        <v>442</v>
      </c>
      <c r="D13" s="121" t="s">
        <v>91</v>
      </c>
      <c r="E13" s="140" t="s">
        <v>125</v>
      </c>
      <c r="F13" s="123">
        <v>35000</v>
      </c>
      <c r="G13" s="123">
        <f t="shared" si="0"/>
        <v>1004.5</v>
      </c>
      <c r="H13" s="123">
        <f t="shared" si="3"/>
        <v>1064</v>
      </c>
      <c r="I13" s="123"/>
      <c r="J13" s="124">
        <f>1000+25+100</f>
        <v>1125</v>
      </c>
      <c r="K13" s="120">
        <f t="shared" si="1"/>
        <v>3193.5</v>
      </c>
      <c r="L13" s="124">
        <f t="shared" si="2"/>
        <v>31806.5</v>
      </c>
      <c r="N13" s="56"/>
    </row>
    <row r="14" spans="1:14" s="42" customFormat="1" ht="30" customHeight="1" x14ac:dyDescent="0.25">
      <c r="A14" s="39">
        <v>7</v>
      </c>
      <c r="B14" s="121" t="s">
        <v>244</v>
      </c>
      <c r="C14" s="39" t="s">
        <v>442</v>
      </c>
      <c r="D14" s="121" t="s">
        <v>91</v>
      </c>
      <c r="E14" s="140" t="s">
        <v>125</v>
      </c>
      <c r="F14" s="123">
        <v>35000</v>
      </c>
      <c r="G14" s="123">
        <f t="shared" si="0"/>
        <v>1004.5</v>
      </c>
      <c r="H14" s="123">
        <f t="shared" si="3"/>
        <v>1064</v>
      </c>
      <c r="I14" s="123"/>
      <c r="J14" s="124">
        <f>100+25+8282.62</f>
        <v>8407.6200000000008</v>
      </c>
      <c r="K14" s="120">
        <f t="shared" si="1"/>
        <v>10476.120000000001</v>
      </c>
      <c r="L14" s="124">
        <f t="shared" si="2"/>
        <v>24523.879999999997</v>
      </c>
      <c r="N14" s="56"/>
    </row>
    <row r="15" spans="1:14" s="42" customFormat="1" ht="30" customHeight="1" x14ac:dyDescent="0.25">
      <c r="A15" s="136">
        <f>+A14+1</f>
        <v>8</v>
      </c>
      <c r="B15" s="126" t="s">
        <v>643</v>
      </c>
      <c r="C15" s="136" t="s">
        <v>442</v>
      </c>
      <c r="D15" s="137" t="s">
        <v>107</v>
      </c>
      <c r="E15" s="121" t="s">
        <v>124</v>
      </c>
      <c r="F15" s="120">
        <v>80000</v>
      </c>
      <c r="G15" s="120">
        <f t="shared" si="0"/>
        <v>2296</v>
      </c>
      <c r="H15" s="120">
        <f t="shared" si="3"/>
        <v>2432</v>
      </c>
      <c r="I15" s="120">
        <v>7400.64</v>
      </c>
      <c r="J15" s="125">
        <v>25</v>
      </c>
      <c r="K15" s="120">
        <f t="shared" si="1"/>
        <v>12153.64</v>
      </c>
      <c r="L15" s="124">
        <f t="shared" si="2"/>
        <v>67846.36</v>
      </c>
      <c r="N15" s="56"/>
    </row>
    <row r="16" spans="1:14" s="43" customFormat="1" ht="30" customHeight="1" x14ac:dyDescent="0.25">
      <c r="A16" s="229" t="s">
        <v>128</v>
      </c>
      <c r="B16" s="230"/>
      <c r="C16" s="230"/>
      <c r="D16" s="230"/>
      <c r="E16" s="230"/>
      <c r="F16" s="40">
        <f t="shared" ref="F16:L16" si="4">SUM(F8:F15)</f>
        <v>715000</v>
      </c>
      <c r="G16" s="40">
        <f t="shared" si="4"/>
        <v>20520.5</v>
      </c>
      <c r="H16" s="40">
        <f t="shared" si="4"/>
        <v>19231.8</v>
      </c>
      <c r="I16" s="40">
        <f t="shared" si="4"/>
        <v>87613.11</v>
      </c>
      <c r="J16" s="40">
        <f t="shared" si="4"/>
        <v>14807.52</v>
      </c>
      <c r="K16" s="40">
        <f t="shared" si="4"/>
        <v>142172.93</v>
      </c>
      <c r="L16" s="40">
        <f t="shared" si="4"/>
        <v>572827.07000000007</v>
      </c>
      <c r="N16" s="94"/>
    </row>
    <row r="17" spans="1:14" s="34" customFormat="1" ht="22.5" customHeight="1" thickBot="1" x14ac:dyDescent="0.3">
      <c r="A17" s="44"/>
      <c r="B17" s="45"/>
      <c r="C17" s="47"/>
      <c r="D17" s="46"/>
      <c r="E17" s="46"/>
      <c r="F17" s="42"/>
      <c r="G17" s="42"/>
      <c r="H17" s="42"/>
      <c r="I17" s="42"/>
      <c r="J17" s="42"/>
      <c r="K17" s="42"/>
      <c r="L17" s="42"/>
      <c r="M17" s="138"/>
    </row>
    <row r="18" spans="1:14" s="77" customFormat="1" ht="28.5" customHeight="1" thickBot="1" x14ac:dyDescent="0.3">
      <c r="A18" s="232" t="s">
        <v>158</v>
      </c>
      <c r="B18" s="233"/>
      <c r="C18" s="233"/>
      <c r="D18" s="233"/>
      <c r="E18" s="233"/>
      <c r="F18" s="233"/>
      <c r="G18" s="233"/>
      <c r="H18" s="233"/>
      <c r="I18" s="233"/>
      <c r="J18" s="233"/>
      <c r="K18" s="233"/>
      <c r="L18" s="234"/>
      <c r="N18" s="33"/>
    </row>
    <row r="19" spans="1:14" s="42" customFormat="1" ht="30" customHeight="1" x14ac:dyDescent="0.25">
      <c r="A19" s="136">
        <f>+A15+1</f>
        <v>9</v>
      </c>
      <c r="B19" s="126" t="s">
        <v>188</v>
      </c>
      <c r="C19" s="136" t="s">
        <v>442</v>
      </c>
      <c r="D19" s="137" t="s">
        <v>109</v>
      </c>
      <c r="E19" s="121" t="s">
        <v>125</v>
      </c>
      <c r="F19" s="120">
        <v>200000</v>
      </c>
      <c r="G19" s="120">
        <f>F19*2.87%</f>
        <v>5740</v>
      </c>
      <c r="H19" s="120">
        <v>4943.8</v>
      </c>
      <c r="I19" s="120">
        <v>35155.760000000002</v>
      </c>
      <c r="J19" s="125">
        <v>3049.9</v>
      </c>
      <c r="K19" s="120">
        <f>SUM(G19:J19)</f>
        <v>48889.46</v>
      </c>
      <c r="L19" s="124">
        <f>+F19-K19</f>
        <v>151110.54</v>
      </c>
      <c r="N19" s="56"/>
    </row>
    <row r="20" spans="1:14" s="43" customFormat="1" ht="30" customHeight="1" x14ac:dyDescent="0.25">
      <c r="A20" s="229" t="s">
        <v>128</v>
      </c>
      <c r="B20" s="230"/>
      <c r="C20" s="230"/>
      <c r="D20" s="230"/>
      <c r="E20" s="230"/>
      <c r="F20" s="40">
        <f t="shared" ref="F20:L20" si="5">SUM(F19:F19)</f>
        <v>200000</v>
      </c>
      <c r="G20" s="40">
        <f t="shared" si="5"/>
        <v>5740</v>
      </c>
      <c r="H20" s="40">
        <f t="shared" si="5"/>
        <v>4943.8</v>
      </c>
      <c r="I20" s="40">
        <f t="shared" si="5"/>
        <v>35155.760000000002</v>
      </c>
      <c r="J20" s="40">
        <f t="shared" si="5"/>
        <v>3049.9</v>
      </c>
      <c r="K20" s="40">
        <f t="shared" si="5"/>
        <v>48889.46</v>
      </c>
      <c r="L20" s="40">
        <f t="shared" si="5"/>
        <v>151110.54</v>
      </c>
      <c r="N20" s="94"/>
    </row>
    <row r="21" spans="1:14" s="34" customFormat="1" ht="15" customHeight="1" thickBot="1" x14ac:dyDescent="0.3">
      <c r="A21" s="44"/>
      <c r="B21" s="45"/>
      <c r="C21" s="47"/>
      <c r="D21" s="46"/>
      <c r="E21" s="46"/>
      <c r="F21" s="42"/>
      <c r="G21" s="42"/>
      <c r="H21" s="42"/>
      <c r="I21" s="42"/>
      <c r="J21" s="42"/>
      <c r="K21" s="42"/>
      <c r="L21" s="42"/>
      <c r="M21" s="138"/>
    </row>
    <row r="22" spans="1:14" s="33" customFormat="1" ht="30" customHeight="1" thickBot="1" x14ac:dyDescent="0.3">
      <c r="A22" s="232" t="s">
        <v>184</v>
      </c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4"/>
      <c r="M22" s="77"/>
    </row>
    <row r="23" spans="1:14" s="43" customFormat="1" ht="30" customHeight="1" x14ac:dyDescent="0.25">
      <c r="A23" s="39">
        <f>A19+1</f>
        <v>10</v>
      </c>
      <c r="B23" s="121" t="s">
        <v>143</v>
      </c>
      <c r="C23" s="39" t="s">
        <v>442</v>
      </c>
      <c r="D23" s="122" t="s">
        <v>487</v>
      </c>
      <c r="E23" s="121" t="s">
        <v>124</v>
      </c>
      <c r="F23" s="123">
        <v>170500</v>
      </c>
      <c r="G23" s="123">
        <f>F23*2.87%</f>
        <v>4893.3500000000004</v>
      </c>
      <c r="H23" s="120">
        <v>4943.8</v>
      </c>
      <c r="I23" s="123">
        <v>28748.58</v>
      </c>
      <c r="J23" s="125">
        <v>7527.87</v>
      </c>
      <c r="K23" s="120">
        <f>SUM(G23:J23)</f>
        <v>46113.600000000006</v>
      </c>
      <c r="L23" s="124">
        <f>+F23-K23</f>
        <v>124386.4</v>
      </c>
      <c r="N23" s="94"/>
    </row>
    <row r="24" spans="1:14" s="43" customFormat="1" ht="22.5" customHeight="1" x14ac:dyDescent="0.25">
      <c r="A24" s="229" t="s">
        <v>128</v>
      </c>
      <c r="B24" s="230"/>
      <c r="C24" s="230"/>
      <c r="D24" s="230"/>
      <c r="E24" s="230"/>
      <c r="F24" s="40">
        <f>SUM(F23)</f>
        <v>170500</v>
      </c>
      <c r="G24" s="40">
        <f t="shared" ref="G24:L24" si="6">SUM(G23)</f>
        <v>4893.3500000000004</v>
      </c>
      <c r="H24" s="40">
        <f t="shared" si="6"/>
        <v>4943.8</v>
      </c>
      <c r="I24" s="40">
        <f t="shared" si="6"/>
        <v>28748.58</v>
      </c>
      <c r="J24" s="40">
        <f t="shared" si="6"/>
        <v>7527.87</v>
      </c>
      <c r="K24" s="40">
        <f t="shared" si="6"/>
        <v>46113.600000000006</v>
      </c>
      <c r="L24" s="40">
        <f t="shared" si="6"/>
        <v>124386.4</v>
      </c>
      <c r="N24" s="94"/>
    </row>
    <row r="25" spans="1:14" s="34" customFormat="1" ht="18" customHeight="1" thickBot="1" x14ac:dyDescent="0.3">
      <c r="A25" s="44"/>
      <c r="B25" s="45"/>
      <c r="C25" s="47"/>
      <c r="D25" s="46"/>
      <c r="E25" s="46"/>
      <c r="F25" s="42"/>
      <c r="G25" s="42"/>
      <c r="H25" s="42"/>
      <c r="I25" s="42"/>
      <c r="J25" s="42"/>
      <c r="K25" s="42"/>
      <c r="L25" s="42"/>
      <c r="M25" s="138"/>
    </row>
    <row r="26" spans="1:14" s="77" customFormat="1" ht="30" customHeight="1" thickBot="1" x14ac:dyDescent="0.3">
      <c r="A26" s="232" t="s">
        <v>159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4"/>
      <c r="N26" s="33"/>
    </row>
    <row r="27" spans="1:14" s="42" customFormat="1" ht="46.5" customHeight="1" x14ac:dyDescent="0.25">
      <c r="A27" s="88">
        <f>+A23+1</f>
        <v>11</v>
      </c>
      <c r="B27" s="121" t="s">
        <v>259</v>
      </c>
      <c r="C27" s="39" t="s">
        <v>442</v>
      </c>
      <c r="D27" s="122" t="s">
        <v>52</v>
      </c>
      <c r="E27" s="121" t="s">
        <v>125</v>
      </c>
      <c r="F27" s="123">
        <v>104000</v>
      </c>
      <c r="G27" s="90">
        <f>F27*2.87%</f>
        <v>2984.8</v>
      </c>
      <c r="H27" s="90">
        <f>+F27*3.04%</f>
        <v>3161.6</v>
      </c>
      <c r="I27" s="90">
        <v>12290.11</v>
      </c>
      <c r="J27" s="92">
        <v>13871.03</v>
      </c>
      <c r="K27" s="85">
        <f>SUM(G27:J27)</f>
        <v>32307.54</v>
      </c>
      <c r="L27" s="86">
        <f>+F27-K27</f>
        <v>71692.459999999992</v>
      </c>
      <c r="N27" s="56"/>
    </row>
    <row r="28" spans="1:14" s="138" customFormat="1" ht="30" customHeight="1" x14ac:dyDescent="0.25">
      <c r="A28" s="136">
        <f>+A27+1</f>
        <v>12</v>
      </c>
      <c r="B28" s="121" t="s">
        <v>69</v>
      </c>
      <c r="C28" s="136" t="s">
        <v>442</v>
      </c>
      <c r="D28" s="121" t="s">
        <v>52</v>
      </c>
      <c r="E28" s="121" t="s">
        <v>124</v>
      </c>
      <c r="F28" s="123">
        <v>90000</v>
      </c>
      <c r="G28" s="123">
        <f>F28*2.87%</f>
        <v>2583</v>
      </c>
      <c r="H28" s="123">
        <f>+F28*3.04%</f>
        <v>2736</v>
      </c>
      <c r="I28" s="123">
        <v>9753.19</v>
      </c>
      <c r="J28" s="125">
        <v>125</v>
      </c>
      <c r="K28" s="120">
        <f>SUM(G28:J28)</f>
        <v>15197.19</v>
      </c>
      <c r="L28" s="124">
        <f>+F28-K28</f>
        <v>74802.81</v>
      </c>
      <c r="N28" s="34"/>
    </row>
    <row r="29" spans="1:14" s="50" customFormat="1" ht="30" customHeight="1" x14ac:dyDescent="0.25">
      <c r="A29" s="136">
        <f>+A28+1</f>
        <v>13</v>
      </c>
      <c r="B29" s="121" t="s">
        <v>59</v>
      </c>
      <c r="C29" s="136" t="s">
        <v>442</v>
      </c>
      <c r="D29" s="122" t="s">
        <v>52</v>
      </c>
      <c r="E29" s="121" t="s">
        <v>124</v>
      </c>
      <c r="F29" s="123">
        <v>80000</v>
      </c>
      <c r="G29" s="123">
        <f>F29*2.87%</f>
        <v>2296</v>
      </c>
      <c r="H29" s="123">
        <f>+F29*3.04%</f>
        <v>2432</v>
      </c>
      <c r="I29" s="123">
        <v>7400.94</v>
      </c>
      <c r="J29" s="125">
        <v>4468.07</v>
      </c>
      <c r="K29" s="120">
        <f>SUM(G29:J29)</f>
        <v>16597.009999999998</v>
      </c>
      <c r="L29" s="124">
        <f>+F29-K29</f>
        <v>63402.990000000005</v>
      </c>
      <c r="N29" s="95"/>
    </row>
    <row r="30" spans="1:14" s="42" customFormat="1" ht="27" customHeight="1" x14ac:dyDescent="0.25">
      <c r="A30" s="229" t="s">
        <v>128</v>
      </c>
      <c r="B30" s="230"/>
      <c r="C30" s="230"/>
      <c r="D30" s="230"/>
      <c r="E30" s="231"/>
      <c r="F30" s="40">
        <f>SUM(F27:F29)</f>
        <v>274000</v>
      </c>
      <c r="G30" s="40">
        <f t="shared" ref="G30:L30" si="7">SUM(G27:G29)</f>
        <v>7863.8</v>
      </c>
      <c r="H30" s="40">
        <f t="shared" si="7"/>
        <v>8329.6</v>
      </c>
      <c r="I30" s="40">
        <f t="shared" si="7"/>
        <v>29444.240000000002</v>
      </c>
      <c r="J30" s="40">
        <f t="shared" si="7"/>
        <v>18464.099999999999</v>
      </c>
      <c r="K30" s="40">
        <f t="shared" si="7"/>
        <v>64101.740000000005</v>
      </c>
      <c r="L30" s="40">
        <f t="shared" si="7"/>
        <v>209898.26</v>
      </c>
      <c r="N30" s="56"/>
    </row>
    <row r="31" spans="1:14" s="42" customFormat="1" ht="13.5" customHeight="1" thickBot="1" x14ac:dyDescent="0.3">
      <c r="A31" s="53"/>
      <c r="B31" s="53"/>
      <c r="C31" s="53"/>
      <c r="D31" s="53"/>
      <c r="E31" s="53"/>
      <c r="F31" s="43"/>
      <c r="G31" s="43"/>
      <c r="H31" s="43"/>
      <c r="I31" s="43"/>
      <c r="J31" s="43"/>
      <c r="K31" s="43"/>
      <c r="L31" s="43"/>
      <c r="N31" s="56"/>
    </row>
    <row r="32" spans="1:14" s="35" customFormat="1" ht="30" customHeight="1" thickBot="1" x14ac:dyDescent="0.3">
      <c r="A32" s="232" t="s">
        <v>160</v>
      </c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4"/>
      <c r="N32" s="87"/>
    </row>
    <row r="33" spans="1:14" s="42" customFormat="1" ht="32.25" customHeight="1" x14ac:dyDescent="0.25">
      <c r="A33" s="136">
        <f>+A29+1</f>
        <v>14</v>
      </c>
      <c r="B33" s="126" t="s">
        <v>247</v>
      </c>
      <c r="C33" s="136" t="s">
        <v>442</v>
      </c>
      <c r="D33" s="163" t="s">
        <v>185</v>
      </c>
      <c r="E33" s="121" t="s">
        <v>125</v>
      </c>
      <c r="F33" s="120">
        <v>155000</v>
      </c>
      <c r="G33" s="123">
        <f>F33*2.87%</f>
        <v>4448.5</v>
      </c>
      <c r="H33" s="123">
        <f>F33*3.04%</f>
        <v>4712</v>
      </c>
      <c r="I33" s="120">
        <v>25042.81</v>
      </c>
      <c r="J33" s="125">
        <v>5818.55</v>
      </c>
      <c r="K33" s="120">
        <f>SUM(G33:J33)</f>
        <v>40021.86</v>
      </c>
      <c r="L33" s="124">
        <f>+F33-K33</f>
        <v>114978.14</v>
      </c>
      <c r="N33" s="56"/>
    </row>
    <row r="34" spans="1:14" s="138" customFormat="1" ht="30" customHeight="1" x14ac:dyDescent="0.25">
      <c r="A34" s="136">
        <f>+A33+1</f>
        <v>15</v>
      </c>
      <c r="B34" s="121" t="s">
        <v>55</v>
      </c>
      <c r="C34" s="136" t="s">
        <v>442</v>
      </c>
      <c r="D34" s="121" t="s">
        <v>52</v>
      </c>
      <c r="E34" s="121" t="s">
        <v>125</v>
      </c>
      <c r="F34" s="123">
        <v>100000</v>
      </c>
      <c r="G34" s="123">
        <f>F34*2.87%</f>
        <v>2870</v>
      </c>
      <c r="H34" s="123">
        <f>+F34*3.04%</f>
        <v>3040</v>
      </c>
      <c r="I34" s="123">
        <v>12105.37</v>
      </c>
      <c r="J34" s="125">
        <v>25</v>
      </c>
      <c r="K34" s="120">
        <f>SUM(G34:J34)</f>
        <v>18040.370000000003</v>
      </c>
      <c r="L34" s="124">
        <f>+F34-K34</f>
        <v>81959.63</v>
      </c>
      <c r="N34" s="34"/>
    </row>
    <row r="35" spans="1:14" s="50" customFormat="1" ht="30" customHeight="1" x14ac:dyDescent="0.25">
      <c r="A35" s="136">
        <f>+A34+1</f>
        <v>16</v>
      </c>
      <c r="B35" s="121" t="s">
        <v>248</v>
      </c>
      <c r="C35" s="136" t="s">
        <v>442</v>
      </c>
      <c r="D35" s="122" t="s">
        <v>52</v>
      </c>
      <c r="E35" s="121" t="s">
        <v>124</v>
      </c>
      <c r="F35" s="123">
        <v>80000</v>
      </c>
      <c r="G35" s="123">
        <f>F35*2.87%</f>
        <v>2296</v>
      </c>
      <c r="H35" s="123">
        <f>+F35*3.04%</f>
        <v>2432</v>
      </c>
      <c r="I35" s="123">
        <v>7400.87</v>
      </c>
      <c r="J35" s="125">
        <v>125</v>
      </c>
      <c r="K35" s="120">
        <f>SUM(G35:J35)</f>
        <v>12253.869999999999</v>
      </c>
      <c r="L35" s="124">
        <f>+F35-K35</f>
        <v>67746.13</v>
      </c>
      <c r="N35" s="95"/>
    </row>
    <row r="36" spans="1:14" s="50" customFormat="1" ht="30" customHeight="1" x14ac:dyDescent="0.25">
      <c r="A36" s="136">
        <f>+A35+1</f>
        <v>17</v>
      </c>
      <c r="B36" s="169" t="s">
        <v>486</v>
      </c>
      <c r="C36" s="39" t="s">
        <v>441</v>
      </c>
      <c r="D36" s="140" t="s">
        <v>151</v>
      </c>
      <c r="E36" s="121" t="s">
        <v>124</v>
      </c>
      <c r="F36" s="123">
        <v>70000</v>
      </c>
      <c r="G36" s="123">
        <f>F36*2.87%</f>
        <v>2009</v>
      </c>
      <c r="H36" s="123">
        <f>+F36*3.04%</f>
        <v>2128</v>
      </c>
      <c r="I36" s="123">
        <v>5368.45</v>
      </c>
      <c r="J36" s="125">
        <v>525</v>
      </c>
      <c r="K36" s="120">
        <f>SUM(G36:J36)</f>
        <v>10030.450000000001</v>
      </c>
      <c r="L36" s="124">
        <f>F36-K36</f>
        <v>59969.55</v>
      </c>
      <c r="N36" s="95"/>
    </row>
    <row r="37" spans="1:14" s="42" customFormat="1" ht="30" customHeight="1" thickBot="1" x14ac:dyDescent="0.3">
      <c r="A37" s="229" t="s">
        <v>128</v>
      </c>
      <c r="B37" s="230"/>
      <c r="C37" s="230"/>
      <c r="D37" s="230"/>
      <c r="E37" s="231"/>
      <c r="F37" s="40">
        <f>SUM(F33:F36)</f>
        <v>405000</v>
      </c>
      <c r="G37" s="40">
        <f t="shared" ref="G37:L37" si="8">SUM(G33:G36)</f>
        <v>11623.5</v>
      </c>
      <c r="H37" s="40">
        <f t="shared" si="8"/>
        <v>12312</v>
      </c>
      <c r="I37" s="40">
        <f t="shared" si="8"/>
        <v>49917.5</v>
      </c>
      <c r="J37" s="40">
        <f t="shared" si="8"/>
        <v>6493.55</v>
      </c>
      <c r="K37" s="40">
        <f t="shared" si="8"/>
        <v>80346.55</v>
      </c>
      <c r="L37" s="40">
        <f t="shared" si="8"/>
        <v>324653.45</v>
      </c>
      <c r="N37" s="56"/>
    </row>
    <row r="38" spans="1:14" s="35" customFormat="1" ht="24" customHeight="1" thickBot="1" x14ac:dyDescent="0.3">
      <c r="A38" s="232" t="s">
        <v>161</v>
      </c>
      <c r="B38" s="233"/>
      <c r="C38" s="233"/>
      <c r="D38" s="233"/>
      <c r="E38" s="233"/>
      <c r="F38" s="233"/>
      <c r="G38" s="233"/>
      <c r="H38" s="233"/>
      <c r="I38" s="233"/>
      <c r="J38" s="233"/>
      <c r="K38" s="233"/>
      <c r="L38" s="234"/>
      <c r="N38" s="87"/>
    </row>
    <row r="39" spans="1:14" s="94" customFormat="1" ht="30" customHeight="1" x14ac:dyDescent="0.25">
      <c r="A39" s="83">
        <f>A36+1</f>
        <v>18</v>
      </c>
      <c r="B39" s="84" t="s">
        <v>262</v>
      </c>
      <c r="C39" s="83" t="s">
        <v>442</v>
      </c>
      <c r="D39" s="91" t="s">
        <v>192</v>
      </c>
      <c r="E39" s="89" t="s">
        <v>125</v>
      </c>
      <c r="F39" s="85">
        <v>130000</v>
      </c>
      <c r="G39" s="90">
        <v>3731</v>
      </c>
      <c r="H39" s="90">
        <v>3952</v>
      </c>
      <c r="I39" s="90">
        <v>18784.07479166667</v>
      </c>
      <c r="J39" s="92">
        <v>1537.45</v>
      </c>
      <c r="K39" s="85">
        <f>SUM(G39:J39)</f>
        <v>28004.52479166667</v>
      </c>
      <c r="L39" s="86">
        <f>+F39-K39</f>
        <v>101995.47520833333</v>
      </c>
      <c r="M39" s="43"/>
    </row>
    <row r="40" spans="1:14" s="94" customFormat="1" ht="30" customHeight="1" x14ac:dyDescent="0.25">
      <c r="A40" s="83">
        <f>A39+1</f>
        <v>19</v>
      </c>
      <c r="B40" s="121" t="s">
        <v>50</v>
      </c>
      <c r="C40" s="39" t="s">
        <v>442</v>
      </c>
      <c r="D40" s="121" t="s">
        <v>52</v>
      </c>
      <c r="E40" s="121" t="s">
        <v>125</v>
      </c>
      <c r="F40" s="123">
        <v>90000</v>
      </c>
      <c r="G40" s="123">
        <f>F40*2.87%</f>
        <v>2583</v>
      </c>
      <c r="H40" s="90">
        <f>+F40*3.04%</f>
        <v>2736</v>
      </c>
      <c r="I40" s="123">
        <v>9753.1200000000008</v>
      </c>
      <c r="J40" s="92">
        <f>100+25+2146.02</f>
        <v>2271.02</v>
      </c>
      <c r="K40" s="85">
        <f>SUM(G40:J40)</f>
        <v>17343.14</v>
      </c>
      <c r="L40" s="86">
        <f>+F40-K40</f>
        <v>72656.86</v>
      </c>
      <c r="M40" s="43"/>
    </row>
    <row r="41" spans="1:14" s="56" customFormat="1" ht="30" customHeight="1" x14ac:dyDescent="0.25">
      <c r="A41" s="83">
        <f>A40+1</f>
        <v>20</v>
      </c>
      <c r="B41" s="121" t="s">
        <v>249</v>
      </c>
      <c r="C41" s="39" t="s">
        <v>442</v>
      </c>
      <c r="D41" s="122" t="s">
        <v>52</v>
      </c>
      <c r="E41" s="121" t="s">
        <v>124</v>
      </c>
      <c r="F41" s="123">
        <v>90000</v>
      </c>
      <c r="G41" s="120">
        <f>F41*2.87%</f>
        <v>2583</v>
      </c>
      <c r="H41" s="85">
        <f>+F41*3.04%</f>
        <v>2736</v>
      </c>
      <c r="I41" s="123">
        <v>9375.0747916666678</v>
      </c>
      <c r="J41" s="92">
        <f>8536.6+25+100+1512.45</f>
        <v>10174.050000000001</v>
      </c>
      <c r="K41" s="85">
        <f>SUM(G41:J41)</f>
        <v>24868.124791666669</v>
      </c>
      <c r="L41" s="86">
        <f>+F41-K41</f>
        <v>65131.875208333331</v>
      </c>
      <c r="M41" s="42"/>
    </row>
    <row r="42" spans="1:14" s="42" customFormat="1" ht="30" customHeight="1" x14ac:dyDescent="0.25">
      <c r="A42" s="83">
        <f t="shared" ref="A42" si="9">A41+1</f>
        <v>21</v>
      </c>
      <c r="B42" s="121" t="s">
        <v>250</v>
      </c>
      <c r="C42" s="39" t="s">
        <v>442</v>
      </c>
      <c r="D42" s="122" t="s">
        <v>52</v>
      </c>
      <c r="E42" s="121" t="s">
        <v>125</v>
      </c>
      <c r="F42" s="123">
        <v>90000</v>
      </c>
      <c r="G42" s="123">
        <f>F42*2.87%</f>
        <v>2583</v>
      </c>
      <c r="H42" s="90">
        <f>+F42*3.04%</f>
        <v>2736</v>
      </c>
      <c r="I42" s="123">
        <v>9753.1200000000008</v>
      </c>
      <c r="J42" s="92">
        <v>6944.51</v>
      </c>
      <c r="K42" s="85">
        <f>SUM(G42:J42)</f>
        <v>22016.63</v>
      </c>
      <c r="L42" s="86">
        <f>+F42-K42</f>
        <v>67983.37</v>
      </c>
      <c r="N42" s="56"/>
    </row>
    <row r="43" spans="1:14" s="42" customFormat="1" ht="30" customHeight="1" x14ac:dyDescent="0.25">
      <c r="A43" s="83">
        <f>A42+1</f>
        <v>22</v>
      </c>
      <c r="B43" s="126" t="s">
        <v>251</v>
      </c>
      <c r="C43" s="39" t="s">
        <v>442</v>
      </c>
      <c r="D43" s="126" t="s">
        <v>52</v>
      </c>
      <c r="E43" s="126" t="s">
        <v>125</v>
      </c>
      <c r="F43" s="120">
        <v>80000</v>
      </c>
      <c r="G43" s="120">
        <f>F43*2.87%</f>
        <v>2296</v>
      </c>
      <c r="H43" s="85">
        <f>+F43*3.04%</f>
        <v>2432</v>
      </c>
      <c r="I43" s="123">
        <v>7022.82</v>
      </c>
      <c r="J43" s="86">
        <f>1512.45+11625.55+25+100</f>
        <v>13263</v>
      </c>
      <c r="K43" s="85">
        <f>SUM(G43:J43)</f>
        <v>25013.82</v>
      </c>
      <c r="L43" s="86">
        <f>+F43-K43</f>
        <v>54986.18</v>
      </c>
      <c r="N43" s="56"/>
    </row>
    <row r="44" spans="1:14" s="42" customFormat="1" ht="30" customHeight="1" x14ac:dyDescent="0.25">
      <c r="A44" s="229" t="s">
        <v>128</v>
      </c>
      <c r="B44" s="230"/>
      <c r="C44" s="230"/>
      <c r="D44" s="230"/>
      <c r="E44" s="231"/>
      <c r="F44" s="40">
        <f t="shared" ref="F44:L44" si="10">SUM(F39:F43)</f>
        <v>480000</v>
      </c>
      <c r="G44" s="40">
        <f t="shared" si="10"/>
        <v>13776</v>
      </c>
      <c r="H44" s="40">
        <f t="shared" si="10"/>
        <v>14592</v>
      </c>
      <c r="I44" s="40">
        <f t="shared" si="10"/>
        <v>54688.209583333337</v>
      </c>
      <c r="J44" s="40">
        <f t="shared" si="10"/>
        <v>34190.03</v>
      </c>
      <c r="K44" s="40">
        <f t="shared" si="10"/>
        <v>117246.23958333334</v>
      </c>
      <c r="L44" s="40">
        <f t="shared" si="10"/>
        <v>362753.76041666669</v>
      </c>
      <c r="N44" s="56"/>
    </row>
    <row r="45" spans="1:14" s="42" customFormat="1" ht="30" customHeight="1" thickBot="1" x14ac:dyDescent="0.3">
      <c r="A45"/>
      <c r="B45"/>
      <c r="C45" s="152"/>
      <c r="D45"/>
      <c r="E45"/>
      <c r="F45"/>
      <c r="G45"/>
      <c r="H45"/>
      <c r="I45"/>
      <c r="J45"/>
      <c r="K45"/>
      <c r="L45"/>
      <c r="N45" s="56"/>
    </row>
    <row r="46" spans="1:14" s="94" customFormat="1" ht="30" customHeight="1" thickBot="1" x14ac:dyDescent="0.3">
      <c r="A46" s="232" t="s">
        <v>488</v>
      </c>
      <c r="B46" s="233"/>
      <c r="C46" s="233"/>
      <c r="D46" s="233"/>
      <c r="E46" s="233"/>
      <c r="F46" s="233"/>
      <c r="G46" s="233"/>
      <c r="H46" s="233"/>
      <c r="I46" s="233"/>
      <c r="J46" s="233"/>
      <c r="K46" s="233"/>
      <c r="L46" s="234"/>
      <c r="M46" s="43"/>
    </row>
    <row r="47" spans="1:14" s="94" customFormat="1" ht="30" customHeight="1" x14ac:dyDescent="0.25">
      <c r="A47" s="83">
        <f>+A43+1</f>
        <v>23</v>
      </c>
      <c r="B47" s="84" t="s">
        <v>58</v>
      </c>
      <c r="C47" s="83" t="s">
        <v>442</v>
      </c>
      <c r="D47" s="91" t="s">
        <v>186</v>
      </c>
      <c r="E47" s="89" t="s">
        <v>125</v>
      </c>
      <c r="F47" s="85">
        <v>126500</v>
      </c>
      <c r="G47" s="85">
        <v>3630.55</v>
      </c>
      <c r="H47" s="85">
        <v>3845.6</v>
      </c>
      <c r="I47" s="120">
        <v>17960.787291666664</v>
      </c>
      <c r="J47" s="92">
        <v>1637.45</v>
      </c>
      <c r="K47" s="85">
        <f>SUM(G47:J47)</f>
        <v>27074.387291666662</v>
      </c>
      <c r="L47" s="124">
        <f>+F47-K47</f>
        <v>99425.612708333341</v>
      </c>
      <c r="M47" s="43"/>
    </row>
    <row r="48" spans="1:14" s="42" customFormat="1" ht="30" customHeight="1" x14ac:dyDescent="0.25">
      <c r="A48" s="88">
        <f>+A47+1</f>
        <v>24</v>
      </c>
      <c r="B48" s="121" t="s">
        <v>187</v>
      </c>
      <c r="C48" s="39" t="s">
        <v>442</v>
      </c>
      <c r="D48" s="122" t="s">
        <v>97</v>
      </c>
      <c r="E48" s="121" t="s">
        <v>125</v>
      </c>
      <c r="F48" s="123">
        <v>60000</v>
      </c>
      <c r="G48" s="90">
        <f>F48*2.87%</f>
        <v>1722</v>
      </c>
      <c r="H48" s="90">
        <f>+F48*3.04%</f>
        <v>1824</v>
      </c>
      <c r="I48" s="90">
        <v>3184.159833333335</v>
      </c>
      <c r="J48" s="92">
        <v>1637.45</v>
      </c>
      <c r="K48" s="85">
        <f>SUM(G48:J48)</f>
        <v>8367.6098333333357</v>
      </c>
      <c r="L48" s="86">
        <f>+F48-K48</f>
        <v>51632.390166666664</v>
      </c>
      <c r="N48" s="56"/>
    </row>
    <row r="49" spans="1:14" s="42" customFormat="1" ht="30" customHeight="1" x14ac:dyDescent="0.25">
      <c r="A49" s="229" t="s">
        <v>128</v>
      </c>
      <c r="B49" s="230"/>
      <c r="C49" s="230"/>
      <c r="D49" s="230"/>
      <c r="E49" s="231"/>
      <c r="F49" s="40">
        <f t="shared" ref="F49:L49" si="11">SUM(F47:F48)</f>
        <v>186500</v>
      </c>
      <c r="G49" s="40">
        <f t="shared" si="11"/>
        <v>5352.55</v>
      </c>
      <c r="H49" s="40">
        <f t="shared" si="11"/>
        <v>5669.6</v>
      </c>
      <c r="I49" s="40">
        <f t="shared" si="11"/>
        <v>21144.947124999999</v>
      </c>
      <c r="J49" s="40">
        <f t="shared" si="11"/>
        <v>3274.9</v>
      </c>
      <c r="K49" s="40">
        <f t="shared" si="11"/>
        <v>35441.997124999994</v>
      </c>
      <c r="L49" s="40">
        <f t="shared" si="11"/>
        <v>151058.00287500001</v>
      </c>
      <c r="N49" s="56"/>
    </row>
    <row r="50" spans="1:14" s="42" customFormat="1" ht="30" customHeight="1" thickBot="1" x14ac:dyDescent="0.3">
      <c r="A50" s="53"/>
      <c r="B50" s="53"/>
      <c r="C50" s="53"/>
      <c r="D50" s="53"/>
      <c r="E50" s="53"/>
      <c r="F50"/>
      <c r="G50"/>
      <c r="H50"/>
      <c r="I50"/>
      <c r="J50"/>
      <c r="K50"/>
      <c r="L50"/>
      <c r="N50" s="56"/>
    </row>
    <row r="51" spans="1:14" s="56" customFormat="1" ht="30" customHeight="1" thickBot="1" x14ac:dyDescent="0.3">
      <c r="A51" s="235" t="s">
        <v>162</v>
      </c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7"/>
      <c r="M51" s="42"/>
    </row>
    <row r="52" spans="1:14" s="56" customFormat="1" ht="30" customHeight="1" x14ac:dyDescent="0.25">
      <c r="A52" s="88">
        <f>+A48+1</f>
        <v>25</v>
      </c>
      <c r="B52" s="121" t="s">
        <v>253</v>
      </c>
      <c r="C52" s="39" t="s">
        <v>442</v>
      </c>
      <c r="D52" s="122" t="s">
        <v>52</v>
      </c>
      <c r="E52" s="121" t="s">
        <v>125</v>
      </c>
      <c r="F52" s="123">
        <v>104000</v>
      </c>
      <c r="G52" s="90">
        <f>F52*2.87%</f>
        <v>2984.8</v>
      </c>
      <c r="H52" s="90">
        <f>+F52*3.04%</f>
        <v>3161.6</v>
      </c>
      <c r="I52" s="90">
        <v>12668.224791666662</v>
      </c>
      <c r="J52" s="92">
        <v>6018.19</v>
      </c>
      <c r="K52" s="85">
        <f>SUM(G52:J52)</f>
        <v>24832.81479166666</v>
      </c>
      <c r="L52" s="86">
        <f>+F52-K52</f>
        <v>79167.185208333336</v>
      </c>
      <c r="M52" s="42"/>
    </row>
    <row r="53" spans="1:14" s="34" customFormat="1" ht="30" customHeight="1" x14ac:dyDescent="0.25">
      <c r="A53" s="88">
        <f>+A52+1</f>
        <v>26</v>
      </c>
      <c r="B53" s="121" t="s">
        <v>254</v>
      </c>
      <c r="C53" s="39" t="s">
        <v>442</v>
      </c>
      <c r="D53" s="122" t="s">
        <v>52</v>
      </c>
      <c r="E53" s="121" t="s">
        <v>125</v>
      </c>
      <c r="F53" s="123">
        <v>95000</v>
      </c>
      <c r="G53" s="90">
        <f>F53*2.87%</f>
        <v>2726.5</v>
      </c>
      <c r="H53" s="90">
        <f>+F53*3.04%</f>
        <v>2888</v>
      </c>
      <c r="I53" s="90">
        <v>10929.24</v>
      </c>
      <c r="J53" s="92">
        <v>7125</v>
      </c>
      <c r="K53" s="85">
        <f>SUM(G53:J53)</f>
        <v>23668.739999999998</v>
      </c>
      <c r="L53" s="86">
        <f>+F53-K53</f>
        <v>71331.260000000009</v>
      </c>
      <c r="M53" s="138"/>
    </row>
    <row r="54" spans="1:14" s="56" customFormat="1" ht="30" customHeight="1" x14ac:dyDescent="0.25">
      <c r="A54" s="83">
        <f>+A53+1</f>
        <v>27</v>
      </c>
      <c r="B54" s="121" t="s">
        <v>51</v>
      </c>
      <c r="C54" s="39" t="s">
        <v>442</v>
      </c>
      <c r="D54" s="121" t="s">
        <v>52</v>
      </c>
      <c r="E54" s="121" t="s">
        <v>124</v>
      </c>
      <c r="F54" s="123">
        <v>90000</v>
      </c>
      <c r="G54" s="90">
        <f>F54*2.87%</f>
        <v>2583</v>
      </c>
      <c r="H54" s="90">
        <f>+F54*3.04%</f>
        <v>2736</v>
      </c>
      <c r="I54" s="90">
        <v>9753.1200000000008</v>
      </c>
      <c r="J54" s="92">
        <v>25</v>
      </c>
      <c r="K54" s="85">
        <f>SUM(G54:J54)</f>
        <v>15097.12</v>
      </c>
      <c r="L54" s="86">
        <f>+F54-K54</f>
        <v>74902.880000000005</v>
      </c>
      <c r="M54" s="42"/>
    </row>
    <row r="55" spans="1:14" s="42" customFormat="1" ht="30" customHeight="1" x14ac:dyDescent="0.25">
      <c r="A55" s="88">
        <f>+A54+1</f>
        <v>28</v>
      </c>
      <c r="B55" s="121" t="s">
        <v>255</v>
      </c>
      <c r="C55" s="39" t="s">
        <v>442</v>
      </c>
      <c r="D55" s="122" t="s">
        <v>52</v>
      </c>
      <c r="E55" s="121" t="s">
        <v>124</v>
      </c>
      <c r="F55" s="123">
        <v>90000</v>
      </c>
      <c r="G55" s="90">
        <f>F55*2.87%</f>
        <v>2583</v>
      </c>
      <c r="H55" s="90">
        <f>+F55*3.04%</f>
        <v>2736</v>
      </c>
      <c r="I55" s="90">
        <v>9753.1200000000008</v>
      </c>
      <c r="J55" s="92">
        <v>25</v>
      </c>
      <c r="K55" s="85">
        <f>SUM(G55:J55)</f>
        <v>15097.12</v>
      </c>
      <c r="L55" s="86">
        <f>+F55-K55</f>
        <v>74902.880000000005</v>
      </c>
      <c r="N55" s="56"/>
    </row>
    <row r="56" spans="1:14" s="42" customFormat="1" ht="30" customHeight="1" x14ac:dyDescent="0.25">
      <c r="A56" s="88">
        <f>A55+1</f>
        <v>29</v>
      </c>
      <c r="B56" s="121" t="s">
        <v>499</v>
      </c>
      <c r="C56" s="39" t="s">
        <v>442</v>
      </c>
      <c r="D56" s="122" t="s">
        <v>52</v>
      </c>
      <c r="E56" s="121" t="s">
        <v>124</v>
      </c>
      <c r="F56" s="123">
        <v>70000</v>
      </c>
      <c r="G56" s="90">
        <f>F56*2.87%</f>
        <v>2009</v>
      </c>
      <c r="H56" s="90">
        <f>+F56*3.04%</f>
        <v>2128</v>
      </c>
      <c r="I56" s="90">
        <v>4763.47</v>
      </c>
      <c r="J56" s="90">
        <f>3024.9+25</f>
        <v>3049.9</v>
      </c>
      <c r="K56" s="90">
        <f>SUM(G56:J56)</f>
        <v>11950.37</v>
      </c>
      <c r="L56" s="90">
        <f>+F56-K56</f>
        <v>58049.63</v>
      </c>
      <c r="N56" s="56"/>
    </row>
    <row r="57" spans="1:14" s="42" customFormat="1" ht="30" customHeight="1" x14ac:dyDescent="0.25">
      <c r="A57" s="229" t="s">
        <v>128</v>
      </c>
      <c r="B57" s="230"/>
      <c r="C57" s="230"/>
      <c r="D57" s="230"/>
      <c r="E57" s="231"/>
      <c r="F57" s="40">
        <f>SUM(F52:F56)</f>
        <v>449000</v>
      </c>
      <c r="G57" s="40">
        <f t="shared" ref="G57:L57" si="12">SUM(G52:G56)</f>
        <v>12886.3</v>
      </c>
      <c r="H57" s="40">
        <f t="shared" si="12"/>
        <v>13649.6</v>
      </c>
      <c r="I57" s="40">
        <f t="shared" si="12"/>
        <v>47867.174791666665</v>
      </c>
      <c r="J57" s="40">
        <f t="shared" si="12"/>
        <v>16243.089999999998</v>
      </c>
      <c r="K57" s="40">
        <f t="shared" si="12"/>
        <v>90646.164791666655</v>
      </c>
      <c r="L57" s="40">
        <f t="shared" si="12"/>
        <v>358353.83520833333</v>
      </c>
      <c r="N57" s="56"/>
    </row>
    <row r="58" spans="1:14" s="42" customFormat="1" ht="30" customHeight="1" thickBot="1" x14ac:dyDescent="0.3">
      <c r="A58" s="76"/>
      <c r="B58" s="76"/>
      <c r="C58" s="153"/>
      <c r="D58" s="76"/>
      <c r="E58" s="76"/>
      <c r="F58" s="76"/>
      <c r="G58" s="76"/>
      <c r="H58" s="76"/>
      <c r="I58" s="76"/>
      <c r="J58" s="76"/>
      <c r="K58" s="76"/>
      <c r="L58" s="76"/>
      <c r="N58" s="56"/>
    </row>
    <row r="59" spans="1:14" s="34" customFormat="1" ht="30" customHeight="1" thickBot="1" x14ac:dyDescent="0.3">
      <c r="A59" s="235" t="s">
        <v>163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7"/>
      <c r="M59" s="138"/>
    </row>
    <row r="60" spans="1:14" s="94" customFormat="1" ht="30" customHeight="1" x14ac:dyDescent="0.25">
      <c r="A60" s="136">
        <f>A56+1</f>
        <v>30</v>
      </c>
      <c r="B60" s="126" t="s">
        <v>49</v>
      </c>
      <c r="C60" s="136" t="s">
        <v>442</v>
      </c>
      <c r="D60" s="93" t="s">
        <v>52</v>
      </c>
      <c r="E60" s="126" t="s">
        <v>125</v>
      </c>
      <c r="F60" s="85">
        <v>102000</v>
      </c>
      <c r="G60" s="90">
        <f>F60*2.87%</f>
        <v>2927.4</v>
      </c>
      <c r="H60" s="90">
        <f>+F60*3.04%</f>
        <v>3100.8</v>
      </c>
      <c r="I60" s="85">
        <v>12575.82</v>
      </c>
      <c r="J60" s="92">
        <v>125</v>
      </c>
      <c r="K60" s="85">
        <f>SUM(G60:J60)</f>
        <v>18729.02</v>
      </c>
      <c r="L60" s="86">
        <f>+F60-K60</f>
        <v>83270.98</v>
      </c>
      <c r="M60" s="43"/>
    </row>
    <row r="61" spans="1:14" s="94" customFormat="1" ht="30" customHeight="1" x14ac:dyDescent="0.25">
      <c r="A61" s="39">
        <f>+A60+1</f>
        <v>31</v>
      </c>
      <c r="B61" s="121" t="s">
        <v>65</v>
      </c>
      <c r="C61" s="39" t="s">
        <v>441</v>
      </c>
      <c r="D61" s="122" t="s">
        <v>52</v>
      </c>
      <c r="E61" s="121" t="s">
        <v>125</v>
      </c>
      <c r="F61" s="123">
        <v>102000</v>
      </c>
      <c r="G61" s="123">
        <f>F61*2.87%</f>
        <v>2927.4</v>
      </c>
      <c r="H61" s="90">
        <f>+F61*3.04%</f>
        <v>3100.8</v>
      </c>
      <c r="I61" s="90">
        <v>12575.82</v>
      </c>
      <c r="J61" s="92">
        <v>25</v>
      </c>
      <c r="K61" s="85">
        <f>SUM(G61:J61)</f>
        <v>18629.02</v>
      </c>
      <c r="L61" s="86">
        <f>+F61-K61</f>
        <v>83370.98</v>
      </c>
      <c r="M61" s="43"/>
    </row>
    <row r="62" spans="1:14" s="42" customFormat="1" ht="30" customHeight="1" x14ac:dyDescent="0.25">
      <c r="A62" s="39">
        <f>+A61+1</f>
        <v>32</v>
      </c>
      <c r="B62" s="121" t="s">
        <v>297</v>
      </c>
      <c r="C62" s="39" t="s">
        <v>442</v>
      </c>
      <c r="D62" s="122" t="s">
        <v>52</v>
      </c>
      <c r="E62" s="121" t="s">
        <v>124</v>
      </c>
      <c r="F62" s="123">
        <v>80000</v>
      </c>
      <c r="G62" s="123">
        <f>F62*2.87%</f>
        <v>2296</v>
      </c>
      <c r="H62" s="90">
        <f>+F62*3.04%</f>
        <v>2432</v>
      </c>
      <c r="I62" s="123">
        <v>7400.94</v>
      </c>
      <c r="J62" s="92">
        <f>8000+25</f>
        <v>8025</v>
      </c>
      <c r="K62" s="85">
        <f>SUM(G62:J62)</f>
        <v>20153.939999999999</v>
      </c>
      <c r="L62" s="86">
        <f>+F62-K62</f>
        <v>59846.06</v>
      </c>
      <c r="N62" s="56"/>
    </row>
    <row r="63" spans="1:14" s="43" customFormat="1" ht="30" customHeight="1" x14ac:dyDescent="0.25">
      <c r="A63" s="229" t="s">
        <v>128</v>
      </c>
      <c r="B63" s="230"/>
      <c r="C63" s="230"/>
      <c r="D63" s="230"/>
      <c r="E63" s="231"/>
      <c r="F63" s="40">
        <f t="shared" ref="F63:L63" si="13">SUM(F60:F62)</f>
        <v>284000</v>
      </c>
      <c r="G63" s="40">
        <f t="shared" si="13"/>
        <v>8150.8</v>
      </c>
      <c r="H63" s="40">
        <f t="shared" si="13"/>
        <v>8633.6</v>
      </c>
      <c r="I63" s="40">
        <f t="shared" si="13"/>
        <v>32552.579999999998</v>
      </c>
      <c r="J63" s="40">
        <f t="shared" si="13"/>
        <v>8175</v>
      </c>
      <c r="K63" s="40">
        <f t="shared" si="13"/>
        <v>57511.979999999996</v>
      </c>
      <c r="L63" s="40">
        <f t="shared" si="13"/>
        <v>226488.02</v>
      </c>
      <c r="N63" s="94"/>
    </row>
    <row r="64" spans="1:14" s="42" customFormat="1" ht="30" customHeight="1" thickBot="1" x14ac:dyDescent="0.3">
      <c r="A64" s="47"/>
      <c r="B64" s="45"/>
      <c r="C64" s="47"/>
      <c r="D64" s="46"/>
      <c r="E64" s="45"/>
      <c r="J64" s="41"/>
      <c r="L64" s="41"/>
      <c r="N64" s="56"/>
    </row>
    <row r="65" spans="1:14" s="95" customFormat="1" ht="37.15" customHeight="1" thickBot="1" x14ac:dyDescent="0.3">
      <c r="A65" s="235" t="s">
        <v>190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7"/>
      <c r="M65" s="50"/>
    </row>
    <row r="66" spans="1:14" s="56" customFormat="1" ht="30" customHeight="1" x14ac:dyDescent="0.25">
      <c r="A66" s="83">
        <f>+A62+1</f>
        <v>33</v>
      </c>
      <c r="B66" s="126" t="s">
        <v>256</v>
      </c>
      <c r="C66" s="136" t="s">
        <v>442</v>
      </c>
      <c r="D66" s="122" t="s">
        <v>257</v>
      </c>
      <c r="E66" s="121" t="s">
        <v>125</v>
      </c>
      <c r="F66" s="120">
        <v>126500</v>
      </c>
      <c r="G66" s="90">
        <f t="shared" ref="G66:G71" si="14">F66*2.87%</f>
        <v>3630.55</v>
      </c>
      <c r="H66" s="90">
        <f t="shared" ref="H66:H71" si="15">+F66*3.04%</f>
        <v>3845.6</v>
      </c>
      <c r="I66" s="123">
        <v>18338.900000000001</v>
      </c>
      <c r="J66" s="92">
        <v>25</v>
      </c>
      <c r="K66" s="85">
        <f t="shared" ref="K66:K71" si="16">SUM(G66:J66)</f>
        <v>25840.050000000003</v>
      </c>
      <c r="L66" s="86">
        <f t="shared" ref="L66:L71" si="17">+F66-K66</f>
        <v>100659.95</v>
      </c>
      <c r="M66" s="42"/>
    </row>
    <row r="67" spans="1:14" s="94" customFormat="1" ht="30" customHeight="1" x14ac:dyDescent="0.25">
      <c r="A67" s="136">
        <f>+A66+1</f>
        <v>34</v>
      </c>
      <c r="B67" s="121" t="s">
        <v>62</v>
      </c>
      <c r="C67" s="39" t="s">
        <v>441</v>
      </c>
      <c r="D67" s="122" t="s">
        <v>52</v>
      </c>
      <c r="E67" s="121" t="s">
        <v>125</v>
      </c>
      <c r="F67" s="123">
        <v>102000</v>
      </c>
      <c r="G67" s="123">
        <f t="shared" si="14"/>
        <v>2927.4</v>
      </c>
      <c r="H67" s="123">
        <f t="shared" si="15"/>
        <v>3100.8</v>
      </c>
      <c r="I67" s="90">
        <v>12575.82</v>
      </c>
      <c r="J67" s="92">
        <v>10025</v>
      </c>
      <c r="K67" s="85">
        <f t="shared" si="16"/>
        <v>28629.02</v>
      </c>
      <c r="L67" s="86">
        <f t="shared" si="17"/>
        <v>73370.98</v>
      </c>
      <c r="M67" s="43"/>
    </row>
    <row r="68" spans="1:14" s="87" customFormat="1" ht="30" customHeight="1" x14ac:dyDescent="0.25">
      <c r="A68" s="136">
        <f>+A67+1</f>
        <v>35</v>
      </c>
      <c r="B68" s="121" t="s">
        <v>56</v>
      </c>
      <c r="C68" s="39" t="s">
        <v>442</v>
      </c>
      <c r="D68" s="121" t="s">
        <v>52</v>
      </c>
      <c r="E68" s="121" t="s">
        <v>125</v>
      </c>
      <c r="F68" s="123">
        <v>90000</v>
      </c>
      <c r="G68" s="123">
        <f t="shared" si="14"/>
        <v>2583</v>
      </c>
      <c r="H68" s="123">
        <f t="shared" si="15"/>
        <v>2736</v>
      </c>
      <c r="I68" s="123">
        <v>9375.0747916666678</v>
      </c>
      <c r="J68" s="92">
        <v>2237.4499999999998</v>
      </c>
      <c r="K68" s="85">
        <f t="shared" si="16"/>
        <v>16931.524791666667</v>
      </c>
      <c r="L68" s="86">
        <f t="shared" si="17"/>
        <v>73068.47520833333</v>
      </c>
      <c r="M68" s="35"/>
    </row>
    <row r="69" spans="1:14" s="94" customFormat="1" ht="30" customHeight="1" x14ac:dyDescent="0.25">
      <c r="A69" s="136">
        <f>+A68+1</f>
        <v>36</v>
      </c>
      <c r="B69" s="121" t="s">
        <v>57</v>
      </c>
      <c r="C69" s="39" t="s">
        <v>441</v>
      </c>
      <c r="D69" s="140" t="s">
        <v>52</v>
      </c>
      <c r="E69" s="121" t="s">
        <v>124</v>
      </c>
      <c r="F69" s="123">
        <v>90000</v>
      </c>
      <c r="G69" s="123">
        <f t="shared" si="14"/>
        <v>2583</v>
      </c>
      <c r="H69" s="123">
        <f t="shared" si="15"/>
        <v>2736</v>
      </c>
      <c r="I69" s="123">
        <v>9375.0747916666678</v>
      </c>
      <c r="J69" s="92">
        <v>3537.45</v>
      </c>
      <c r="K69" s="85">
        <f t="shared" si="16"/>
        <v>18231.524791666667</v>
      </c>
      <c r="L69" s="86">
        <f t="shared" si="17"/>
        <v>71768.47520833333</v>
      </c>
      <c r="M69" s="43"/>
    </row>
    <row r="70" spans="1:14" s="56" customFormat="1" ht="30" customHeight="1" x14ac:dyDescent="0.25">
      <c r="A70" s="136">
        <f>+A69+1</f>
        <v>37</v>
      </c>
      <c r="B70" s="121" t="s">
        <v>70</v>
      </c>
      <c r="C70" s="39" t="s">
        <v>442</v>
      </c>
      <c r="D70" s="122" t="s">
        <v>52</v>
      </c>
      <c r="E70" s="121" t="s">
        <v>125</v>
      </c>
      <c r="F70" s="123">
        <v>90000</v>
      </c>
      <c r="G70" s="123">
        <f t="shared" si="14"/>
        <v>2583</v>
      </c>
      <c r="H70" s="123">
        <f t="shared" si="15"/>
        <v>2736</v>
      </c>
      <c r="I70" s="123">
        <v>9753.1872916666671</v>
      </c>
      <c r="J70" s="92">
        <v>1125</v>
      </c>
      <c r="K70" s="85">
        <f t="shared" si="16"/>
        <v>16197.187291666667</v>
      </c>
      <c r="L70" s="86">
        <f t="shared" si="17"/>
        <v>73802.812708333338</v>
      </c>
      <c r="M70" s="42"/>
    </row>
    <row r="71" spans="1:14" s="42" customFormat="1" ht="25.5" customHeight="1" x14ac:dyDescent="0.25">
      <c r="A71" s="136">
        <f>+A70+1</f>
        <v>38</v>
      </c>
      <c r="B71" s="121" t="s">
        <v>258</v>
      </c>
      <c r="C71" s="39" t="s">
        <v>441</v>
      </c>
      <c r="D71" s="122" t="s">
        <v>52</v>
      </c>
      <c r="E71" s="121" t="s">
        <v>124</v>
      </c>
      <c r="F71" s="123">
        <v>80000</v>
      </c>
      <c r="G71" s="123">
        <f t="shared" si="14"/>
        <v>2296</v>
      </c>
      <c r="H71" s="123">
        <f t="shared" si="15"/>
        <v>2432</v>
      </c>
      <c r="I71" s="56">
        <v>6645.2698333333346</v>
      </c>
      <c r="J71" s="92">
        <v>5049.8999999999996</v>
      </c>
      <c r="K71" s="85">
        <f t="shared" si="16"/>
        <v>16423.169833333333</v>
      </c>
      <c r="L71" s="86">
        <f t="shared" si="17"/>
        <v>63576.830166666667</v>
      </c>
      <c r="N71" s="56"/>
    </row>
    <row r="72" spans="1:14" s="42" customFormat="1" ht="30" customHeight="1" thickBot="1" x14ac:dyDescent="0.3">
      <c r="A72" s="229" t="s">
        <v>128</v>
      </c>
      <c r="B72" s="230"/>
      <c r="C72" s="230"/>
      <c r="D72" s="230"/>
      <c r="E72" s="231"/>
      <c r="F72" s="40">
        <f t="shared" ref="F72:L72" si="18">SUM(F66:F71)</f>
        <v>578500</v>
      </c>
      <c r="G72" s="40">
        <f t="shared" si="18"/>
        <v>16602.95</v>
      </c>
      <c r="H72" s="40">
        <f t="shared" si="18"/>
        <v>17586.400000000001</v>
      </c>
      <c r="I72" s="40">
        <f t="shared" si="18"/>
        <v>66063.326708333334</v>
      </c>
      <c r="J72" s="40">
        <f t="shared" si="18"/>
        <v>21999.800000000003</v>
      </c>
      <c r="K72" s="40">
        <f t="shared" si="18"/>
        <v>122252.47670833334</v>
      </c>
      <c r="L72" s="40">
        <f t="shared" si="18"/>
        <v>456247.52329166664</v>
      </c>
      <c r="N72" s="56"/>
    </row>
    <row r="73" spans="1:14" s="56" customFormat="1" ht="30" customHeight="1" thickBot="1" x14ac:dyDescent="0.3">
      <c r="A73" s="235" t="s">
        <v>164</v>
      </c>
      <c r="B73" s="236"/>
      <c r="C73" s="236"/>
      <c r="D73" s="236"/>
      <c r="E73" s="236"/>
      <c r="F73" s="236"/>
      <c r="G73" s="236"/>
      <c r="H73" s="236"/>
      <c r="I73" s="236"/>
      <c r="J73" s="236"/>
      <c r="K73" s="236"/>
      <c r="L73" s="237"/>
      <c r="M73" s="42"/>
    </row>
    <row r="74" spans="1:14" s="56" customFormat="1" ht="30" customHeight="1" x14ac:dyDescent="0.25">
      <c r="A74" s="83">
        <f>+A71+1</f>
        <v>39</v>
      </c>
      <c r="B74" s="84" t="s">
        <v>64</v>
      </c>
      <c r="C74" s="83" t="s">
        <v>442</v>
      </c>
      <c r="D74" s="93" t="s">
        <v>191</v>
      </c>
      <c r="E74" s="89" t="s">
        <v>125</v>
      </c>
      <c r="F74" s="85">
        <v>138000</v>
      </c>
      <c r="G74" s="90">
        <f>F74*2.87%</f>
        <v>3960.6</v>
      </c>
      <c r="H74" s="90">
        <f>+F74*3.04%</f>
        <v>4195.2</v>
      </c>
      <c r="I74" s="120">
        <v>21043.987291666665</v>
      </c>
      <c r="J74" s="92">
        <f>14737.63+25+4419.03</f>
        <v>19181.66</v>
      </c>
      <c r="K74" s="120">
        <f>SUM(G74:J74)</f>
        <v>48381.447291666664</v>
      </c>
      <c r="L74" s="124">
        <f>+F74-K74</f>
        <v>89618.552708333329</v>
      </c>
      <c r="M74" s="42"/>
    </row>
    <row r="75" spans="1:14" s="42" customFormat="1" ht="30" customHeight="1" x14ac:dyDescent="0.25">
      <c r="A75" s="88">
        <f>+A74+1</f>
        <v>40</v>
      </c>
      <c r="B75" s="121" t="s">
        <v>63</v>
      </c>
      <c r="C75" s="39" t="s">
        <v>442</v>
      </c>
      <c r="D75" s="122" t="s">
        <v>97</v>
      </c>
      <c r="E75" s="121" t="s">
        <v>124</v>
      </c>
      <c r="F75" s="123">
        <v>60000</v>
      </c>
      <c r="G75" s="123">
        <f>F75*2.87%</f>
        <v>1722</v>
      </c>
      <c r="H75" s="90">
        <f>+F75*3.04%</f>
        <v>1824</v>
      </c>
      <c r="I75" s="90">
        <v>3486.6498333333329</v>
      </c>
      <c r="J75" s="86">
        <v>125</v>
      </c>
      <c r="K75" s="85">
        <f>SUM(G75:J75)</f>
        <v>7157.6498333333329</v>
      </c>
      <c r="L75" s="86">
        <f>+F75-K75</f>
        <v>52842.350166666671</v>
      </c>
      <c r="N75" s="56"/>
    </row>
    <row r="76" spans="1:14" s="43" customFormat="1" ht="30" customHeight="1" x14ac:dyDescent="0.25">
      <c r="A76" s="229" t="s">
        <v>128</v>
      </c>
      <c r="B76" s="230"/>
      <c r="C76" s="230"/>
      <c r="D76" s="230"/>
      <c r="E76" s="231"/>
      <c r="F76" s="40">
        <f t="shared" ref="F76:L76" si="19">SUM(F74:F75)</f>
        <v>198000</v>
      </c>
      <c r="G76" s="40">
        <f t="shared" si="19"/>
        <v>5682.6</v>
      </c>
      <c r="H76" s="40">
        <f t="shared" si="19"/>
        <v>6019.2</v>
      </c>
      <c r="I76" s="40">
        <f t="shared" si="19"/>
        <v>24530.637124999997</v>
      </c>
      <c r="J76" s="40">
        <f t="shared" si="19"/>
        <v>19306.66</v>
      </c>
      <c r="K76" s="40">
        <f t="shared" si="19"/>
        <v>55539.097125</v>
      </c>
      <c r="L76" s="40">
        <f t="shared" si="19"/>
        <v>142460.902875</v>
      </c>
      <c r="N76" s="94"/>
    </row>
    <row r="77" spans="1:14" s="42" customFormat="1" ht="30" customHeight="1" thickBot="1" x14ac:dyDescent="0.3">
      <c r="A77" s="47"/>
      <c r="B77" s="45"/>
      <c r="C77" s="47"/>
      <c r="D77" s="45"/>
      <c r="E77" s="45"/>
      <c r="J77" s="41"/>
      <c r="L77" s="41"/>
      <c r="N77" s="56"/>
    </row>
    <row r="78" spans="1:14" s="42" customFormat="1" ht="30" customHeight="1" thickBot="1" x14ac:dyDescent="0.3">
      <c r="A78" s="235" t="s">
        <v>165</v>
      </c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7"/>
      <c r="N78" s="56"/>
    </row>
    <row r="79" spans="1:14" s="42" customFormat="1" ht="30" customHeight="1" x14ac:dyDescent="0.25">
      <c r="A79" s="88">
        <f>+A75+1</f>
        <v>41</v>
      </c>
      <c r="B79" s="121" t="s">
        <v>285</v>
      </c>
      <c r="C79" s="39" t="s">
        <v>442</v>
      </c>
      <c r="D79" s="121" t="s">
        <v>52</v>
      </c>
      <c r="E79" s="121" t="s">
        <v>124</v>
      </c>
      <c r="F79" s="123">
        <v>90000</v>
      </c>
      <c r="G79" s="123">
        <f>F79*2.87%</f>
        <v>2583</v>
      </c>
      <c r="H79" s="123">
        <f>+F79*3.04%</f>
        <v>2736</v>
      </c>
      <c r="I79" s="123">
        <v>9753.1872916666671</v>
      </c>
      <c r="J79" s="92">
        <v>2685.76</v>
      </c>
      <c r="K79" s="85">
        <f>SUM(G79:J79)</f>
        <v>17757.947291666667</v>
      </c>
      <c r="L79" s="86">
        <f>+F79-K79</f>
        <v>72242.052708333329</v>
      </c>
      <c r="N79" s="56"/>
    </row>
    <row r="80" spans="1:14" s="42" customFormat="1" ht="30" customHeight="1" x14ac:dyDescent="0.25">
      <c r="A80" s="88">
        <f>+A79+1</f>
        <v>42</v>
      </c>
      <c r="B80" s="121" t="s">
        <v>656</v>
      </c>
      <c r="C80" s="39" t="s">
        <v>442</v>
      </c>
      <c r="D80" s="121" t="s">
        <v>52</v>
      </c>
      <c r="E80" s="121" t="s">
        <v>124</v>
      </c>
      <c r="F80" s="123">
        <v>102000</v>
      </c>
      <c r="G80" s="85">
        <f>F80*2.87%</f>
        <v>2927.4</v>
      </c>
      <c r="H80" s="85">
        <f>+F80*3.04%</f>
        <v>3100.8</v>
      </c>
      <c r="I80" s="120">
        <v>12197.77</v>
      </c>
      <c r="J80" s="86">
        <f>1512.45+25</f>
        <v>1537.45</v>
      </c>
      <c r="K80" s="85">
        <f>SUM(G80:J80)</f>
        <v>19763.420000000002</v>
      </c>
      <c r="L80" s="86">
        <f>+F80-K80</f>
        <v>82236.58</v>
      </c>
      <c r="N80" s="56"/>
    </row>
    <row r="81" spans="1:14" s="42" customFormat="1" ht="30" customHeight="1" x14ac:dyDescent="0.25">
      <c r="A81" s="88">
        <f>+A80+1</f>
        <v>43</v>
      </c>
      <c r="B81" s="121" t="s">
        <v>498</v>
      </c>
      <c r="C81" s="39" t="s">
        <v>441</v>
      </c>
      <c r="D81" s="121" t="s">
        <v>52</v>
      </c>
      <c r="E81" s="121" t="s">
        <v>124</v>
      </c>
      <c r="F81" s="123">
        <v>70000</v>
      </c>
      <c r="G81" s="85">
        <f>F81*2.87%</f>
        <v>2009</v>
      </c>
      <c r="H81" s="85">
        <f>+F81*3.04%</f>
        <v>2128</v>
      </c>
      <c r="I81" s="86">
        <v>5368.45</v>
      </c>
      <c r="J81" s="86">
        <v>25</v>
      </c>
      <c r="K81" s="85">
        <f>SUM(G81:J81)</f>
        <v>9530.4500000000007</v>
      </c>
      <c r="L81" s="86">
        <f>+F81-K81</f>
        <v>60469.55</v>
      </c>
      <c r="N81" s="56"/>
    </row>
    <row r="82" spans="1:14" s="42" customFormat="1" ht="25.5" customHeight="1" x14ac:dyDescent="0.25">
      <c r="A82" s="229" t="s">
        <v>128</v>
      </c>
      <c r="B82" s="230"/>
      <c r="C82" s="230"/>
      <c r="D82" s="230"/>
      <c r="E82" s="231"/>
      <c r="F82" s="40">
        <f>SUM(F79:F81)</f>
        <v>262000</v>
      </c>
      <c r="G82" s="40">
        <f t="shared" ref="G82:L82" si="20">SUM(G79:G81)</f>
        <v>7519.4</v>
      </c>
      <c r="H82" s="40">
        <f t="shared" si="20"/>
        <v>7964.8</v>
      </c>
      <c r="I82" s="40">
        <f t="shared" si="20"/>
        <v>27319.407291666666</v>
      </c>
      <c r="J82" s="40">
        <f t="shared" si="20"/>
        <v>4248.21</v>
      </c>
      <c r="K82" s="40">
        <f t="shared" si="20"/>
        <v>47051.817291666666</v>
      </c>
      <c r="L82" s="40">
        <f t="shared" si="20"/>
        <v>214948.1827083333</v>
      </c>
      <c r="N82" s="56"/>
    </row>
    <row r="83" spans="1:14" s="42" customFormat="1" ht="30" customHeight="1" thickBot="1" x14ac:dyDescent="0.3">
      <c r="A83" s="47"/>
      <c r="B83" s="45"/>
      <c r="C83" s="47"/>
      <c r="D83" s="46"/>
      <c r="E83" s="45"/>
      <c r="J83" s="41"/>
      <c r="L83" s="41"/>
      <c r="N83" s="56"/>
    </row>
    <row r="84" spans="1:14" s="34" customFormat="1" ht="30" customHeight="1" thickBot="1" x14ac:dyDescent="0.3">
      <c r="A84" s="235" t="s">
        <v>166</v>
      </c>
      <c r="B84" s="236"/>
      <c r="C84" s="236"/>
      <c r="D84" s="236"/>
      <c r="E84" s="236"/>
      <c r="F84" s="236"/>
      <c r="G84" s="236"/>
      <c r="H84" s="236"/>
      <c r="I84" s="236"/>
      <c r="J84" s="236"/>
      <c r="K84" s="236"/>
      <c r="L84" s="237"/>
      <c r="M84" s="138"/>
    </row>
    <row r="85" spans="1:14" s="56" customFormat="1" ht="30" customHeight="1" x14ac:dyDescent="0.25">
      <c r="A85" s="83">
        <f>A81+1</f>
        <v>44</v>
      </c>
      <c r="B85" s="184" t="s">
        <v>80</v>
      </c>
      <c r="C85" s="185" t="s">
        <v>442</v>
      </c>
      <c r="D85" s="121" t="s">
        <v>52</v>
      </c>
      <c r="E85" s="121" t="s">
        <v>124</v>
      </c>
      <c r="F85" s="186">
        <v>90000</v>
      </c>
      <c r="G85" s="123">
        <f>F85*2.87%</f>
        <v>2583</v>
      </c>
      <c r="H85" s="90">
        <f>+F85*3.04%</f>
        <v>2736</v>
      </c>
      <c r="I85" s="90">
        <v>9375.0747916666678</v>
      </c>
      <c r="J85" s="92">
        <v>1537.45</v>
      </c>
      <c r="K85" s="85">
        <f>SUM(G85:J85)</f>
        <v>16231.524791666669</v>
      </c>
      <c r="L85" s="86">
        <f>+F85-K85</f>
        <v>73768.47520833333</v>
      </c>
      <c r="M85" s="42"/>
    </row>
    <row r="86" spans="1:14" s="56" customFormat="1" ht="30" customHeight="1" x14ac:dyDescent="0.25">
      <c r="A86" s="88">
        <f>+A85+1</f>
        <v>45</v>
      </c>
      <c r="B86" s="121" t="s">
        <v>167</v>
      </c>
      <c r="C86" s="39" t="s">
        <v>442</v>
      </c>
      <c r="D86" s="122" t="s">
        <v>52</v>
      </c>
      <c r="E86" s="121" t="s">
        <v>125</v>
      </c>
      <c r="F86" s="123">
        <v>90000</v>
      </c>
      <c r="G86" s="123">
        <f>F86*2.87%</f>
        <v>2583</v>
      </c>
      <c r="H86" s="90">
        <f>+F86*3.04%</f>
        <v>2736</v>
      </c>
      <c r="I86" s="90">
        <v>8996.9599999999991</v>
      </c>
      <c r="J86" s="92">
        <f>3606.68+1000+25+3024.9</f>
        <v>7656.58</v>
      </c>
      <c r="K86" s="85">
        <f>SUM(G86:J86)</f>
        <v>21972.54</v>
      </c>
      <c r="L86" s="86">
        <f>+F86-K86</f>
        <v>68027.459999999992</v>
      </c>
      <c r="M86" s="42"/>
    </row>
    <row r="87" spans="1:14" s="42" customFormat="1" ht="30" customHeight="1" x14ac:dyDescent="0.25">
      <c r="A87" s="88">
        <f>A86+1</f>
        <v>46</v>
      </c>
      <c r="B87" s="89" t="s">
        <v>275</v>
      </c>
      <c r="C87" s="88" t="s">
        <v>442</v>
      </c>
      <c r="D87" s="93" t="s">
        <v>52</v>
      </c>
      <c r="E87" s="89" t="s">
        <v>124</v>
      </c>
      <c r="F87" s="90">
        <v>90000</v>
      </c>
      <c r="G87" s="90">
        <f>F87*2.87%</f>
        <v>2583</v>
      </c>
      <c r="H87" s="90">
        <f>+F87*3.04%</f>
        <v>2736</v>
      </c>
      <c r="I87" s="90">
        <v>9375.07</v>
      </c>
      <c r="J87" s="92">
        <f>1512.45+7166.31+25</f>
        <v>8703.76</v>
      </c>
      <c r="K87" s="85">
        <f>SUM(G87:J87)</f>
        <v>23397.83</v>
      </c>
      <c r="L87" s="86">
        <f>+F87-K87</f>
        <v>66602.17</v>
      </c>
      <c r="N87" s="56"/>
    </row>
    <row r="88" spans="1:14" s="42" customFormat="1" ht="30" customHeight="1" x14ac:dyDescent="0.25">
      <c r="A88" s="229" t="s">
        <v>128</v>
      </c>
      <c r="B88" s="230"/>
      <c r="C88" s="230"/>
      <c r="D88" s="230"/>
      <c r="E88" s="231"/>
      <c r="F88" s="40">
        <f t="shared" ref="F88:L88" si="21">SUM(F85:F87)</f>
        <v>270000</v>
      </c>
      <c r="G88" s="40">
        <f t="shared" si="21"/>
        <v>7749</v>
      </c>
      <c r="H88" s="40">
        <f t="shared" si="21"/>
        <v>8208</v>
      </c>
      <c r="I88" s="40">
        <f t="shared" si="21"/>
        <v>27747.104791666665</v>
      </c>
      <c r="J88" s="40">
        <f t="shared" si="21"/>
        <v>17897.79</v>
      </c>
      <c r="K88" s="40">
        <f t="shared" si="21"/>
        <v>61601.894791666673</v>
      </c>
      <c r="L88" s="40">
        <f t="shared" si="21"/>
        <v>208398.10520833329</v>
      </c>
      <c r="N88" s="56"/>
    </row>
    <row r="89" spans="1:14" s="42" customFormat="1" ht="30" customHeight="1" thickBot="1" x14ac:dyDescent="0.3">
      <c r="A89" s="47"/>
      <c r="B89" s="45"/>
      <c r="C89" s="47"/>
      <c r="D89" s="46"/>
      <c r="E89" s="45"/>
      <c r="J89" s="41"/>
      <c r="L89" s="41"/>
      <c r="N89" s="56"/>
    </row>
    <row r="90" spans="1:14" s="95" customFormat="1" ht="30" customHeight="1" thickBot="1" x14ac:dyDescent="0.3">
      <c r="A90" s="235" t="s">
        <v>168</v>
      </c>
      <c r="B90" s="236"/>
      <c r="C90" s="236"/>
      <c r="D90" s="236"/>
      <c r="E90" s="236"/>
      <c r="F90" s="236"/>
      <c r="G90" s="236"/>
      <c r="H90" s="236"/>
      <c r="I90" s="236"/>
      <c r="J90" s="236"/>
      <c r="K90" s="236"/>
      <c r="L90" s="237"/>
      <c r="M90" s="50"/>
    </row>
    <row r="91" spans="1:14" s="56" customFormat="1" ht="30" customHeight="1" x14ac:dyDescent="0.25">
      <c r="A91" s="83">
        <f>+A87+1</f>
        <v>47</v>
      </c>
      <c r="B91" s="121" t="s">
        <v>263</v>
      </c>
      <c r="C91" s="39" t="s">
        <v>442</v>
      </c>
      <c r="D91" s="122" t="s">
        <v>52</v>
      </c>
      <c r="E91" s="121" t="s">
        <v>124</v>
      </c>
      <c r="F91" s="123">
        <v>90000</v>
      </c>
      <c r="G91" s="123">
        <f>F91*2.87%</f>
        <v>2583</v>
      </c>
      <c r="H91" s="123">
        <f>+F91*3.04%</f>
        <v>2736</v>
      </c>
      <c r="I91" s="90">
        <v>9753.1872916666671</v>
      </c>
      <c r="J91" s="92">
        <v>10771.75</v>
      </c>
      <c r="K91" s="85">
        <f>SUM(G91:J91)</f>
        <v>25843.937291666669</v>
      </c>
      <c r="L91" s="86">
        <f>+F91-K91</f>
        <v>64156.062708333331</v>
      </c>
      <c r="M91" s="42"/>
    </row>
    <row r="92" spans="1:14" s="94" customFormat="1" ht="30" customHeight="1" x14ac:dyDescent="0.25">
      <c r="A92" s="88">
        <f>+A91+1</f>
        <v>48</v>
      </c>
      <c r="B92" s="89" t="s">
        <v>261</v>
      </c>
      <c r="C92" s="88" t="s">
        <v>442</v>
      </c>
      <c r="D92" s="93" t="s">
        <v>52</v>
      </c>
      <c r="E92" s="89" t="s">
        <v>124</v>
      </c>
      <c r="F92" s="90">
        <v>85000</v>
      </c>
      <c r="G92" s="90">
        <v>2439.5</v>
      </c>
      <c r="H92" s="90">
        <v>2584</v>
      </c>
      <c r="I92" s="90">
        <v>8577.0622916666671</v>
      </c>
      <c r="J92" s="92">
        <v>1911.92</v>
      </c>
      <c r="K92" s="85">
        <f>SUM(G92:J92)</f>
        <v>15512.482291666667</v>
      </c>
      <c r="L92" s="86">
        <f>+F92-K92</f>
        <v>69487.517708333326</v>
      </c>
      <c r="M92" s="43"/>
    </row>
    <row r="93" spans="1:14" s="42" customFormat="1" ht="30" customHeight="1" x14ac:dyDescent="0.25">
      <c r="A93" s="83">
        <f>+A92+1</f>
        <v>49</v>
      </c>
      <c r="B93" s="121" t="s">
        <v>82</v>
      </c>
      <c r="C93" s="39" t="s">
        <v>441</v>
      </c>
      <c r="D93" s="122" t="s">
        <v>52</v>
      </c>
      <c r="E93" s="121" t="s">
        <v>124</v>
      </c>
      <c r="F93" s="123">
        <v>80000</v>
      </c>
      <c r="G93" s="123">
        <f>F93*2.87%</f>
        <v>2296</v>
      </c>
      <c r="H93" s="123">
        <f>+F93*3.04%</f>
        <v>2432</v>
      </c>
      <c r="I93" s="123">
        <v>7400.9372916666662</v>
      </c>
      <c r="J93" s="92">
        <f>1922.84+25</f>
        <v>1947.84</v>
      </c>
      <c r="K93" s="85">
        <f>SUM(G93:J93)</f>
        <v>14076.777291666665</v>
      </c>
      <c r="L93" s="86">
        <f>+F93-K93</f>
        <v>65923.222708333342</v>
      </c>
      <c r="N93" s="56"/>
    </row>
    <row r="94" spans="1:14" ht="30" customHeight="1" x14ac:dyDescent="0.25">
      <c r="A94" s="83">
        <f>+A93+1</f>
        <v>50</v>
      </c>
      <c r="B94" s="121" t="s">
        <v>92</v>
      </c>
      <c r="C94" s="39" t="s">
        <v>442</v>
      </c>
      <c r="D94" s="122" t="s">
        <v>52</v>
      </c>
      <c r="E94" s="121" t="s">
        <v>125</v>
      </c>
      <c r="F94" s="186">
        <v>80000</v>
      </c>
      <c r="G94" s="123">
        <f>F94*2.87%</f>
        <v>2296</v>
      </c>
      <c r="H94" s="123">
        <f>+F94*3.04%</f>
        <v>2432</v>
      </c>
      <c r="I94" s="90">
        <v>7022.8247916666687</v>
      </c>
      <c r="J94" s="92">
        <f>12885.61+25+100+1512.45</f>
        <v>14523.060000000001</v>
      </c>
      <c r="K94" s="85">
        <f>SUM(G94:J94)</f>
        <v>26273.884791666671</v>
      </c>
      <c r="L94" s="86">
        <f>+F94-K94</f>
        <v>53726.115208333329</v>
      </c>
    </row>
    <row r="95" spans="1:14" s="42" customFormat="1" ht="30" customHeight="1" x14ac:dyDescent="0.25">
      <c r="A95" s="229" t="s">
        <v>128</v>
      </c>
      <c r="B95" s="230"/>
      <c r="C95" s="230"/>
      <c r="D95" s="230"/>
      <c r="E95" s="231"/>
      <c r="F95" s="40">
        <f>SUM(F91:F94)</f>
        <v>335000</v>
      </c>
      <c r="G95" s="40">
        <f t="shared" ref="G95:L95" si="22">SUM(G91:G94)</f>
        <v>9614.5</v>
      </c>
      <c r="H95" s="40">
        <f t="shared" si="22"/>
        <v>10184</v>
      </c>
      <c r="I95" s="40">
        <f t="shared" si="22"/>
        <v>32754.011666666669</v>
      </c>
      <c r="J95" s="40">
        <f t="shared" si="22"/>
        <v>29154.57</v>
      </c>
      <c r="K95" s="40">
        <f t="shared" si="22"/>
        <v>81707.081666666665</v>
      </c>
      <c r="L95" s="40">
        <f t="shared" si="22"/>
        <v>253292.91833333333</v>
      </c>
      <c r="N95" s="56"/>
    </row>
    <row r="96" spans="1:14" s="56" customFormat="1" ht="30" customHeight="1" thickBot="1" x14ac:dyDescent="0.3">
      <c r="A96" s="4"/>
      <c r="B96" s="25"/>
      <c r="C96" s="4"/>
      <c r="D96" s="25"/>
      <c r="E96" s="25"/>
      <c r="F96" s="2"/>
      <c r="G96" s="1"/>
      <c r="H96" s="1"/>
      <c r="I96" s="1"/>
      <c r="J96" s="1"/>
      <c r="K96" s="1"/>
      <c r="L96" s="1"/>
      <c r="M96" s="42"/>
    </row>
    <row r="97" spans="1:14" s="56" customFormat="1" ht="30" customHeight="1" thickBot="1" x14ac:dyDescent="0.3">
      <c r="A97" s="235" t="s">
        <v>169</v>
      </c>
      <c r="B97" s="236"/>
      <c r="C97" s="236"/>
      <c r="D97" s="236"/>
      <c r="E97" s="236"/>
      <c r="F97" s="236"/>
      <c r="G97" s="236"/>
      <c r="H97" s="236"/>
      <c r="I97" s="236"/>
      <c r="J97" s="236"/>
      <c r="K97" s="236"/>
      <c r="L97" s="237"/>
      <c r="M97" s="42"/>
    </row>
    <row r="98" spans="1:14" s="42" customFormat="1" ht="30" customHeight="1" x14ac:dyDescent="0.25">
      <c r="A98" s="88">
        <f>+A94+1</f>
        <v>51</v>
      </c>
      <c r="B98" s="89" t="s">
        <v>53</v>
      </c>
      <c r="C98" s="88" t="s">
        <v>442</v>
      </c>
      <c r="D98" s="93" t="s">
        <v>52</v>
      </c>
      <c r="E98" s="89" t="s">
        <v>124</v>
      </c>
      <c r="F98" s="90">
        <v>102000</v>
      </c>
      <c r="G98" s="90">
        <f>F98*2.87%</f>
        <v>2927.4</v>
      </c>
      <c r="H98" s="90">
        <f>+F98*3.04%</f>
        <v>3100.8</v>
      </c>
      <c r="I98" s="90">
        <v>12575.82</v>
      </c>
      <c r="J98" s="92">
        <v>25</v>
      </c>
      <c r="K98" s="85">
        <f>SUM(G98:J98)</f>
        <v>18629.02</v>
      </c>
      <c r="L98" s="86">
        <f>+F98-K98</f>
        <v>83370.98</v>
      </c>
      <c r="N98" s="56"/>
    </row>
    <row r="99" spans="1:14" s="56" customFormat="1" ht="30" customHeight="1" thickBot="1" x14ac:dyDescent="0.3">
      <c r="A99" s="229" t="s">
        <v>128</v>
      </c>
      <c r="B99" s="230"/>
      <c r="C99" s="230"/>
      <c r="D99" s="230"/>
      <c r="E99" s="231"/>
      <c r="F99" s="40">
        <f t="shared" ref="F99:L99" si="23">SUM(F98:F98)</f>
        <v>102000</v>
      </c>
      <c r="G99" s="40">
        <f t="shared" si="23"/>
        <v>2927.4</v>
      </c>
      <c r="H99" s="40">
        <f t="shared" si="23"/>
        <v>3100.8</v>
      </c>
      <c r="I99" s="40">
        <f t="shared" si="23"/>
        <v>12575.82</v>
      </c>
      <c r="J99" s="40">
        <f t="shared" si="23"/>
        <v>25</v>
      </c>
      <c r="K99" s="40">
        <f t="shared" si="23"/>
        <v>18629.02</v>
      </c>
      <c r="L99" s="40">
        <f t="shared" si="23"/>
        <v>83370.98</v>
      </c>
      <c r="M99" s="42"/>
    </row>
    <row r="100" spans="1:14" s="56" customFormat="1" ht="30" customHeight="1" thickBot="1" x14ac:dyDescent="0.3">
      <c r="A100" s="235" t="s">
        <v>170</v>
      </c>
      <c r="B100" s="236"/>
      <c r="C100" s="236"/>
      <c r="D100" s="236"/>
      <c r="E100" s="236"/>
      <c r="F100" s="236"/>
      <c r="G100" s="236"/>
      <c r="H100" s="236"/>
      <c r="I100" s="236"/>
      <c r="J100" s="236"/>
      <c r="K100" s="236"/>
      <c r="L100" s="237"/>
      <c r="M100" s="42"/>
    </row>
    <row r="101" spans="1:14" s="42" customFormat="1" ht="30" customHeight="1" x14ac:dyDescent="0.25">
      <c r="A101" s="83">
        <f>A98+1</f>
        <v>52</v>
      </c>
      <c r="B101" s="84" t="s">
        <v>67</v>
      </c>
      <c r="C101" s="83" t="s">
        <v>442</v>
      </c>
      <c r="D101" s="96" t="s">
        <v>193</v>
      </c>
      <c r="E101" s="89" t="s">
        <v>125</v>
      </c>
      <c r="F101" s="85">
        <v>155250</v>
      </c>
      <c r="G101" s="85">
        <v>4455.6750000000002</v>
      </c>
      <c r="H101" s="85">
        <v>4719.6000000000004</v>
      </c>
      <c r="I101" s="123">
        <v>24723.506041666664</v>
      </c>
      <c r="J101" s="92">
        <f>100+25+10000+1512.45</f>
        <v>11637.45</v>
      </c>
      <c r="K101" s="85">
        <f>SUM(G101:J101)</f>
        <v>45536.231041666659</v>
      </c>
      <c r="L101" s="86">
        <f>+F101-K101</f>
        <v>109713.76895833334</v>
      </c>
      <c r="N101" s="56"/>
    </row>
    <row r="102" spans="1:14" customFormat="1" ht="30" customHeight="1" x14ac:dyDescent="0.25">
      <c r="A102" s="88">
        <f>A101+1</f>
        <v>53</v>
      </c>
      <c r="B102" s="121" t="s">
        <v>265</v>
      </c>
      <c r="C102" s="39" t="s">
        <v>442</v>
      </c>
      <c r="D102" s="121" t="s">
        <v>68</v>
      </c>
      <c r="E102" s="121" t="s">
        <v>125</v>
      </c>
      <c r="F102" s="123">
        <v>60000</v>
      </c>
      <c r="G102" s="90">
        <f>F102*2.87%</f>
        <v>1722</v>
      </c>
      <c r="H102" s="90">
        <f>+F102*3.04%</f>
        <v>1824</v>
      </c>
      <c r="I102" s="90">
        <v>3486.6498333333329</v>
      </c>
      <c r="J102" s="86">
        <v>25</v>
      </c>
      <c r="K102" s="85">
        <f>SUM(G102:J102)</f>
        <v>7057.6498333333329</v>
      </c>
      <c r="L102" s="86">
        <f>+F102-K102</f>
        <v>52942.350166666671</v>
      </c>
      <c r="M102" s="225"/>
    </row>
    <row r="103" spans="1:14" s="42" customFormat="1" ht="30" customHeight="1" x14ac:dyDescent="0.25">
      <c r="A103" s="229" t="s">
        <v>128</v>
      </c>
      <c r="B103" s="230"/>
      <c r="C103" s="230"/>
      <c r="D103" s="230"/>
      <c r="E103" s="231"/>
      <c r="F103" s="40">
        <f t="shared" ref="F103:L103" si="24">SUM(F101:F102)</f>
        <v>215250</v>
      </c>
      <c r="G103" s="40">
        <f t="shared" si="24"/>
        <v>6177.6750000000002</v>
      </c>
      <c r="H103" s="40">
        <f t="shared" si="24"/>
        <v>6543.6</v>
      </c>
      <c r="I103" s="40">
        <f t="shared" si="24"/>
        <v>28210.155874999997</v>
      </c>
      <c r="J103" s="40">
        <f t="shared" si="24"/>
        <v>11662.45</v>
      </c>
      <c r="K103" s="40">
        <f t="shared" si="24"/>
        <v>52593.880874999988</v>
      </c>
      <c r="L103" s="40">
        <f t="shared" si="24"/>
        <v>162656.11912500003</v>
      </c>
      <c r="N103" s="56"/>
    </row>
    <row r="104" spans="1:14" s="94" customFormat="1" ht="30" customHeight="1" thickBot="1" x14ac:dyDescent="0.3">
      <c r="A104"/>
      <c r="B104"/>
      <c r="C104" s="152"/>
      <c r="D104"/>
      <c r="E104"/>
      <c r="F104"/>
      <c r="G104"/>
      <c r="H104"/>
      <c r="I104"/>
      <c r="J104"/>
      <c r="K104"/>
      <c r="L104"/>
      <c r="M104" s="43"/>
    </row>
    <row r="105" spans="1:14" s="42" customFormat="1" ht="30" customHeight="1" thickBot="1" x14ac:dyDescent="0.3">
      <c r="A105" s="235" t="s">
        <v>171</v>
      </c>
      <c r="B105" s="236"/>
      <c r="C105" s="236"/>
      <c r="D105" s="236"/>
      <c r="E105" s="236"/>
      <c r="F105" s="236"/>
      <c r="G105" s="236"/>
      <c r="H105" s="236"/>
      <c r="I105" s="236"/>
      <c r="J105" s="236"/>
      <c r="K105" s="236"/>
      <c r="L105" s="237"/>
      <c r="N105" s="56"/>
    </row>
    <row r="106" spans="1:14" ht="30" customHeight="1" x14ac:dyDescent="0.25">
      <c r="A106" s="88">
        <f>+A102+1</f>
        <v>54</v>
      </c>
      <c r="B106" s="121" t="s">
        <v>266</v>
      </c>
      <c r="C106" s="39" t="s">
        <v>442</v>
      </c>
      <c r="D106" s="122" t="s">
        <v>52</v>
      </c>
      <c r="E106" s="121" t="s">
        <v>124</v>
      </c>
      <c r="F106" s="123">
        <v>90000</v>
      </c>
      <c r="G106" s="123">
        <f>F106*2.87%</f>
        <v>2583</v>
      </c>
      <c r="H106" s="123">
        <f>+F106*3.04%</f>
        <v>2736</v>
      </c>
      <c r="I106" s="123">
        <v>8996.9622916666685</v>
      </c>
      <c r="J106" s="92">
        <f>7511.87+25+100+3024.9</f>
        <v>10661.77</v>
      </c>
      <c r="K106" s="85">
        <f>SUM(G106:J106)</f>
        <v>24977.732291666667</v>
      </c>
      <c r="L106" s="86">
        <f>+F106-K106</f>
        <v>65022.267708333333</v>
      </c>
    </row>
    <row r="107" spans="1:14" s="42" customFormat="1" ht="30" customHeight="1" x14ac:dyDescent="0.25">
      <c r="A107" s="229" t="s">
        <v>128</v>
      </c>
      <c r="B107" s="230"/>
      <c r="C107" s="230"/>
      <c r="D107" s="230"/>
      <c r="E107" s="231"/>
      <c r="F107" s="40">
        <f t="shared" ref="F107:L107" si="25">SUM(F106:F106)</f>
        <v>90000</v>
      </c>
      <c r="G107" s="40">
        <f t="shared" si="25"/>
        <v>2583</v>
      </c>
      <c r="H107" s="40">
        <f t="shared" si="25"/>
        <v>2736</v>
      </c>
      <c r="I107" s="40">
        <f t="shared" si="25"/>
        <v>8996.9622916666685</v>
      </c>
      <c r="J107" s="40">
        <f t="shared" si="25"/>
        <v>10661.77</v>
      </c>
      <c r="K107" s="40">
        <f t="shared" si="25"/>
        <v>24977.732291666667</v>
      </c>
      <c r="L107" s="40">
        <f t="shared" si="25"/>
        <v>65022.267708333333</v>
      </c>
      <c r="N107" s="56"/>
    </row>
    <row r="108" spans="1:14" s="56" customFormat="1" ht="30" customHeight="1" thickBot="1" x14ac:dyDescent="0.3">
      <c r="A108" s="4"/>
      <c r="B108" s="25"/>
      <c r="C108" s="4"/>
      <c r="D108" s="25"/>
      <c r="E108" s="25"/>
      <c r="F108" s="2"/>
      <c r="G108" s="1"/>
      <c r="H108" s="1"/>
      <c r="I108" s="1"/>
      <c r="J108" s="1"/>
      <c r="K108" s="1"/>
      <c r="L108" s="1"/>
      <c r="M108" s="42"/>
    </row>
    <row r="109" spans="1:14" s="56" customFormat="1" ht="30" customHeight="1" thickBot="1" x14ac:dyDescent="0.3">
      <c r="A109" s="235" t="s">
        <v>172</v>
      </c>
      <c r="B109" s="236"/>
      <c r="C109" s="236"/>
      <c r="D109" s="236"/>
      <c r="E109" s="236"/>
      <c r="F109" s="236"/>
      <c r="G109" s="236"/>
      <c r="H109" s="236"/>
      <c r="I109" s="236"/>
      <c r="J109" s="236"/>
      <c r="K109" s="236"/>
      <c r="L109" s="237"/>
      <c r="M109" s="42"/>
    </row>
    <row r="110" spans="1:14" s="56" customFormat="1" ht="30" customHeight="1" x14ac:dyDescent="0.25">
      <c r="A110" s="83">
        <f>+A106+1</f>
        <v>55</v>
      </c>
      <c r="B110" s="126" t="s">
        <v>267</v>
      </c>
      <c r="C110" s="136" t="s">
        <v>442</v>
      </c>
      <c r="D110" s="137" t="s">
        <v>268</v>
      </c>
      <c r="E110" s="126" t="s">
        <v>124</v>
      </c>
      <c r="F110" s="120">
        <v>155000</v>
      </c>
      <c r="G110" s="123">
        <f t="shared" ref="G110:G114" si="26">F110*2.87%</f>
        <v>4448.5</v>
      </c>
      <c r="H110" s="123">
        <f t="shared" ref="H110:H114" si="27">+F110*3.04%</f>
        <v>4712</v>
      </c>
      <c r="I110" s="85">
        <v>25042.812291666665</v>
      </c>
      <c r="J110" s="92">
        <v>125</v>
      </c>
      <c r="K110" s="85">
        <f t="shared" ref="K110:K114" si="28">SUM(G110:J110)</f>
        <v>34328.312291666662</v>
      </c>
      <c r="L110" s="86">
        <f t="shared" ref="L110:L114" si="29">+F110-K110</f>
        <v>120671.68770833334</v>
      </c>
      <c r="M110" s="42"/>
    </row>
    <row r="111" spans="1:14" s="56" customFormat="1" ht="30" customHeight="1" x14ac:dyDescent="0.25">
      <c r="A111" s="83">
        <f>+A110+1</f>
        <v>56</v>
      </c>
      <c r="B111" s="121" t="s">
        <v>269</v>
      </c>
      <c r="C111" s="39" t="s">
        <v>442</v>
      </c>
      <c r="D111" s="122" t="s">
        <v>52</v>
      </c>
      <c r="E111" s="121" t="s">
        <v>124</v>
      </c>
      <c r="F111" s="123">
        <v>90000</v>
      </c>
      <c r="G111" s="123">
        <f t="shared" si="26"/>
        <v>2583</v>
      </c>
      <c r="H111" s="123">
        <f t="shared" si="27"/>
        <v>2736</v>
      </c>
      <c r="I111" s="123">
        <v>9753.1872916666671</v>
      </c>
      <c r="J111" s="92">
        <v>125</v>
      </c>
      <c r="K111" s="85">
        <f t="shared" si="28"/>
        <v>15197.187291666667</v>
      </c>
      <c r="L111" s="86">
        <f t="shared" si="29"/>
        <v>74802.812708333338</v>
      </c>
      <c r="M111" s="42"/>
    </row>
    <row r="112" spans="1:14" s="56" customFormat="1" ht="30" customHeight="1" x14ac:dyDescent="0.25">
      <c r="A112" s="88">
        <f t="shared" ref="A112:A114" si="30">+A111+1</f>
        <v>57</v>
      </c>
      <c r="B112" s="89" t="s">
        <v>264</v>
      </c>
      <c r="C112" s="88" t="s">
        <v>441</v>
      </c>
      <c r="D112" s="93" t="s">
        <v>52</v>
      </c>
      <c r="E112" s="89" t="s">
        <v>124</v>
      </c>
      <c r="F112" s="90">
        <v>90000</v>
      </c>
      <c r="G112" s="90">
        <f t="shared" si="26"/>
        <v>2583</v>
      </c>
      <c r="H112" s="90">
        <f t="shared" si="27"/>
        <v>2736</v>
      </c>
      <c r="I112" s="90">
        <v>9753.1872916666671</v>
      </c>
      <c r="J112" s="92">
        <v>9311.43</v>
      </c>
      <c r="K112" s="85">
        <f t="shared" si="28"/>
        <v>24383.617291666669</v>
      </c>
      <c r="L112" s="86">
        <f t="shared" si="29"/>
        <v>65616.382708333331</v>
      </c>
      <c r="M112" s="42"/>
    </row>
    <row r="113" spans="1:14" s="50" customFormat="1" ht="30" customHeight="1" x14ac:dyDescent="0.25">
      <c r="A113" s="83">
        <f t="shared" si="30"/>
        <v>58</v>
      </c>
      <c r="B113" s="121" t="s">
        <v>71</v>
      </c>
      <c r="C113" s="39" t="s">
        <v>441</v>
      </c>
      <c r="D113" s="122" t="s">
        <v>52</v>
      </c>
      <c r="E113" s="121" t="s">
        <v>124</v>
      </c>
      <c r="F113" s="123">
        <v>80000</v>
      </c>
      <c r="G113" s="123">
        <f t="shared" si="26"/>
        <v>2296</v>
      </c>
      <c r="H113" s="123">
        <f t="shared" si="27"/>
        <v>2432</v>
      </c>
      <c r="I113" s="139">
        <v>7022.8247916666687</v>
      </c>
      <c r="J113" s="92">
        <f>14068.44+25+100+1512.45</f>
        <v>15705.890000000001</v>
      </c>
      <c r="K113" s="85">
        <f t="shared" si="28"/>
        <v>27456.714791666673</v>
      </c>
      <c r="L113" s="86">
        <f t="shared" si="29"/>
        <v>52543.285208333327</v>
      </c>
      <c r="N113" s="95"/>
    </row>
    <row r="114" spans="1:14" s="42" customFormat="1" ht="30" customHeight="1" x14ac:dyDescent="0.25">
      <c r="A114" s="88">
        <f t="shared" si="30"/>
        <v>59</v>
      </c>
      <c r="B114" s="121" t="s">
        <v>144</v>
      </c>
      <c r="C114" s="39" t="s">
        <v>442</v>
      </c>
      <c r="D114" s="122" t="s">
        <v>52</v>
      </c>
      <c r="E114" s="121" t="s">
        <v>124</v>
      </c>
      <c r="F114" s="123">
        <v>80000</v>
      </c>
      <c r="G114" s="123">
        <f t="shared" si="26"/>
        <v>2296</v>
      </c>
      <c r="H114" s="123">
        <f t="shared" si="27"/>
        <v>2432</v>
      </c>
      <c r="I114" s="123">
        <v>7400.9372916666662</v>
      </c>
      <c r="J114" s="92">
        <v>25</v>
      </c>
      <c r="K114" s="85">
        <f t="shared" si="28"/>
        <v>12153.937291666665</v>
      </c>
      <c r="L114" s="86">
        <f t="shared" si="29"/>
        <v>67846.062708333338</v>
      </c>
      <c r="N114" s="56"/>
    </row>
    <row r="115" spans="1:14" s="42" customFormat="1" ht="30" customHeight="1" x14ac:dyDescent="0.25">
      <c r="A115" s="39"/>
      <c r="B115" s="49"/>
      <c r="C115" s="154"/>
      <c r="D115" s="249" t="s">
        <v>128</v>
      </c>
      <c r="E115" s="250"/>
      <c r="F115" s="40">
        <f t="shared" ref="F115:L115" si="31">SUM(F110:F114)</f>
        <v>495000</v>
      </c>
      <c r="G115" s="40">
        <f t="shared" si="31"/>
        <v>14206.5</v>
      </c>
      <c r="H115" s="40">
        <f t="shared" si="31"/>
        <v>15048</v>
      </c>
      <c r="I115" s="40">
        <f t="shared" si="31"/>
        <v>58972.948958333334</v>
      </c>
      <c r="J115" s="40">
        <f t="shared" si="31"/>
        <v>25292.32</v>
      </c>
      <c r="K115" s="40">
        <f t="shared" si="31"/>
        <v>113519.76895833334</v>
      </c>
      <c r="L115" s="40">
        <f t="shared" si="31"/>
        <v>381480.2310416667</v>
      </c>
      <c r="N115" s="56"/>
    </row>
    <row r="116" spans="1:14" s="56" customFormat="1" ht="30" customHeight="1" thickBot="1" x14ac:dyDescent="0.3">
      <c r="A116" s="47"/>
      <c r="B116" s="45"/>
      <c r="C116" s="47"/>
      <c r="D116" s="46"/>
      <c r="E116" s="45"/>
      <c r="F116" s="42"/>
      <c r="G116" s="42"/>
      <c r="H116" s="42"/>
      <c r="I116" s="42"/>
      <c r="J116" s="41"/>
      <c r="K116" s="42"/>
      <c r="L116" s="41"/>
      <c r="M116" s="42"/>
    </row>
    <row r="117" spans="1:14" s="50" customFormat="1" ht="30" customHeight="1" thickBot="1" x14ac:dyDescent="0.3">
      <c r="A117" s="235" t="s">
        <v>173</v>
      </c>
      <c r="B117" s="236"/>
      <c r="C117" s="236"/>
      <c r="D117" s="236"/>
      <c r="E117" s="236"/>
      <c r="F117" s="236"/>
      <c r="G117" s="236"/>
      <c r="H117" s="236"/>
      <c r="I117" s="236"/>
      <c r="J117" s="236"/>
      <c r="K117" s="236"/>
      <c r="L117" s="237"/>
      <c r="N117" s="95"/>
    </row>
    <row r="118" spans="1:14" s="42" customFormat="1" ht="30" customHeight="1" x14ac:dyDescent="0.25">
      <c r="A118" s="88">
        <f>+A114+1</f>
        <v>60</v>
      </c>
      <c r="B118" s="121" t="s">
        <v>72</v>
      </c>
      <c r="C118" s="39" t="s">
        <v>442</v>
      </c>
      <c r="D118" s="122" t="s">
        <v>97</v>
      </c>
      <c r="E118" s="121" t="s">
        <v>125</v>
      </c>
      <c r="F118" s="123">
        <v>60000</v>
      </c>
      <c r="G118" s="123">
        <f>F118*2.87%</f>
        <v>1722</v>
      </c>
      <c r="H118" s="90">
        <f>+F118*3.04%</f>
        <v>1824</v>
      </c>
      <c r="I118" s="90">
        <v>2881.669833333332</v>
      </c>
      <c r="J118" s="92">
        <v>3936.82</v>
      </c>
      <c r="K118" s="85">
        <f>SUM(G118:J118)</f>
        <v>10364.489833333331</v>
      </c>
      <c r="L118" s="86">
        <f>+F118-K118</f>
        <v>49635.510166666667</v>
      </c>
      <c r="N118" s="56"/>
    </row>
    <row r="119" spans="1:14" s="42" customFormat="1" ht="30" customHeight="1" x14ac:dyDescent="0.25">
      <c r="A119" s="174">
        <f>+A118+1</f>
        <v>61</v>
      </c>
      <c r="B119" s="127" t="s">
        <v>77</v>
      </c>
      <c r="C119" s="193" t="s">
        <v>441</v>
      </c>
      <c r="D119" s="227" t="s">
        <v>645</v>
      </c>
      <c r="E119" s="121" t="s">
        <v>125</v>
      </c>
      <c r="F119" s="123">
        <v>110000</v>
      </c>
      <c r="G119" s="123">
        <f>F119*2.87%</f>
        <v>3157</v>
      </c>
      <c r="H119" s="90">
        <f>+F119*3.04%</f>
        <v>3344</v>
      </c>
      <c r="I119" s="90">
        <v>14079.57</v>
      </c>
      <c r="J119" s="92">
        <f>1512.45+25</f>
        <v>1537.45</v>
      </c>
      <c r="K119" s="85">
        <f>SUM(G119:J119)</f>
        <v>22118.02</v>
      </c>
      <c r="L119" s="86">
        <f>+F119-K119</f>
        <v>87881.98</v>
      </c>
      <c r="N119" s="56"/>
    </row>
    <row r="120" spans="1:14" s="42" customFormat="1" ht="30" customHeight="1" x14ac:dyDescent="0.25">
      <c r="A120" s="229" t="s">
        <v>128</v>
      </c>
      <c r="B120" s="230"/>
      <c r="C120" s="230"/>
      <c r="D120" s="230"/>
      <c r="E120" s="231"/>
      <c r="F120" s="40">
        <f>SUM(F118:F119)</f>
        <v>170000</v>
      </c>
      <c r="G120" s="40">
        <f t="shared" ref="G120:L120" si="32">SUM(G118:G119)</f>
        <v>4879</v>
      </c>
      <c r="H120" s="40">
        <f t="shared" si="32"/>
        <v>5168</v>
      </c>
      <c r="I120" s="40">
        <f t="shared" si="32"/>
        <v>16961.239833333333</v>
      </c>
      <c r="J120" s="40">
        <f t="shared" si="32"/>
        <v>5474.27</v>
      </c>
      <c r="K120" s="40">
        <f t="shared" si="32"/>
        <v>32482.50983333333</v>
      </c>
      <c r="L120" s="40">
        <f t="shared" si="32"/>
        <v>137517.49016666666</v>
      </c>
      <c r="N120" s="56"/>
    </row>
    <row r="121" spans="1:14" s="56" customFormat="1" ht="30" customHeight="1" thickBot="1" x14ac:dyDescent="0.3">
      <c r="A121" s="44"/>
      <c r="B121" s="51"/>
      <c r="C121" s="155"/>
      <c r="D121" s="51"/>
      <c r="E121" s="51"/>
      <c r="F121" s="52"/>
      <c r="G121" s="42"/>
      <c r="H121" s="42"/>
      <c r="I121" s="42"/>
      <c r="J121" s="42"/>
      <c r="K121" s="42"/>
      <c r="L121" s="42"/>
      <c r="M121" s="42"/>
    </row>
    <row r="122" spans="1:14" s="94" customFormat="1" ht="30" customHeight="1" thickBot="1" x14ac:dyDescent="0.3">
      <c r="A122" s="235" t="s">
        <v>174</v>
      </c>
      <c r="B122" s="236"/>
      <c r="C122" s="236"/>
      <c r="D122" s="236"/>
      <c r="E122" s="236"/>
      <c r="F122" s="236"/>
      <c r="G122" s="236"/>
      <c r="H122" s="236"/>
      <c r="I122" s="236"/>
      <c r="J122" s="236"/>
      <c r="K122" s="236"/>
      <c r="L122" s="237"/>
      <c r="M122" s="43"/>
    </row>
    <row r="123" spans="1:14" s="56" customFormat="1" ht="30" customHeight="1" x14ac:dyDescent="0.25">
      <c r="A123" s="88">
        <f>+A119+1</f>
        <v>62</v>
      </c>
      <c r="B123" s="121" t="s">
        <v>271</v>
      </c>
      <c r="C123" s="39" t="s">
        <v>442</v>
      </c>
      <c r="D123" s="122" t="s">
        <v>52</v>
      </c>
      <c r="E123" s="121" t="s">
        <v>125</v>
      </c>
      <c r="F123" s="123">
        <v>90000</v>
      </c>
      <c r="G123" s="90">
        <f>F123*2.87%</f>
        <v>2583</v>
      </c>
      <c r="H123" s="90">
        <f>+F123*3.04%</f>
        <v>2736</v>
      </c>
      <c r="I123" s="90">
        <v>9753.1872916666671</v>
      </c>
      <c r="J123" s="92">
        <f>13436.48+25</f>
        <v>13461.48</v>
      </c>
      <c r="K123" s="85">
        <f>SUM(G123:J123)</f>
        <v>28533.667291666665</v>
      </c>
      <c r="L123" s="86">
        <f>+F123-K123</f>
        <v>61466.332708333335</v>
      </c>
      <c r="M123" s="42"/>
    </row>
    <row r="124" spans="1:14" s="42" customFormat="1" ht="30" customHeight="1" x14ac:dyDescent="0.25">
      <c r="A124" s="88">
        <f>+A123+1</f>
        <v>63</v>
      </c>
      <c r="B124" s="126" t="s">
        <v>66</v>
      </c>
      <c r="C124" s="136" t="s">
        <v>442</v>
      </c>
      <c r="D124" s="122" t="s">
        <v>52</v>
      </c>
      <c r="E124" s="121" t="s">
        <v>124</v>
      </c>
      <c r="F124" s="120">
        <v>80000</v>
      </c>
      <c r="G124" s="85">
        <f>F124*2.87%</f>
        <v>2296</v>
      </c>
      <c r="H124" s="85">
        <f>+F124*3.04%</f>
        <v>2432</v>
      </c>
      <c r="I124" s="123">
        <v>7400.9372916666662</v>
      </c>
      <c r="J124" s="92">
        <v>7360.85</v>
      </c>
      <c r="K124" s="85">
        <f>SUM(G124:J124)</f>
        <v>19489.787291666667</v>
      </c>
      <c r="L124" s="86">
        <f>+F124-K124</f>
        <v>60510.212708333333</v>
      </c>
      <c r="N124" s="56"/>
    </row>
    <row r="125" spans="1:14" s="50" customFormat="1" ht="24" customHeight="1" x14ac:dyDescent="0.25">
      <c r="A125" s="88">
        <f>+A124+1</f>
        <v>64</v>
      </c>
      <c r="B125" s="121" t="s">
        <v>272</v>
      </c>
      <c r="C125" s="39" t="s">
        <v>441</v>
      </c>
      <c r="D125" s="122" t="s">
        <v>52</v>
      </c>
      <c r="E125" s="121" t="s">
        <v>124</v>
      </c>
      <c r="F125" s="123">
        <v>80000</v>
      </c>
      <c r="G125" s="90">
        <f>F125*2.87%</f>
        <v>2296</v>
      </c>
      <c r="H125" s="90">
        <f>+F125*3.04%</f>
        <v>2432</v>
      </c>
      <c r="I125" s="123">
        <v>7400.9372916666662</v>
      </c>
      <c r="J125" s="92">
        <f>4200+25</f>
        <v>4225</v>
      </c>
      <c r="K125" s="85">
        <f>SUM(G125:J125)</f>
        <v>16353.937291666665</v>
      </c>
      <c r="L125" s="86">
        <f>+F125-K125</f>
        <v>63646.062708333338</v>
      </c>
      <c r="N125" s="95"/>
    </row>
    <row r="126" spans="1:14" s="42" customFormat="1" ht="30" customHeight="1" x14ac:dyDescent="0.25">
      <c r="A126" s="88">
        <f>+A125+1</f>
        <v>65</v>
      </c>
      <c r="B126" s="121" t="s">
        <v>280</v>
      </c>
      <c r="C126" s="39" t="s">
        <v>441</v>
      </c>
      <c r="D126" s="122" t="s">
        <v>52</v>
      </c>
      <c r="E126" s="121" t="s">
        <v>124</v>
      </c>
      <c r="F126" s="123">
        <v>80000</v>
      </c>
      <c r="G126" s="90">
        <f>F126*2.87%</f>
        <v>2296</v>
      </c>
      <c r="H126" s="90">
        <f>+F126*3.04%</f>
        <v>2432</v>
      </c>
      <c r="I126" s="123">
        <v>7400.9372916666662</v>
      </c>
      <c r="J126" s="92">
        <v>25</v>
      </c>
      <c r="K126" s="85">
        <f>SUM(G126:J126)</f>
        <v>12153.937291666665</v>
      </c>
      <c r="L126" s="86">
        <f>+F126-K126</f>
        <v>67846.062708333338</v>
      </c>
      <c r="N126" s="56"/>
    </row>
    <row r="127" spans="1:14" s="56" customFormat="1" ht="30" customHeight="1" thickBot="1" x14ac:dyDescent="0.3">
      <c r="A127" s="229" t="s">
        <v>128</v>
      </c>
      <c r="B127" s="230"/>
      <c r="C127" s="230"/>
      <c r="D127" s="230"/>
      <c r="E127" s="231"/>
      <c r="F127" s="40">
        <f t="shared" ref="F127:L127" si="33">SUM(F123:F126)</f>
        <v>330000</v>
      </c>
      <c r="G127" s="40">
        <f t="shared" si="33"/>
        <v>9471</v>
      </c>
      <c r="H127" s="40">
        <f t="shared" si="33"/>
        <v>10032</v>
      </c>
      <c r="I127" s="40">
        <f t="shared" si="33"/>
        <v>31955.999166666665</v>
      </c>
      <c r="J127" s="40">
        <f t="shared" si="33"/>
        <v>25072.33</v>
      </c>
      <c r="K127" s="40">
        <f t="shared" si="33"/>
        <v>76531.329166666663</v>
      </c>
      <c r="L127" s="40">
        <f t="shared" si="33"/>
        <v>253468.67083333334</v>
      </c>
      <c r="M127" s="42"/>
    </row>
    <row r="128" spans="1:14" s="56" customFormat="1" ht="30" customHeight="1" thickBot="1" x14ac:dyDescent="0.3">
      <c r="A128" s="235" t="s">
        <v>175</v>
      </c>
      <c r="B128" s="236"/>
      <c r="C128" s="236"/>
      <c r="D128" s="236"/>
      <c r="E128" s="236"/>
      <c r="F128" s="236"/>
      <c r="G128" s="236"/>
      <c r="H128" s="236"/>
      <c r="I128" s="236"/>
      <c r="J128" s="236"/>
      <c r="K128" s="236"/>
      <c r="L128" s="237"/>
      <c r="M128" s="42"/>
    </row>
    <row r="129" spans="1:14" s="56" customFormat="1" ht="30" customHeight="1" x14ac:dyDescent="0.25">
      <c r="A129" s="39">
        <f>A126+1</f>
        <v>66</v>
      </c>
      <c r="B129" s="121" t="s">
        <v>194</v>
      </c>
      <c r="C129" s="39" t="s">
        <v>442</v>
      </c>
      <c r="D129" s="122" t="s">
        <v>52</v>
      </c>
      <c r="E129" s="121" t="s">
        <v>125</v>
      </c>
      <c r="F129" s="123">
        <v>90000</v>
      </c>
      <c r="G129" s="123">
        <f>F129*2.87%</f>
        <v>2583</v>
      </c>
      <c r="H129" s="90">
        <f>+F129*3.04%</f>
        <v>2736</v>
      </c>
      <c r="I129" s="90">
        <v>9753.1872916666671</v>
      </c>
      <c r="J129" s="92">
        <f>10010.34+25</f>
        <v>10035.34</v>
      </c>
      <c r="K129" s="85">
        <f>SUM(G129:J129)</f>
        <v>25107.527291666665</v>
      </c>
      <c r="L129" s="86">
        <f>+F129-K129</f>
        <v>64892.472708333335</v>
      </c>
      <c r="M129" s="42"/>
    </row>
    <row r="130" spans="1:14" s="56" customFormat="1" ht="30" customHeight="1" x14ac:dyDescent="0.25">
      <c r="A130" s="39">
        <f>+A129+1</f>
        <v>67</v>
      </c>
      <c r="B130" s="121" t="s">
        <v>540</v>
      </c>
      <c r="C130" s="39" t="s">
        <v>441</v>
      </c>
      <c r="D130" s="122" t="s">
        <v>52</v>
      </c>
      <c r="E130" s="121" t="s">
        <v>125</v>
      </c>
      <c r="F130" s="123">
        <v>90000</v>
      </c>
      <c r="G130" s="123">
        <f>F130*2.87%</f>
        <v>2583</v>
      </c>
      <c r="H130" s="90">
        <f>+F130*3.04%</f>
        <v>2736</v>
      </c>
      <c r="I130" s="123">
        <v>9753.1872916666671</v>
      </c>
      <c r="J130" s="92">
        <v>18622.96</v>
      </c>
      <c r="K130" s="85">
        <f>SUM(G130:J130)</f>
        <v>33695.147291666668</v>
      </c>
      <c r="L130" s="86">
        <f>+F130-K130</f>
        <v>56304.852708333332</v>
      </c>
      <c r="M130" s="42"/>
    </row>
    <row r="131" spans="1:14" s="50" customFormat="1" ht="30" customHeight="1" x14ac:dyDescent="0.25">
      <c r="A131" s="39">
        <f>+A130+1</f>
        <v>68</v>
      </c>
      <c r="B131" s="121" t="s">
        <v>274</v>
      </c>
      <c r="C131" s="39" t="s">
        <v>442</v>
      </c>
      <c r="D131" s="122" t="s">
        <v>52</v>
      </c>
      <c r="E131" s="121" t="s">
        <v>125</v>
      </c>
      <c r="F131" s="123">
        <v>85000</v>
      </c>
      <c r="G131" s="123">
        <f>F131*2.87%</f>
        <v>2439.5</v>
      </c>
      <c r="H131" s="90">
        <f>+F131*3.04%</f>
        <v>2584</v>
      </c>
      <c r="I131" s="90">
        <v>8577.0622916666671</v>
      </c>
      <c r="J131" s="92">
        <v>911.92</v>
      </c>
      <c r="K131" s="85">
        <f>SUM(G131:J131)</f>
        <v>14512.482291666667</v>
      </c>
      <c r="L131" s="86">
        <f>+F131-K131</f>
        <v>70487.517708333326</v>
      </c>
      <c r="N131" s="95"/>
    </row>
    <row r="132" spans="1:14" ht="30" customHeight="1" x14ac:dyDescent="0.25">
      <c r="A132" s="39">
        <f>+A131+1</f>
        <v>69</v>
      </c>
      <c r="B132" s="121" t="s">
        <v>202</v>
      </c>
      <c r="C132" s="39" t="s">
        <v>441</v>
      </c>
      <c r="D132" s="122" t="s">
        <v>52</v>
      </c>
      <c r="E132" s="121" t="s">
        <v>125</v>
      </c>
      <c r="F132" s="123">
        <v>80000</v>
      </c>
      <c r="G132" s="90">
        <v>2296</v>
      </c>
      <c r="H132" s="90">
        <v>2432</v>
      </c>
      <c r="I132" s="90">
        <v>6645.27</v>
      </c>
      <c r="J132" s="92">
        <f>3024.9+3525.31+11855.48+25</f>
        <v>18430.689999999999</v>
      </c>
      <c r="K132" s="85">
        <f>SUM(G132:J132)</f>
        <v>29803.96</v>
      </c>
      <c r="L132" s="86">
        <f>+F132-K132</f>
        <v>50196.04</v>
      </c>
    </row>
    <row r="133" spans="1:14" s="42" customFormat="1" ht="30" customHeight="1" x14ac:dyDescent="0.25">
      <c r="A133" s="229" t="s">
        <v>128</v>
      </c>
      <c r="B133" s="230"/>
      <c r="C133" s="230"/>
      <c r="D133" s="230"/>
      <c r="E133" s="231"/>
      <c r="F133" s="40">
        <f t="shared" ref="F133:L133" si="34">SUM(F129:F132)</f>
        <v>345000</v>
      </c>
      <c r="G133" s="40">
        <f t="shared" si="34"/>
        <v>9901.5</v>
      </c>
      <c r="H133" s="40">
        <f t="shared" si="34"/>
        <v>10488</v>
      </c>
      <c r="I133" s="40">
        <f t="shared" si="34"/>
        <v>34728.706875000003</v>
      </c>
      <c r="J133" s="40">
        <f t="shared" si="34"/>
        <v>48000.909999999996</v>
      </c>
      <c r="K133" s="40">
        <f t="shared" si="34"/>
        <v>103119.11687500001</v>
      </c>
      <c r="L133" s="40">
        <f t="shared" si="34"/>
        <v>241880.88312499999</v>
      </c>
      <c r="N133" s="56"/>
    </row>
    <row r="134" spans="1:14" s="42" customFormat="1" ht="30" customHeight="1" thickBot="1" x14ac:dyDescent="0.3">
      <c r="A134" s="4"/>
      <c r="B134" s="25"/>
      <c r="C134" s="4"/>
      <c r="D134" s="25"/>
      <c r="E134" s="25"/>
      <c r="F134" s="2"/>
      <c r="G134" s="1"/>
      <c r="H134" s="1"/>
      <c r="I134" s="1"/>
      <c r="J134" s="1"/>
      <c r="K134" s="1"/>
      <c r="L134" s="1"/>
      <c r="N134" s="56"/>
    </row>
    <row r="135" spans="1:14" s="56" customFormat="1" ht="30" customHeight="1" thickBot="1" x14ac:dyDescent="0.3">
      <c r="A135" s="235" t="s">
        <v>176</v>
      </c>
      <c r="B135" s="236"/>
      <c r="C135" s="236"/>
      <c r="D135" s="236"/>
      <c r="E135" s="236"/>
      <c r="F135" s="236"/>
      <c r="G135" s="236"/>
      <c r="H135" s="236"/>
      <c r="I135" s="236"/>
      <c r="J135" s="236"/>
      <c r="K135" s="236"/>
      <c r="L135" s="237"/>
      <c r="M135" s="42"/>
    </row>
    <row r="136" spans="1:14" s="50" customFormat="1" ht="30" customHeight="1" x14ac:dyDescent="0.25">
      <c r="A136" s="88">
        <f>+A132+1</f>
        <v>70</v>
      </c>
      <c r="B136" s="89" t="s">
        <v>105</v>
      </c>
      <c r="C136" s="88" t="s">
        <v>442</v>
      </c>
      <c r="D136" s="93" t="s">
        <v>52</v>
      </c>
      <c r="E136" s="89" t="s">
        <v>124</v>
      </c>
      <c r="F136" s="90">
        <v>90000</v>
      </c>
      <c r="G136" s="90">
        <f t="shared" ref="G136:G141" si="35">F136*2.87%</f>
        <v>2583</v>
      </c>
      <c r="H136" s="90">
        <f t="shared" ref="H136:H141" si="36">+F136*3.04%</f>
        <v>2736</v>
      </c>
      <c r="I136" s="90">
        <v>9753.1872916666671</v>
      </c>
      <c r="J136" s="92">
        <v>25</v>
      </c>
      <c r="K136" s="85">
        <f t="shared" ref="K136" si="37">SUM(G136:J136)</f>
        <v>15097.187291666667</v>
      </c>
      <c r="L136" s="86">
        <f t="shared" ref="L136" si="38">+F136-K136</f>
        <v>74902.812708333338</v>
      </c>
      <c r="N136" s="95"/>
    </row>
    <row r="137" spans="1:14" s="56" customFormat="1" ht="30" customHeight="1" x14ac:dyDescent="0.25">
      <c r="A137" s="88">
        <f>+A136+1</f>
        <v>71</v>
      </c>
      <c r="B137" s="121" t="s">
        <v>61</v>
      </c>
      <c r="C137" s="39" t="s">
        <v>442</v>
      </c>
      <c r="D137" s="122" t="s">
        <v>52</v>
      </c>
      <c r="E137" s="121" t="s">
        <v>125</v>
      </c>
      <c r="F137" s="123">
        <v>90000</v>
      </c>
      <c r="G137" s="123">
        <f t="shared" si="35"/>
        <v>2583</v>
      </c>
      <c r="H137" s="90">
        <f t="shared" si="36"/>
        <v>2736</v>
      </c>
      <c r="I137" s="123">
        <v>8996.9622916666685</v>
      </c>
      <c r="J137" s="92">
        <v>3149.9</v>
      </c>
      <c r="K137" s="85">
        <f>SUM(G137:J137)</f>
        <v>17465.862291666668</v>
      </c>
      <c r="L137" s="86">
        <f>+F137-K137</f>
        <v>72534.137708333335</v>
      </c>
      <c r="M137" s="42"/>
    </row>
    <row r="138" spans="1:14" s="56" customFormat="1" ht="30" customHeight="1" x14ac:dyDescent="0.25">
      <c r="A138" s="39">
        <f>+A137+1</f>
        <v>72</v>
      </c>
      <c r="B138" s="121" t="s">
        <v>5</v>
      </c>
      <c r="C138" s="39" t="s">
        <v>442</v>
      </c>
      <c r="D138" s="122" t="s">
        <v>52</v>
      </c>
      <c r="E138" s="121" t="s">
        <v>125</v>
      </c>
      <c r="F138" s="123">
        <v>90000</v>
      </c>
      <c r="G138" s="123">
        <f t="shared" si="35"/>
        <v>2583</v>
      </c>
      <c r="H138" s="90">
        <f t="shared" si="36"/>
        <v>2736</v>
      </c>
      <c r="I138" s="90">
        <v>9753.1872916666671</v>
      </c>
      <c r="J138" s="86">
        <v>11891.85</v>
      </c>
      <c r="K138" s="85">
        <f>SUM(G138:J138)</f>
        <v>26964.037291666667</v>
      </c>
      <c r="L138" s="86">
        <f>+F138-K138</f>
        <v>63035.962708333333</v>
      </c>
      <c r="M138" s="42"/>
    </row>
    <row r="139" spans="1:14" s="56" customFormat="1" ht="30" customHeight="1" x14ac:dyDescent="0.25">
      <c r="A139" s="88">
        <f>+A138+1</f>
        <v>73</v>
      </c>
      <c r="B139" s="121" t="s">
        <v>276</v>
      </c>
      <c r="C139" s="39" t="s">
        <v>442</v>
      </c>
      <c r="D139" s="122" t="s">
        <v>52</v>
      </c>
      <c r="E139" s="121" t="s">
        <v>124</v>
      </c>
      <c r="F139" s="123">
        <v>80000</v>
      </c>
      <c r="G139" s="123">
        <f t="shared" si="35"/>
        <v>2296</v>
      </c>
      <c r="H139" s="90">
        <f t="shared" si="36"/>
        <v>2432</v>
      </c>
      <c r="I139" s="90">
        <v>7400.9372916666662</v>
      </c>
      <c r="J139" s="92">
        <v>25</v>
      </c>
      <c r="K139" s="85">
        <f>SUM(G139:J139)</f>
        <v>12153.937291666665</v>
      </c>
      <c r="L139" s="86">
        <f>+F139-K139</f>
        <v>67846.062708333338</v>
      </c>
      <c r="M139" s="42"/>
    </row>
    <row r="140" spans="1:14" ht="30" customHeight="1" x14ac:dyDescent="0.25">
      <c r="A140" s="88">
        <f>+A139+1</f>
        <v>74</v>
      </c>
      <c r="B140" s="121" t="s">
        <v>277</v>
      </c>
      <c r="C140" s="39" t="s">
        <v>441</v>
      </c>
      <c r="D140" s="122" t="s">
        <v>52</v>
      </c>
      <c r="E140" s="121" t="s">
        <v>124</v>
      </c>
      <c r="F140" s="123">
        <v>80000</v>
      </c>
      <c r="G140" s="123">
        <f t="shared" si="35"/>
        <v>2296</v>
      </c>
      <c r="H140" s="90">
        <f t="shared" si="36"/>
        <v>2432</v>
      </c>
      <c r="I140" s="90">
        <v>7400.9372916666662</v>
      </c>
      <c r="J140" s="92">
        <v>25</v>
      </c>
      <c r="K140" s="85">
        <f>SUM(G140:J140)</f>
        <v>12153.937291666665</v>
      </c>
      <c r="L140" s="86">
        <f>+F140-K140</f>
        <v>67846.062708333338</v>
      </c>
    </row>
    <row r="141" spans="1:14" s="42" customFormat="1" ht="30" customHeight="1" x14ac:dyDescent="0.25">
      <c r="A141" s="88">
        <f>+A140+1</f>
        <v>75</v>
      </c>
      <c r="B141" s="121" t="s">
        <v>278</v>
      </c>
      <c r="C141" s="39" t="s">
        <v>442</v>
      </c>
      <c r="D141" s="122" t="s">
        <v>52</v>
      </c>
      <c r="E141" s="121" t="s">
        <v>125</v>
      </c>
      <c r="F141" s="123">
        <v>80000</v>
      </c>
      <c r="G141" s="123">
        <f t="shared" si="35"/>
        <v>2296</v>
      </c>
      <c r="H141" s="90">
        <f t="shared" si="36"/>
        <v>2432</v>
      </c>
      <c r="I141" s="123">
        <v>7400.9372916666662</v>
      </c>
      <c r="J141" s="92">
        <v>25</v>
      </c>
      <c r="K141" s="85">
        <f>SUM(G141:J141)</f>
        <v>12153.937291666665</v>
      </c>
      <c r="L141" s="86">
        <f>+F141-K141</f>
        <v>67846.062708333338</v>
      </c>
      <c r="N141" s="56"/>
    </row>
    <row r="142" spans="1:14" s="56" customFormat="1" ht="30" customHeight="1" x14ac:dyDescent="0.25">
      <c r="A142" s="229" t="s">
        <v>128</v>
      </c>
      <c r="B142" s="230"/>
      <c r="C142" s="230"/>
      <c r="D142" s="230"/>
      <c r="E142" s="231"/>
      <c r="F142" s="40">
        <f t="shared" ref="F142:L142" si="39">SUM(F136:F141)</f>
        <v>510000</v>
      </c>
      <c r="G142" s="40">
        <f t="shared" si="39"/>
        <v>14637</v>
      </c>
      <c r="H142" s="40">
        <f t="shared" si="39"/>
        <v>15504</v>
      </c>
      <c r="I142" s="40">
        <f t="shared" si="39"/>
        <v>50706.148750000008</v>
      </c>
      <c r="J142" s="40">
        <f t="shared" si="39"/>
        <v>15141.75</v>
      </c>
      <c r="K142" s="40">
        <f t="shared" si="39"/>
        <v>95988.898749999993</v>
      </c>
      <c r="L142" s="40">
        <f t="shared" si="39"/>
        <v>414011.10125000007</v>
      </c>
      <c r="M142" s="42"/>
    </row>
    <row r="143" spans="1:14" s="95" customFormat="1" ht="30" customHeight="1" thickBot="1" x14ac:dyDescent="0.3">
      <c r="A143" s="4"/>
      <c r="B143" s="25"/>
      <c r="C143" s="4"/>
      <c r="D143" s="25"/>
      <c r="E143" s="25"/>
      <c r="F143" s="2"/>
      <c r="G143" s="1"/>
      <c r="H143" s="1"/>
      <c r="I143" s="1"/>
      <c r="J143" s="1"/>
      <c r="K143" s="1"/>
      <c r="L143" s="1"/>
      <c r="M143" s="50"/>
    </row>
    <row r="144" spans="1:14" s="50" customFormat="1" ht="30" customHeight="1" thickBot="1" x14ac:dyDescent="0.3">
      <c r="A144" s="235" t="s">
        <v>177</v>
      </c>
      <c r="B144" s="236"/>
      <c r="C144" s="236"/>
      <c r="D144" s="236"/>
      <c r="E144" s="236"/>
      <c r="F144" s="236"/>
      <c r="G144" s="236"/>
      <c r="H144" s="236"/>
      <c r="I144" s="236"/>
      <c r="J144" s="236"/>
      <c r="K144" s="236"/>
      <c r="L144" s="237"/>
      <c r="N144" s="95"/>
    </row>
    <row r="145" spans="1:14" ht="30" customHeight="1" x14ac:dyDescent="0.25">
      <c r="A145" s="88">
        <f>+A141+1</f>
        <v>76</v>
      </c>
      <c r="B145" s="89" t="s">
        <v>279</v>
      </c>
      <c r="C145" s="88" t="s">
        <v>442</v>
      </c>
      <c r="D145" s="93" t="s">
        <v>52</v>
      </c>
      <c r="E145" s="89" t="s">
        <v>125</v>
      </c>
      <c r="F145" s="90">
        <v>90000</v>
      </c>
      <c r="G145" s="90">
        <f>F145*2.87%</f>
        <v>2583</v>
      </c>
      <c r="H145" s="90">
        <f>+F145*3.04%</f>
        <v>2736</v>
      </c>
      <c r="I145" s="90">
        <v>9375.0747916666678</v>
      </c>
      <c r="J145" s="92">
        <v>1537.45</v>
      </c>
      <c r="K145" s="85">
        <f>SUM(G145:J145)</f>
        <v>16231.524791666669</v>
      </c>
      <c r="L145" s="86">
        <f>+F145-K145</f>
        <v>73768.47520833333</v>
      </c>
    </row>
    <row r="146" spans="1:14" s="42" customFormat="1" ht="30" customHeight="1" x14ac:dyDescent="0.25">
      <c r="A146" s="88">
        <f>+A145+1</f>
        <v>77</v>
      </c>
      <c r="B146" s="121" t="s">
        <v>195</v>
      </c>
      <c r="C146" s="39" t="s">
        <v>441</v>
      </c>
      <c r="D146" s="121" t="s">
        <v>52</v>
      </c>
      <c r="E146" s="121" t="s">
        <v>124</v>
      </c>
      <c r="F146" s="123">
        <v>90000</v>
      </c>
      <c r="G146" s="90">
        <f>F146*2.87%</f>
        <v>2583</v>
      </c>
      <c r="H146" s="90">
        <f>+F146*3.04%</f>
        <v>2736</v>
      </c>
      <c r="I146" s="123">
        <v>9753.1872916666671</v>
      </c>
      <c r="J146" s="92">
        <v>25</v>
      </c>
      <c r="K146" s="85">
        <f>SUM(G146:J146)</f>
        <v>15097.187291666667</v>
      </c>
      <c r="L146" s="86">
        <f>+F146-K146</f>
        <v>74902.812708333338</v>
      </c>
      <c r="N146" s="56"/>
    </row>
    <row r="147" spans="1:14" s="56" customFormat="1" ht="30" customHeight="1" x14ac:dyDescent="0.25">
      <c r="A147" s="229" t="s">
        <v>128</v>
      </c>
      <c r="B147" s="230"/>
      <c r="C147" s="230"/>
      <c r="D147" s="230"/>
      <c r="E147" s="231"/>
      <c r="F147" s="40">
        <f t="shared" ref="F147:L147" si="40">SUM(F145:F146)</f>
        <v>180000</v>
      </c>
      <c r="G147" s="40">
        <f t="shared" si="40"/>
        <v>5166</v>
      </c>
      <c r="H147" s="40">
        <f t="shared" si="40"/>
        <v>5472</v>
      </c>
      <c r="I147" s="40">
        <f t="shared" si="40"/>
        <v>19128.262083333335</v>
      </c>
      <c r="J147" s="40">
        <f t="shared" si="40"/>
        <v>1562.45</v>
      </c>
      <c r="K147" s="40">
        <f t="shared" si="40"/>
        <v>31328.712083333336</v>
      </c>
      <c r="L147" s="40">
        <f t="shared" si="40"/>
        <v>148671.28791666665</v>
      </c>
      <c r="M147" s="42"/>
    </row>
    <row r="148" spans="1:14" s="56" customFormat="1" ht="30" customHeight="1" thickBot="1" x14ac:dyDescent="0.3">
      <c r="A148" s="4"/>
      <c r="B148" s="25"/>
      <c r="C148" s="4"/>
      <c r="D148" s="25"/>
      <c r="E148" s="25"/>
      <c r="F148" s="2"/>
      <c r="G148" s="1"/>
      <c r="H148" s="1"/>
      <c r="I148" s="1"/>
      <c r="J148" s="1"/>
      <c r="K148" s="1"/>
      <c r="L148" s="1"/>
      <c r="M148" s="42"/>
    </row>
    <row r="149" spans="1:14" s="56" customFormat="1" ht="30" customHeight="1" thickBot="1" x14ac:dyDescent="0.3">
      <c r="A149" s="235" t="s">
        <v>178</v>
      </c>
      <c r="B149" s="236"/>
      <c r="C149" s="236"/>
      <c r="D149" s="236"/>
      <c r="E149" s="236"/>
      <c r="F149" s="236"/>
      <c r="G149" s="236"/>
      <c r="H149" s="236"/>
      <c r="I149" s="236"/>
      <c r="J149" s="236"/>
      <c r="K149" s="236"/>
      <c r="L149" s="237"/>
      <c r="M149" s="42"/>
    </row>
    <row r="150" spans="1:14" s="56" customFormat="1" ht="30" customHeight="1" x14ac:dyDescent="0.25">
      <c r="A150" s="83">
        <f>+A146+1</f>
        <v>78</v>
      </c>
      <c r="B150" s="126" t="s">
        <v>281</v>
      </c>
      <c r="C150" s="136" t="s">
        <v>441</v>
      </c>
      <c r="D150" s="137" t="s">
        <v>282</v>
      </c>
      <c r="E150" s="121" t="s">
        <v>125</v>
      </c>
      <c r="F150" s="120">
        <v>126500</v>
      </c>
      <c r="G150" s="90">
        <v>3630.55</v>
      </c>
      <c r="H150" s="90">
        <v>3845.6</v>
      </c>
      <c r="I150" s="90">
        <v>17960.787291666664</v>
      </c>
      <c r="J150" s="92">
        <v>1637.45</v>
      </c>
      <c r="K150" s="85">
        <f>SUM(G150:J150)</f>
        <v>27074.387291666662</v>
      </c>
      <c r="L150" s="86">
        <f t="shared" ref="L150:L154" si="41">+F150-K150</f>
        <v>99425.612708333341</v>
      </c>
      <c r="M150" s="42"/>
    </row>
    <row r="151" spans="1:14" s="56" customFormat="1" ht="30" customHeight="1" x14ac:dyDescent="0.25">
      <c r="A151" s="88">
        <f>A150+1</f>
        <v>79</v>
      </c>
      <c r="B151" s="121" t="s">
        <v>283</v>
      </c>
      <c r="C151" s="39" t="s">
        <v>442</v>
      </c>
      <c r="D151" s="122" t="s">
        <v>52</v>
      </c>
      <c r="E151" s="121" t="s">
        <v>125</v>
      </c>
      <c r="F151" s="123">
        <v>90000</v>
      </c>
      <c r="G151" s="123">
        <f>F151*2.87%</f>
        <v>2583</v>
      </c>
      <c r="H151" s="90">
        <f>+F151*3.04%</f>
        <v>2736</v>
      </c>
      <c r="I151" s="90">
        <v>9753.1200000000008</v>
      </c>
      <c r="J151" s="92">
        <v>25</v>
      </c>
      <c r="K151" s="85">
        <f t="shared" ref="K151:K154" si="42">SUM(G151:J151)</f>
        <v>15097.12</v>
      </c>
      <c r="L151" s="86">
        <f t="shared" si="41"/>
        <v>74902.880000000005</v>
      </c>
      <c r="M151" s="42"/>
    </row>
    <row r="152" spans="1:14" s="50" customFormat="1" ht="30" customHeight="1" x14ac:dyDescent="0.25">
      <c r="A152" s="88">
        <f>+A151+1</f>
        <v>80</v>
      </c>
      <c r="B152" s="121" t="s">
        <v>284</v>
      </c>
      <c r="C152" s="39" t="s">
        <v>442</v>
      </c>
      <c r="D152" s="122" t="s">
        <v>52</v>
      </c>
      <c r="E152" s="121" t="s">
        <v>125</v>
      </c>
      <c r="F152" s="123">
        <v>90000</v>
      </c>
      <c r="G152" s="123">
        <f>F152*2.87%</f>
        <v>2583</v>
      </c>
      <c r="H152" s="90">
        <f>+F152*3.04%</f>
        <v>2736</v>
      </c>
      <c r="I152" s="90">
        <v>9753.1872916666671</v>
      </c>
      <c r="J152" s="92">
        <v>25</v>
      </c>
      <c r="K152" s="85">
        <f t="shared" si="42"/>
        <v>15097.187291666667</v>
      </c>
      <c r="L152" s="86">
        <f t="shared" si="41"/>
        <v>74902.812708333338</v>
      </c>
      <c r="N152" s="95"/>
    </row>
    <row r="153" spans="1:14" ht="29.25" customHeight="1" x14ac:dyDescent="0.25">
      <c r="A153" s="83">
        <f>+A152+1</f>
        <v>81</v>
      </c>
      <c r="B153" s="121" t="s">
        <v>145</v>
      </c>
      <c r="C153" s="39" t="s">
        <v>442</v>
      </c>
      <c r="D153" s="122" t="s">
        <v>52</v>
      </c>
      <c r="E153" s="121" t="s">
        <v>125</v>
      </c>
      <c r="F153" s="123">
        <v>80000</v>
      </c>
      <c r="G153" s="123">
        <f>F153*2.87%</f>
        <v>2296</v>
      </c>
      <c r="H153" s="90">
        <f>+F153*3.04%</f>
        <v>2432</v>
      </c>
      <c r="I153" s="90">
        <v>7400.87</v>
      </c>
      <c r="J153" s="92">
        <v>1025</v>
      </c>
      <c r="K153" s="85">
        <f t="shared" si="42"/>
        <v>13153.869999999999</v>
      </c>
      <c r="L153" s="86">
        <f t="shared" si="41"/>
        <v>66846.13</v>
      </c>
    </row>
    <row r="154" spans="1:14" ht="29.25" customHeight="1" x14ac:dyDescent="0.25">
      <c r="A154" s="88">
        <f>+A153+1</f>
        <v>82</v>
      </c>
      <c r="B154" s="121" t="s">
        <v>73</v>
      </c>
      <c r="C154" s="39" t="s">
        <v>441</v>
      </c>
      <c r="D154" s="122" t="s">
        <v>52</v>
      </c>
      <c r="E154" s="121" t="s">
        <v>125</v>
      </c>
      <c r="F154" s="123">
        <v>80000</v>
      </c>
      <c r="G154" s="123">
        <f>F154*2.87%</f>
        <v>2296</v>
      </c>
      <c r="H154" s="90">
        <f>+F154*3.04%</f>
        <v>2432</v>
      </c>
      <c r="I154" s="123">
        <v>7022.8247916666687</v>
      </c>
      <c r="J154" s="92">
        <v>1537.45</v>
      </c>
      <c r="K154" s="85">
        <f t="shared" si="42"/>
        <v>13288.27479166667</v>
      </c>
      <c r="L154" s="86">
        <f t="shared" si="41"/>
        <v>66711.72520833333</v>
      </c>
    </row>
    <row r="155" spans="1:14" s="56" customFormat="1" ht="30" customHeight="1" x14ac:dyDescent="0.25">
      <c r="A155" s="229" t="s">
        <v>128</v>
      </c>
      <c r="B155" s="230"/>
      <c r="C155" s="230"/>
      <c r="D155" s="230"/>
      <c r="E155" s="231"/>
      <c r="F155" s="40">
        <f t="shared" ref="F155:J155" si="43">SUM(F150:F154)</f>
        <v>466500</v>
      </c>
      <c r="G155" s="40">
        <f t="shared" si="43"/>
        <v>13388.55</v>
      </c>
      <c r="H155" s="40">
        <f t="shared" si="43"/>
        <v>14181.6</v>
      </c>
      <c r="I155" s="40">
        <f>SUM(I150:I154)</f>
        <v>51890.789375</v>
      </c>
      <c r="J155" s="40">
        <f t="shared" si="43"/>
        <v>4249.8999999999996</v>
      </c>
      <c r="K155" s="40">
        <f>SUM(K150:K154)</f>
        <v>83710.839374999996</v>
      </c>
      <c r="L155" s="40">
        <f>SUM(L150:L154)</f>
        <v>382789.16062500002</v>
      </c>
      <c r="M155" s="42"/>
    </row>
    <row r="156" spans="1:14" s="50" customFormat="1" ht="47.45" customHeight="1" thickBot="1" x14ac:dyDescent="0.3">
      <c r="A156" s="53"/>
      <c r="B156" s="53"/>
      <c r="C156" s="53"/>
      <c r="D156" s="53"/>
      <c r="E156" s="53"/>
      <c r="F156" s="43"/>
      <c r="G156" s="43"/>
      <c r="H156" s="43"/>
      <c r="I156" s="43"/>
      <c r="J156" s="43"/>
      <c r="K156" s="43"/>
      <c r="L156" s="43"/>
      <c r="N156" s="95"/>
    </row>
    <row r="157" spans="1:14" s="50" customFormat="1" ht="37.5" customHeight="1" thickBot="1" x14ac:dyDescent="0.3">
      <c r="A157" s="232" t="s">
        <v>179</v>
      </c>
      <c r="B157" s="233"/>
      <c r="C157" s="233"/>
      <c r="D157" s="233"/>
      <c r="E157" s="233"/>
      <c r="F157" s="233"/>
      <c r="G157" s="233"/>
      <c r="H157" s="233"/>
      <c r="I157" s="233"/>
      <c r="J157" s="233"/>
      <c r="K157" s="233"/>
      <c r="L157" s="234"/>
      <c r="N157" s="95"/>
    </row>
    <row r="158" spans="1:14" customFormat="1" ht="27" customHeight="1" x14ac:dyDescent="0.25">
      <c r="A158" s="88">
        <f>+A154+1</f>
        <v>83</v>
      </c>
      <c r="B158" s="121" t="s">
        <v>74</v>
      </c>
      <c r="C158" s="39" t="s">
        <v>442</v>
      </c>
      <c r="D158" s="122" t="s">
        <v>208</v>
      </c>
      <c r="E158" s="121" t="s">
        <v>125</v>
      </c>
      <c r="F158" s="123">
        <v>148500</v>
      </c>
      <c r="G158" s="90">
        <v>4261.95</v>
      </c>
      <c r="H158" s="90">
        <v>4514.3999999999996</v>
      </c>
      <c r="I158" s="90">
        <v>23513.849791666664</v>
      </c>
      <c r="J158" s="92">
        <v>7527.87</v>
      </c>
      <c r="K158" s="85">
        <f>SUM(G158:J158)</f>
        <v>39818.069791666661</v>
      </c>
      <c r="L158" s="92">
        <f>+F158-K158</f>
        <v>108681.93020833333</v>
      </c>
      <c r="M158" s="225"/>
    </row>
    <row r="159" spans="1:14" s="42" customFormat="1" ht="30" customHeight="1" x14ac:dyDescent="0.25">
      <c r="A159" s="39">
        <f>+A158+1</f>
        <v>84</v>
      </c>
      <c r="B159" s="121" t="s">
        <v>484</v>
      </c>
      <c r="C159" s="39" t="s">
        <v>442</v>
      </c>
      <c r="D159" s="122" t="s">
        <v>68</v>
      </c>
      <c r="E159" s="121" t="s">
        <v>237</v>
      </c>
      <c r="F159" s="123">
        <v>50000</v>
      </c>
      <c r="G159" s="90">
        <f>+F159*2.87%</f>
        <v>1435</v>
      </c>
      <c r="H159" s="90">
        <f>+F159*3.04%</f>
        <v>1520</v>
      </c>
      <c r="I159" s="90">
        <v>1854</v>
      </c>
      <c r="J159" s="92">
        <v>25</v>
      </c>
      <c r="K159" s="85">
        <f>SUM(G159:J159)</f>
        <v>4834</v>
      </c>
      <c r="L159" s="92">
        <f>+F159-K159</f>
        <v>45166</v>
      </c>
      <c r="N159" s="56"/>
    </row>
    <row r="160" spans="1:14" s="56" customFormat="1" ht="30" customHeight="1" x14ac:dyDescent="0.25">
      <c r="A160" s="229" t="s">
        <v>128</v>
      </c>
      <c r="B160" s="230"/>
      <c r="C160" s="230"/>
      <c r="D160" s="230"/>
      <c r="E160" s="231"/>
      <c r="F160" s="40">
        <f>SUM(F158:F159)</f>
        <v>198500</v>
      </c>
      <c r="G160" s="40">
        <f t="shared" ref="G160:L160" si="44">SUM(G158:G159)</f>
        <v>5696.95</v>
      </c>
      <c r="H160" s="40">
        <f t="shared" si="44"/>
        <v>6034.4</v>
      </c>
      <c r="I160" s="40">
        <f t="shared" si="44"/>
        <v>25367.849791666664</v>
      </c>
      <c r="J160" s="40">
        <f t="shared" si="44"/>
        <v>7552.87</v>
      </c>
      <c r="K160" s="40">
        <f t="shared" si="44"/>
        <v>44652.069791666661</v>
      </c>
      <c r="L160" s="40">
        <f t="shared" si="44"/>
        <v>153847.93020833333</v>
      </c>
      <c r="M160" s="42"/>
    </row>
    <row r="161" spans="1:14" s="56" customFormat="1" ht="30" customHeight="1" thickBot="1" x14ac:dyDescent="0.3">
      <c r="A161"/>
      <c r="B161"/>
      <c r="C161" s="152"/>
      <c r="D161"/>
      <c r="E161"/>
      <c r="F161"/>
      <c r="G161"/>
      <c r="H161"/>
      <c r="I161"/>
      <c r="J161"/>
      <c r="K161"/>
      <c r="L161"/>
      <c r="M161" s="42"/>
    </row>
    <row r="162" spans="1:14" s="56" customFormat="1" ht="30" customHeight="1" thickBot="1" x14ac:dyDescent="0.3">
      <c r="A162" s="235" t="s">
        <v>180</v>
      </c>
      <c r="B162" s="236"/>
      <c r="C162" s="236"/>
      <c r="D162" s="236"/>
      <c r="E162" s="236"/>
      <c r="F162" s="236"/>
      <c r="G162" s="236"/>
      <c r="H162" s="236"/>
      <c r="I162" s="236"/>
      <c r="J162" s="236"/>
      <c r="K162" s="236"/>
      <c r="L162" s="237"/>
      <c r="M162" s="42"/>
    </row>
    <row r="163" spans="1:14" s="56" customFormat="1" ht="30" customHeight="1" x14ac:dyDescent="0.25">
      <c r="A163" s="88">
        <f>+A159+1</f>
        <v>85</v>
      </c>
      <c r="B163" s="89" t="s">
        <v>54</v>
      </c>
      <c r="C163" s="88" t="s">
        <v>442</v>
      </c>
      <c r="D163" s="89" t="s">
        <v>52</v>
      </c>
      <c r="E163" s="89" t="s">
        <v>125</v>
      </c>
      <c r="F163" s="90">
        <v>102000</v>
      </c>
      <c r="G163" s="90">
        <f>F163*2.87%</f>
        <v>2927.4</v>
      </c>
      <c r="H163" s="90">
        <f>+F163*3.04%</f>
        <v>3100.8</v>
      </c>
      <c r="I163" s="123">
        <v>12575.887291666668</v>
      </c>
      <c r="J163" s="92">
        <v>25</v>
      </c>
      <c r="K163" s="85">
        <f>SUM(G163:J163)</f>
        <v>18629.08729166667</v>
      </c>
      <c r="L163" s="86">
        <f>+F163-K163</f>
        <v>83370.91270833333</v>
      </c>
      <c r="M163" s="42"/>
    </row>
    <row r="164" spans="1:14" s="34" customFormat="1" ht="30" customHeight="1" x14ac:dyDescent="0.25">
      <c r="A164" s="88">
        <f>+A163+1</f>
        <v>86</v>
      </c>
      <c r="B164" s="121" t="s">
        <v>196</v>
      </c>
      <c r="C164" s="39" t="s">
        <v>442</v>
      </c>
      <c r="D164" s="122" t="s">
        <v>52</v>
      </c>
      <c r="E164" s="121" t="s">
        <v>125</v>
      </c>
      <c r="F164" s="123">
        <v>100000</v>
      </c>
      <c r="G164" s="123">
        <f>F164*2.87%</f>
        <v>2870</v>
      </c>
      <c r="H164" s="90">
        <f>+F164*3.04%</f>
        <v>3040</v>
      </c>
      <c r="I164" s="90">
        <v>11349.21229166667</v>
      </c>
      <c r="J164" s="92">
        <v>3049.9</v>
      </c>
      <c r="K164" s="85">
        <f>SUM(G164:J164)</f>
        <v>20309.112291666672</v>
      </c>
      <c r="L164" s="86">
        <f>+F164-K164</f>
        <v>79690.887708333321</v>
      </c>
      <c r="M164" s="138"/>
    </row>
    <row r="165" spans="1:14" s="42" customFormat="1" ht="30" customHeight="1" x14ac:dyDescent="0.25">
      <c r="A165" s="88">
        <f>+A164+1</f>
        <v>87</v>
      </c>
      <c r="B165" s="121" t="s">
        <v>286</v>
      </c>
      <c r="C165" s="39" t="s">
        <v>442</v>
      </c>
      <c r="D165" s="122" t="s">
        <v>52</v>
      </c>
      <c r="E165" s="121" t="s">
        <v>125</v>
      </c>
      <c r="F165" s="123">
        <v>95000</v>
      </c>
      <c r="G165" s="123">
        <f>F165*2.87%</f>
        <v>2726.5</v>
      </c>
      <c r="H165" s="90">
        <f>+F165*3.04%</f>
        <v>2888</v>
      </c>
      <c r="I165" s="90">
        <v>10929.312291666667</v>
      </c>
      <c r="J165" s="92">
        <v>25</v>
      </c>
      <c r="K165" s="85">
        <f>SUM(G165:J165)</f>
        <v>16568.812291666669</v>
      </c>
      <c r="L165" s="86">
        <f>+F165-K165</f>
        <v>78431.187708333338</v>
      </c>
      <c r="N165" s="56"/>
    </row>
    <row r="166" spans="1:14" s="42" customFormat="1" ht="30" customHeight="1" x14ac:dyDescent="0.25">
      <c r="A166" s="88">
        <f>+A165+1</f>
        <v>88</v>
      </c>
      <c r="B166" s="121" t="s">
        <v>287</v>
      </c>
      <c r="C166" s="39" t="s">
        <v>441</v>
      </c>
      <c r="D166" s="122" t="s">
        <v>52</v>
      </c>
      <c r="E166" s="121" t="s">
        <v>125</v>
      </c>
      <c r="F166" s="123">
        <v>90000</v>
      </c>
      <c r="G166" s="123">
        <f>F166*2.87%</f>
        <v>2583</v>
      </c>
      <c r="H166" s="90">
        <f>F166*3.04%</f>
        <v>2736</v>
      </c>
      <c r="I166" s="123">
        <v>9753.1872916666671</v>
      </c>
      <c r="J166" s="92">
        <v>25</v>
      </c>
      <c r="K166" s="85">
        <f>SUM(G166:J166)</f>
        <v>15097.187291666667</v>
      </c>
      <c r="L166" s="86">
        <f>+F166-K166</f>
        <v>74902.812708333338</v>
      </c>
      <c r="N166" s="56"/>
    </row>
    <row r="167" spans="1:14" s="42" customFormat="1" ht="30" customHeight="1" x14ac:dyDescent="0.25">
      <c r="A167" s="83">
        <f>+A166+1</f>
        <v>89</v>
      </c>
      <c r="B167" s="121" t="s">
        <v>48</v>
      </c>
      <c r="C167" s="39" t="s">
        <v>441</v>
      </c>
      <c r="D167" s="121" t="s">
        <v>52</v>
      </c>
      <c r="E167" s="121" t="s">
        <v>124</v>
      </c>
      <c r="F167" s="123">
        <v>80000</v>
      </c>
      <c r="G167" s="123">
        <f>F167*2.87%</f>
        <v>2296</v>
      </c>
      <c r="H167" s="90">
        <f>+F167*3.04%</f>
        <v>2432</v>
      </c>
      <c r="I167" s="123">
        <v>7022.8247916666687</v>
      </c>
      <c r="J167" s="92">
        <v>1637.45</v>
      </c>
      <c r="K167" s="85">
        <f>SUM(G167:J167)</f>
        <v>13388.27479166667</v>
      </c>
      <c r="L167" s="86">
        <f>+F167-K167</f>
        <v>66611.72520833333</v>
      </c>
      <c r="N167" s="56"/>
    </row>
    <row r="168" spans="1:14" s="42" customFormat="1" ht="30" customHeight="1" x14ac:dyDescent="0.25">
      <c r="A168" s="229" t="s">
        <v>128</v>
      </c>
      <c r="B168" s="230"/>
      <c r="C168" s="230"/>
      <c r="D168" s="230"/>
      <c r="E168" s="231"/>
      <c r="F168" s="40">
        <f>SUM(F163:F167)</f>
        <v>467000</v>
      </c>
      <c r="G168" s="40">
        <f t="shared" ref="G168:L168" si="45">SUM(G163:G167)</f>
        <v>13402.9</v>
      </c>
      <c r="H168" s="40">
        <f t="shared" si="45"/>
        <v>14196.8</v>
      </c>
      <c r="I168" s="40">
        <f t="shared" si="45"/>
        <v>51630.42395833334</v>
      </c>
      <c r="J168" s="40">
        <f t="shared" si="45"/>
        <v>4762.3500000000004</v>
      </c>
      <c r="K168" s="40">
        <f t="shared" si="45"/>
        <v>83992.473958333343</v>
      </c>
      <c r="L168" s="40">
        <f t="shared" si="45"/>
        <v>383007.52604166669</v>
      </c>
      <c r="N168" s="56"/>
    </row>
    <row r="169" spans="1:14" s="56" customFormat="1" ht="30" customHeight="1" thickBot="1" x14ac:dyDescent="0.3">
      <c r="A169" s="42"/>
      <c r="B169" s="42"/>
      <c r="C169" s="44"/>
      <c r="D169" s="42"/>
      <c r="E169" s="42"/>
      <c r="F169" s="42"/>
      <c r="G169" s="42"/>
      <c r="H169" s="42"/>
      <c r="I169" s="42"/>
      <c r="J169" s="42"/>
      <c r="K169" s="42"/>
      <c r="L169" s="42"/>
      <c r="M169" s="42"/>
    </row>
    <row r="170" spans="1:14" s="42" customFormat="1" ht="30" customHeight="1" thickBot="1" x14ac:dyDescent="0.3">
      <c r="A170" s="232" t="s">
        <v>300</v>
      </c>
      <c r="B170" s="233"/>
      <c r="C170" s="233"/>
      <c r="D170" s="233"/>
      <c r="E170" s="233"/>
      <c r="F170" s="233"/>
      <c r="G170" s="233"/>
      <c r="H170" s="233"/>
      <c r="I170" s="233"/>
      <c r="J170" s="233"/>
      <c r="K170" s="233"/>
      <c r="L170" s="234"/>
      <c r="N170" s="56"/>
    </row>
    <row r="171" spans="1:14" s="42" customFormat="1" ht="30" customHeight="1" thickBot="1" x14ac:dyDescent="0.3">
      <c r="A171" s="232" t="s">
        <v>301</v>
      </c>
      <c r="B171" s="233"/>
      <c r="C171" s="233"/>
      <c r="D171" s="233"/>
      <c r="E171" s="233"/>
      <c r="F171" s="233"/>
      <c r="G171" s="233"/>
      <c r="H171" s="233"/>
      <c r="I171" s="233"/>
      <c r="J171" s="233"/>
      <c r="K171" s="233"/>
      <c r="L171" s="234"/>
      <c r="N171" s="56"/>
    </row>
    <row r="172" spans="1:14" s="50" customFormat="1" ht="30.75" customHeight="1" x14ac:dyDescent="0.25">
      <c r="A172" s="88">
        <f>A167+1</f>
        <v>90</v>
      </c>
      <c r="B172" s="121" t="s">
        <v>289</v>
      </c>
      <c r="C172" s="39" t="s">
        <v>442</v>
      </c>
      <c r="D172" s="140" t="s">
        <v>647</v>
      </c>
      <c r="E172" s="121" t="s">
        <v>124</v>
      </c>
      <c r="F172" s="123">
        <v>120000</v>
      </c>
      <c r="G172" s="123">
        <f>F172*2.87%</f>
        <v>3444</v>
      </c>
      <c r="H172" s="90">
        <f>+F172*3.04%</f>
        <v>3648</v>
      </c>
      <c r="I172" s="123">
        <v>16809.939999999999</v>
      </c>
      <c r="J172" s="92">
        <v>25</v>
      </c>
      <c r="K172" s="85">
        <f>SUM(G172:J172)</f>
        <v>23926.94</v>
      </c>
      <c r="L172" s="92">
        <f>+F172-K172</f>
        <v>96073.06</v>
      </c>
      <c r="N172" s="95"/>
    </row>
    <row r="173" spans="1:14" s="50" customFormat="1" ht="30.75" customHeight="1" x14ac:dyDescent="0.25">
      <c r="A173" s="174">
        <f>+A172+1</f>
        <v>91</v>
      </c>
      <c r="B173" s="127" t="s">
        <v>646</v>
      </c>
      <c r="C173" s="193" t="s">
        <v>442</v>
      </c>
      <c r="D173" s="140" t="s">
        <v>288</v>
      </c>
      <c r="E173" s="121" t="s">
        <v>124</v>
      </c>
      <c r="F173" s="123">
        <v>90000</v>
      </c>
      <c r="G173" s="123">
        <f>F173*2.87%</f>
        <v>2583</v>
      </c>
      <c r="H173" s="90">
        <f>+F173*3.04%</f>
        <v>2736</v>
      </c>
      <c r="I173" s="123">
        <v>9753.19</v>
      </c>
      <c r="J173" s="92">
        <v>25</v>
      </c>
      <c r="K173" s="85">
        <f>SUM(G173:J173)</f>
        <v>15097.19</v>
      </c>
      <c r="L173" s="92">
        <f>+F173-K173</f>
        <v>74902.81</v>
      </c>
      <c r="N173" s="95"/>
    </row>
    <row r="174" spans="1:14" s="56" customFormat="1" ht="30" customHeight="1" x14ac:dyDescent="0.25">
      <c r="A174" s="229" t="s">
        <v>128</v>
      </c>
      <c r="B174" s="230"/>
      <c r="C174" s="230"/>
      <c r="D174" s="230"/>
      <c r="E174" s="231"/>
      <c r="F174" s="40">
        <f>SUM(F172:F173)</f>
        <v>210000</v>
      </c>
      <c r="G174" s="40">
        <f t="shared" ref="G174:L174" si="46">SUM(G172:G173)</f>
        <v>6027</v>
      </c>
      <c r="H174" s="40">
        <f t="shared" si="46"/>
        <v>6384</v>
      </c>
      <c r="I174" s="40">
        <f t="shared" si="46"/>
        <v>26563.129999999997</v>
      </c>
      <c r="J174" s="40">
        <f t="shared" si="46"/>
        <v>50</v>
      </c>
      <c r="K174" s="40">
        <f t="shared" si="46"/>
        <v>39024.129999999997</v>
      </c>
      <c r="L174" s="40">
        <f t="shared" si="46"/>
        <v>170975.87</v>
      </c>
      <c r="M174" s="42"/>
    </row>
    <row r="175" spans="1:14" s="42" customFormat="1" ht="30" customHeight="1" thickBot="1" x14ac:dyDescent="0.3">
      <c r="C175" s="44"/>
      <c r="N175" s="56"/>
    </row>
    <row r="176" spans="1:14" s="42" customFormat="1" ht="24" customHeight="1" thickBot="1" x14ac:dyDescent="0.3">
      <c r="A176" s="232" t="s">
        <v>93</v>
      </c>
      <c r="B176" s="233"/>
      <c r="C176" s="233"/>
      <c r="D176" s="233"/>
      <c r="E176" s="233"/>
      <c r="F176" s="233"/>
      <c r="G176" s="233"/>
      <c r="H176" s="233"/>
      <c r="I176" s="233"/>
      <c r="J176" s="233"/>
      <c r="K176" s="233"/>
      <c r="L176" s="234"/>
      <c r="N176" s="56"/>
    </row>
    <row r="177" spans="1:14" s="56" customFormat="1" ht="51" customHeight="1" x14ac:dyDescent="0.25">
      <c r="A177" s="88">
        <f>+A173+1</f>
        <v>92</v>
      </c>
      <c r="B177" s="121" t="s">
        <v>79</v>
      </c>
      <c r="C177" s="39" t="s">
        <v>441</v>
      </c>
      <c r="D177" s="140" t="s">
        <v>648</v>
      </c>
      <c r="E177" s="121" t="s">
        <v>124</v>
      </c>
      <c r="F177" s="120">
        <v>120000</v>
      </c>
      <c r="G177" s="85">
        <f>F177*2.87%</f>
        <v>3444</v>
      </c>
      <c r="H177" s="85">
        <f>+F177*3.04%</f>
        <v>3648</v>
      </c>
      <c r="I177" s="123">
        <v>16809.939999999999</v>
      </c>
      <c r="J177" s="92">
        <v>125</v>
      </c>
      <c r="K177" s="85">
        <f>SUM(G177:J177)</f>
        <v>24026.94</v>
      </c>
      <c r="L177" s="92">
        <f>+F177-K177</f>
        <v>95973.06</v>
      </c>
      <c r="M177" s="42"/>
    </row>
    <row r="178" spans="1:14" s="56" customFormat="1" ht="30" customHeight="1" thickBot="1" x14ac:dyDescent="0.3">
      <c r="A178" s="229" t="s">
        <v>128</v>
      </c>
      <c r="B178" s="230"/>
      <c r="C178" s="230"/>
      <c r="D178" s="230"/>
      <c r="E178" s="231"/>
      <c r="F178" s="40">
        <f t="shared" ref="F178:L178" si="47">SUM(F177:F177)</f>
        <v>120000</v>
      </c>
      <c r="G178" s="40">
        <f t="shared" si="47"/>
        <v>3444</v>
      </c>
      <c r="H178" s="40">
        <f t="shared" si="47"/>
        <v>3648</v>
      </c>
      <c r="I178" s="40">
        <f t="shared" si="47"/>
        <v>16809.939999999999</v>
      </c>
      <c r="J178" s="40">
        <f t="shared" si="47"/>
        <v>125</v>
      </c>
      <c r="K178" s="40">
        <f t="shared" si="47"/>
        <v>24026.94</v>
      </c>
      <c r="L178" s="40">
        <f t="shared" si="47"/>
        <v>95973.06</v>
      </c>
      <c r="M178" s="42"/>
    </row>
    <row r="179" spans="1:14" s="56" customFormat="1" ht="30" customHeight="1" thickBot="1" x14ac:dyDescent="0.3">
      <c r="A179" s="232" t="s">
        <v>94</v>
      </c>
      <c r="B179" s="233"/>
      <c r="C179" s="233"/>
      <c r="D179" s="233"/>
      <c r="E179" s="233"/>
      <c r="F179" s="233"/>
      <c r="G179" s="233"/>
      <c r="H179" s="233"/>
      <c r="I179" s="233"/>
      <c r="J179" s="233"/>
      <c r="K179" s="233"/>
      <c r="L179" s="234"/>
      <c r="M179" s="42"/>
    </row>
    <row r="180" spans="1:14" s="42" customFormat="1" ht="30" customHeight="1" x14ac:dyDescent="0.25">
      <c r="A180" s="83">
        <f>+A177+1</f>
        <v>93</v>
      </c>
      <c r="B180" s="126" t="s">
        <v>290</v>
      </c>
      <c r="C180" s="136" t="s">
        <v>442</v>
      </c>
      <c r="D180" s="137" t="s">
        <v>489</v>
      </c>
      <c r="E180" s="121" t="s">
        <v>125</v>
      </c>
      <c r="F180" s="120">
        <v>170500</v>
      </c>
      <c r="G180" s="90">
        <v>4893.3500000000004</v>
      </c>
      <c r="H180" s="90">
        <v>4943.8</v>
      </c>
      <c r="I180" s="123">
        <v>28370.537291666664</v>
      </c>
      <c r="J180" s="92">
        <v>1537.45</v>
      </c>
      <c r="K180" s="85">
        <f>SUM(G180:J180)</f>
        <v>39745.137291666659</v>
      </c>
      <c r="L180" s="92">
        <f>+F180-K180</f>
        <v>130754.86270833334</v>
      </c>
      <c r="N180" s="56"/>
    </row>
    <row r="181" spans="1:14" s="42" customFormat="1" ht="25.5" customHeight="1" x14ac:dyDescent="0.25">
      <c r="A181" s="83">
        <f>+A180+1</f>
        <v>94</v>
      </c>
      <c r="B181" s="126" t="s">
        <v>14</v>
      </c>
      <c r="C181" s="136" t="s">
        <v>442</v>
      </c>
      <c r="D181" s="163" t="s">
        <v>110</v>
      </c>
      <c r="E181" s="126" t="s">
        <v>204</v>
      </c>
      <c r="F181" s="120">
        <v>135000</v>
      </c>
      <c r="G181" s="120">
        <f>F181*2.87%</f>
        <v>3874.5</v>
      </c>
      <c r="H181" s="120">
        <f>+F181*3.04%</f>
        <v>4104</v>
      </c>
      <c r="I181" s="120">
        <v>20338.312291666665</v>
      </c>
      <c r="J181" s="124">
        <v>25</v>
      </c>
      <c r="K181" s="120">
        <f>SUM(G181:J181)</f>
        <v>28341.812291666665</v>
      </c>
      <c r="L181" s="124">
        <f>+F181-K181</f>
        <v>106658.18770833334</v>
      </c>
      <c r="N181" s="56"/>
    </row>
    <row r="182" spans="1:14" s="56" customFormat="1" ht="30" customHeight="1" x14ac:dyDescent="0.25">
      <c r="A182" s="229" t="s">
        <v>128</v>
      </c>
      <c r="B182" s="230"/>
      <c r="C182" s="230"/>
      <c r="D182" s="230"/>
      <c r="E182" s="231"/>
      <c r="F182" s="40">
        <f>SUM(F180:F181)</f>
        <v>305500</v>
      </c>
      <c r="G182" s="40">
        <f t="shared" ref="G182:L182" si="48">SUM(G180:G181)</f>
        <v>8767.85</v>
      </c>
      <c r="H182" s="40">
        <f t="shared" si="48"/>
        <v>9047.7999999999993</v>
      </c>
      <c r="I182" s="40">
        <f t="shared" si="48"/>
        <v>48708.849583333329</v>
      </c>
      <c r="J182" s="40">
        <f t="shared" si="48"/>
        <v>1562.45</v>
      </c>
      <c r="K182" s="40">
        <f t="shared" si="48"/>
        <v>68086.94958333332</v>
      </c>
      <c r="L182" s="40">
        <f t="shared" si="48"/>
        <v>237413.05041666667</v>
      </c>
      <c r="M182" s="42"/>
    </row>
    <row r="183" spans="1:14" s="56" customFormat="1" ht="30" customHeight="1" thickBot="1" x14ac:dyDescent="0.3">
      <c r="A183" s="53"/>
      <c r="B183" s="53"/>
      <c r="C183" s="53"/>
      <c r="D183" s="53"/>
      <c r="E183" s="53"/>
      <c r="F183"/>
      <c r="G183"/>
      <c r="H183"/>
      <c r="I183"/>
      <c r="J183"/>
      <c r="K183"/>
      <c r="L183"/>
      <c r="M183" s="42"/>
    </row>
    <row r="184" spans="1:14" s="56" customFormat="1" ht="30" customHeight="1" thickBot="1" x14ac:dyDescent="0.3">
      <c r="A184" s="232" t="s">
        <v>299</v>
      </c>
      <c r="B184" s="233"/>
      <c r="C184" s="233"/>
      <c r="D184" s="233"/>
      <c r="E184" s="233"/>
      <c r="F184" s="233"/>
      <c r="G184" s="233"/>
      <c r="H184" s="233"/>
      <c r="I184" s="233"/>
      <c r="J184" s="233"/>
      <c r="K184" s="233"/>
      <c r="L184" s="234"/>
      <c r="M184" s="42"/>
    </row>
    <row r="185" spans="1:14" s="56" customFormat="1" ht="30" customHeight="1" x14ac:dyDescent="0.25">
      <c r="A185" s="83">
        <f>+A181+1</f>
        <v>95</v>
      </c>
      <c r="B185" s="121" t="s">
        <v>15</v>
      </c>
      <c r="C185" s="136" t="s">
        <v>442</v>
      </c>
      <c r="D185" s="137" t="s">
        <v>607</v>
      </c>
      <c r="E185" s="121" t="s">
        <v>124</v>
      </c>
      <c r="F185" s="123">
        <v>110000</v>
      </c>
      <c r="G185" s="123">
        <f>F185*2.87%</f>
        <v>3157</v>
      </c>
      <c r="H185" s="90">
        <f>+F185*3.04%</f>
        <v>3344</v>
      </c>
      <c r="I185" s="123">
        <v>14457.687291666667</v>
      </c>
      <c r="J185" s="86">
        <v>25</v>
      </c>
      <c r="K185" s="85">
        <f>SUM(G185:J185)</f>
        <v>20983.687291666669</v>
      </c>
      <c r="L185" s="86">
        <f>+F185-K185</f>
        <v>89016.312708333338</v>
      </c>
      <c r="M185" s="42"/>
    </row>
    <row r="186" spans="1:14" s="42" customFormat="1" ht="30" customHeight="1" x14ac:dyDescent="0.25">
      <c r="A186" s="83">
        <f>+A185+1</f>
        <v>96</v>
      </c>
      <c r="B186" s="89" t="s">
        <v>60</v>
      </c>
      <c r="C186" s="88" t="s">
        <v>442</v>
      </c>
      <c r="D186" s="93" t="s">
        <v>605</v>
      </c>
      <c r="E186" s="89" t="s">
        <v>124</v>
      </c>
      <c r="F186" s="90">
        <v>115000</v>
      </c>
      <c r="G186" s="90">
        <f>F186*2.87%</f>
        <v>3300.5</v>
      </c>
      <c r="H186" s="90">
        <f>+F186*3.04%</f>
        <v>3496</v>
      </c>
      <c r="I186" s="90">
        <v>15255.7</v>
      </c>
      <c r="J186" s="92">
        <v>1537.45</v>
      </c>
      <c r="K186" s="85">
        <f>SUM(G186:J186)</f>
        <v>23589.65</v>
      </c>
      <c r="L186" s="86">
        <f>+F186-K186</f>
        <v>91410.35</v>
      </c>
      <c r="N186" s="56"/>
    </row>
    <row r="187" spans="1:14" s="42" customFormat="1" ht="33" customHeight="1" x14ac:dyDescent="0.25">
      <c r="A187" s="83">
        <f t="shared" ref="A187:A189" si="49">+A186+1</f>
        <v>97</v>
      </c>
      <c r="B187" s="89" t="s">
        <v>260</v>
      </c>
      <c r="C187" s="88" t="s">
        <v>442</v>
      </c>
      <c r="D187" s="93" t="s">
        <v>52</v>
      </c>
      <c r="E187" s="89" t="s">
        <v>124</v>
      </c>
      <c r="F187" s="90">
        <v>85000</v>
      </c>
      <c r="G187" s="90">
        <f>F187*2.87%</f>
        <v>2439.5</v>
      </c>
      <c r="H187" s="90">
        <f>+F187*3.04%</f>
        <v>2584</v>
      </c>
      <c r="I187" s="90">
        <v>8577.0622916666671</v>
      </c>
      <c r="J187" s="92">
        <f>5990+100+25</f>
        <v>6115</v>
      </c>
      <c r="K187" s="85">
        <f>SUM(G187:J187)</f>
        <v>19715.562291666669</v>
      </c>
      <c r="L187" s="86">
        <f>+F187-K187</f>
        <v>65284.437708333331</v>
      </c>
      <c r="N187" s="56"/>
    </row>
    <row r="188" spans="1:14" s="56" customFormat="1" ht="30" customHeight="1" x14ac:dyDescent="0.25">
      <c r="A188" s="83">
        <f t="shared" si="49"/>
        <v>98</v>
      </c>
      <c r="B188" s="189" t="s">
        <v>295</v>
      </c>
      <c r="C188" s="190" t="s">
        <v>442</v>
      </c>
      <c r="D188" s="122" t="s">
        <v>294</v>
      </c>
      <c r="E188" s="191" t="s">
        <v>125</v>
      </c>
      <c r="F188" s="123">
        <v>80000</v>
      </c>
      <c r="G188" s="123">
        <f>F188*2.87%</f>
        <v>2296</v>
      </c>
      <c r="H188" s="90">
        <f>+F188*3.04%</f>
        <v>2432</v>
      </c>
      <c r="I188" s="90">
        <v>7400.9372916666662</v>
      </c>
      <c r="J188" s="92">
        <v>25</v>
      </c>
      <c r="K188" s="85">
        <f>SUM(G188:J188)</f>
        <v>12153.937291666665</v>
      </c>
      <c r="L188" s="86">
        <f>+F188-K188</f>
        <v>67846.062708333338</v>
      </c>
      <c r="M188" s="42"/>
    </row>
    <row r="189" spans="1:14" s="42" customFormat="1" ht="27" customHeight="1" x14ac:dyDescent="0.25">
      <c r="A189" s="83">
        <f t="shared" si="49"/>
        <v>99</v>
      </c>
      <c r="B189" s="121" t="s">
        <v>292</v>
      </c>
      <c r="C189" s="39" t="s">
        <v>442</v>
      </c>
      <c r="D189" s="121" t="s">
        <v>68</v>
      </c>
      <c r="E189" s="121" t="s">
        <v>125</v>
      </c>
      <c r="F189" s="123">
        <v>50000</v>
      </c>
      <c r="G189" s="90">
        <f>F189*2.87%</f>
        <v>1435</v>
      </c>
      <c r="H189" s="90">
        <f>+F189*3.04%</f>
        <v>1520</v>
      </c>
      <c r="I189" s="90">
        <v>1627.132375000001</v>
      </c>
      <c r="J189" s="86">
        <f>11430.76+100+25+1512.45</f>
        <v>13068.210000000001</v>
      </c>
      <c r="K189" s="85">
        <f>SUM(G189:J189)</f>
        <v>17650.342375</v>
      </c>
      <c r="L189" s="92">
        <f>+F189-K189</f>
        <v>32349.657625</v>
      </c>
      <c r="N189" s="56"/>
    </row>
    <row r="190" spans="1:14" s="56" customFormat="1" ht="30" customHeight="1" x14ac:dyDescent="0.25">
      <c r="A190" s="229" t="s">
        <v>128</v>
      </c>
      <c r="B190" s="230"/>
      <c r="C190" s="230"/>
      <c r="D190" s="230"/>
      <c r="E190" s="231"/>
      <c r="F190" s="40">
        <f>SUM(F185:F189)</f>
        <v>440000</v>
      </c>
      <c r="G190" s="40">
        <f t="shared" ref="G190:K190" si="50">SUM(G185:G189)</f>
        <v>12628</v>
      </c>
      <c r="H190" s="40">
        <f t="shared" si="50"/>
        <v>13376</v>
      </c>
      <c r="I190" s="40">
        <f t="shared" si="50"/>
        <v>47318.519250000005</v>
      </c>
      <c r="J190" s="40">
        <f t="shared" si="50"/>
        <v>20770.66</v>
      </c>
      <c r="K190" s="40">
        <f t="shared" si="50"/>
        <v>94093.179250000016</v>
      </c>
      <c r="L190" s="40">
        <f>SUM(L185:L189)</f>
        <v>345906.82075000001</v>
      </c>
      <c r="M190" s="42"/>
    </row>
    <row r="191" spans="1:14" s="95" customFormat="1" ht="30" customHeight="1" thickBot="1" x14ac:dyDescent="0.3">
      <c r="A191" s="44"/>
      <c r="B191" s="51"/>
      <c r="C191" s="155"/>
      <c r="D191" s="51"/>
      <c r="E191" s="51"/>
      <c r="F191" s="52"/>
      <c r="G191" s="42"/>
      <c r="H191" s="42"/>
      <c r="I191" s="42"/>
      <c r="J191" s="42"/>
      <c r="K191" s="42"/>
      <c r="L191" s="42"/>
      <c r="M191" s="50"/>
    </row>
    <row r="192" spans="1:14" s="56" customFormat="1" ht="30" customHeight="1" thickBot="1" x14ac:dyDescent="0.3">
      <c r="A192" s="232" t="s">
        <v>95</v>
      </c>
      <c r="B192" s="233"/>
      <c r="C192" s="233"/>
      <c r="D192" s="233"/>
      <c r="E192" s="233"/>
      <c r="F192" s="233"/>
      <c r="G192" s="233"/>
      <c r="H192" s="233"/>
      <c r="I192" s="233"/>
      <c r="J192" s="233"/>
      <c r="K192" s="233"/>
      <c r="L192" s="234"/>
      <c r="M192" s="42"/>
    </row>
    <row r="193" spans="1:14" s="42" customFormat="1" ht="30" customHeight="1" x14ac:dyDescent="0.25">
      <c r="A193" s="88">
        <f>+A189+1</f>
        <v>100</v>
      </c>
      <c r="B193" s="126" t="s">
        <v>76</v>
      </c>
      <c r="C193" s="136" t="s">
        <v>442</v>
      </c>
      <c r="D193" s="137" t="s">
        <v>649</v>
      </c>
      <c r="E193" s="126" t="s">
        <v>124</v>
      </c>
      <c r="F193" s="123">
        <v>110000</v>
      </c>
      <c r="G193" s="90">
        <f t="shared" ref="G193:G196" si="51">F193*2.87%</f>
        <v>3157</v>
      </c>
      <c r="H193" s="90">
        <f t="shared" ref="H193:H196" si="52">+F193*3.04%</f>
        <v>3344</v>
      </c>
      <c r="I193" s="123">
        <v>14457.69</v>
      </c>
      <c r="J193" s="86">
        <v>3025</v>
      </c>
      <c r="K193" s="85">
        <f t="shared" ref="K193:K196" si="53">SUM(G193:J193)</f>
        <v>23983.690000000002</v>
      </c>
      <c r="L193" s="86">
        <f t="shared" ref="L193:L196" si="54">+F193-K193</f>
        <v>86016.31</v>
      </c>
      <c r="N193" s="56"/>
    </row>
    <row r="194" spans="1:14" s="56" customFormat="1" ht="30" customHeight="1" x14ac:dyDescent="0.25">
      <c r="A194" s="88">
        <f t="shared" ref="A194:A197" si="55">+A193+1</f>
        <v>101</v>
      </c>
      <c r="B194" s="121" t="s">
        <v>89</v>
      </c>
      <c r="C194" s="39" t="s">
        <v>442</v>
      </c>
      <c r="D194" s="122" t="s">
        <v>296</v>
      </c>
      <c r="E194" s="121" t="s">
        <v>124</v>
      </c>
      <c r="F194" s="123">
        <v>80000</v>
      </c>
      <c r="G194" s="90">
        <f t="shared" si="51"/>
        <v>2296</v>
      </c>
      <c r="H194" s="90">
        <f t="shared" si="52"/>
        <v>2432</v>
      </c>
      <c r="I194" s="123">
        <v>7022.82</v>
      </c>
      <c r="J194" s="92">
        <f>1512.45+25</f>
        <v>1537.45</v>
      </c>
      <c r="K194" s="85">
        <f t="shared" si="53"/>
        <v>13288.27</v>
      </c>
      <c r="L194" s="86">
        <f t="shared" si="54"/>
        <v>66711.73</v>
      </c>
      <c r="M194" s="42"/>
    </row>
    <row r="195" spans="1:14" s="42" customFormat="1" ht="31.5" customHeight="1" x14ac:dyDescent="0.25">
      <c r="A195" s="88">
        <f>+A194+1</f>
        <v>102</v>
      </c>
      <c r="B195" s="121" t="s">
        <v>75</v>
      </c>
      <c r="C195" s="39" t="s">
        <v>442</v>
      </c>
      <c r="D195" s="122" t="s">
        <v>649</v>
      </c>
      <c r="E195" s="121" t="s">
        <v>124</v>
      </c>
      <c r="F195" s="123">
        <v>110000</v>
      </c>
      <c r="G195" s="90">
        <f t="shared" si="51"/>
        <v>3157</v>
      </c>
      <c r="H195" s="90">
        <f t="shared" si="52"/>
        <v>3344</v>
      </c>
      <c r="I195" s="123">
        <v>14457.69</v>
      </c>
      <c r="J195" s="92">
        <v>2025</v>
      </c>
      <c r="K195" s="85">
        <f t="shared" si="53"/>
        <v>22983.690000000002</v>
      </c>
      <c r="L195" s="86">
        <f t="shared" si="54"/>
        <v>87016.31</v>
      </c>
      <c r="N195" s="56"/>
    </row>
    <row r="196" spans="1:14" s="42" customFormat="1" ht="33" customHeight="1" x14ac:dyDescent="0.25">
      <c r="A196" s="88">
        <f t="shared" si="55"/>
        <v>103</v>
      </c>
      <c r="B196" s="121" t="s">
        <v>270</v>
      </c>
      <c r="C196" s="39" t="s">
        <v>442</v>
      </c>
      <c r="D196" s="122" t="s">
        <v>296</v>
      </c>
      <c r="E196" s="121" t="s">
        <v>124</v>
      </c>
      <c r="F196" s="123">
        <v>80000</v>
      </c>
      <c r="G196" s="90">
        <f t="shared" si="51"/>
        <v>2296</v>
      </c>
      <c r="H196" s="90">
        <f t="shared" si="52"/>
        <v>2432</v>
      </c>
      <c r="I196" s="123">
        <v>7400.9372916666662</v>
      </c>
      <c r="J196" s="92">
        <f>9818+25</f>
        <v>9843</v>
      </c>
      <c r="K196" s="85">
        <f t="shared" si="53"/>
        <v>21971.937291666665</v>
      </c>
      <c r="L196" s="86">
        <f t="shared" si="54"/>
        <v>58028.062708333338</v>
      </c>
      <c r="N196" s="56"/>
    </row>
    <row r="197" spans="1:14" s="56" customFormat="1" ht="30" customHeight="1" x14ac:dyDescent="0.25">
      <c r="A197" s="83">
        <f t="shared" si="55"/>
        <v>104</v>
      </c>
      <c r="B197" s="187" t="s">
        <v>293</v>
      </c>
      <c r="C197" s="188" t="s">
        <v>442</v>
      </c>
      <c r="D197" s="122" t="s">
        <v>296</v>
      </c>
      <c r="E197" s="121" t="s">
        <v>124</v>
      </c>
      <c r="F197" s="123">
        <v>80000</v>
      </c>
      <c r="G197" s="123">
        <f>F197*2.87%</f>
        <v>2296</v>
      </c>
      <c r="H197" s="90">
        <f>+F197*3.04%</f>
        <v>2432</v>
      </c>
      <c r="I197" s="125">
        <v>6645.2698333333346</v>
      </c>
      <c r="J197" s="92">
        <v>3049.9</v>
      </c>
      <c r="K197" s="85">
        <f>SUM(G197:J197)</f>
        <v>14423.169833333335</v>
      </c>
      <c r="L197" s="86">
        <f>+F197-K197</f>
        <v>65576.830166666667</v>
      </c>
      <c r="M197" s="42"/>
    </row>
    <row r="198" spans="1:14" s="42" customFormat="1" ht="30" customHeight="1" x14ac:dyDescent="0.25">
      <c r="A198" s="136">
        <v>105</v>
      </c>
      <c r="B198" s="121" t="s">
        <v>141</v>
      </c>
      <c r="C198" s="39" t="s">
        <v>442</v>
      </c>
      <c r="D198" s="121" t="s">
        <v>68</v>
      </c>
      <c r="E198" s="121" t="s">
        <v>237</v>
      </c>
      <c r="F198" s="123">
        <v>45000</v>
      </c>
      <c r="G198" s="123">
        <f>F198*2.87%</f>
        <v>1291.5</v>
      </c>
      <c r="H198" s="123">
        <f>+F198*3.04%</f>
        <v>1368</v>
      </c>
      <c r="I198" s="123">
        <v>1148.33</v>
      </c>
      <c r="J198" s="124">
        <f>1000+25</f>
        <v>1025</v>
      </c>
      <c r="K198" s="120">
        <f>SUM(G198:J198)</f>
        <v>4832.83</v>
      </c>
      <c r="L198" s="124">
        <f>+F198-K198</f>
        <v>40167.17</v>
      </c>
      <c r="N198" s="56"/>
    </row>
    <row r="199" spans="1:14" s="42" customFormat="1" ht="37.5" customHeight="1" x14ac:dyDescent="0.25">
      <c r="A199" s="229" t="s">
        <v>128</v>
      </c>
      <c r="B199" s="230"/>
      <c r="C199" s="230"/>
      <c r="D199" s="230"/>
      <c r="E199" s="231"/>
      <c r="F199" s="40">
        <f t="shared" ref="F199:L199" si="56">SUM(F193:F198)</f>
        <v>505000</v>
      </c>
      <c r="G199" s="40">
        <f t="shared" si="56"/>
        <v>14493.5</v>
      </c>
      <c r="H199" s="40">
        <f t="shared" si="56"/>
        <v>15352</v>
      </c>
      <c r="I199" s="40">
        <f t="shared" si="56"/>
        <v>51132.737125000007</v>
      </c>
      <c r="J199" s="40">
        <f t="shared" si="56"/>
        <v>20505.350000000002</v>
      </c>
      <c r="K199" s="40">
        <f t="shared" si="56"/>
        <v>101483.58712500001</v>
      </c>
      <c r="L199" s="40">
        <f t="shared" si="56"/>
        <v>403516.41287499998</v>
      </c>
      <c r="N199" s="56"/>
    </row>
    <row r="200" spans="1:14" s="42" customFormat="1" ht="28.5" customHeight="1" thickBot="1" x14ac:dyDescent="0.3">
      <c r="A200" s="53"/>
      <c r="B200" s="53"/>
      <c r="C200" s="53"/>
      <c r="D200" s="53"/>
      <c r="E200" s="53"/>
      <c r="F200"/>
      <c r="G200"/>
      <c r="H200"/>
      <c r="I200"/>
      <c r="J200"/>
      <c r="K200"/>
      <c r="L200"/>
      <c r="N200" s="56"/>
    </row>
    <row r="201" spans="1:14" s="42" customFormat="1" ht="30" customHeight="1" thickBot="1" x14ac:dyDescent="0.3">
      <c r="A201" s="232" t="s">
        <v>212</v>
      </c>
      <c r="B201" s="233"/>
      <c r="C201" s="233"/>
      <c r="D201" s="233"/>
      <c r="E201" s="233"/>
      <c r="F201" s="233"/>
      <c r="G201" s="233"/>
      <c r="H201" s="233"/>
      <c r="I201" s="233"/>
      <c r="J201" s="233"/>
      <c r="K201" s="233"/>
      <c r="L201" s="234"/>
      <c r="N201" s="56"/>
    </row>
    <row r="202" spans="1:14" s="56" customFormat="1" ht="30" customHeight="1" x14ac:dyDescent="0.25">
      <c r="A202" s="136">
        <f>+A197+1</f>
        <v>105</v>
      </c>
      <c r="B202" s="126" t="s">
        <v>189</v>
      </c>
      <c r="C202" s="136" t="s">
        <v>442</v>
      </c>
      <c r="D202" s="126" t="s">
        <v>298</v>
      </c>
      <c r="E202" s="126" t="s">
        <v>124</v>
      </c>
      <c r="F202" s="150">
        <v>55000</v>
      </c>
      <c r="G202" s="85">
        <f>F202*2.87%</f>
        <v>1578.5</v>
      </c>
      <c r="H202" s="85">
        <f>+F202*3.04%</f>
        <v>1672</v>
      </c>
      <c r="I202" s="151">
        <v>2559.67</v>
      </c>
      <c r="J202" s="86">
        <v>11290.95</v>
      </c>
      <c r="K202" s="85">
        <f>SUM(G202:J202)</f>
        <v>17101.120000000003</v>
      </c>
      <c r="L202" s="86">
        <f>+F202-K202</f>
        <v>37898.879999999997</v>
      </c>
      <c r="M202" s="42"/>
    </row>
    <row r="203" spans="1:14" s="42" customFormat="1" ht="30" customHeight="1" x14ac:dyDescent="0.25">
      <c r="A203" s="229" t="s">
        <v>128</v>
      </c>
      <c r="B203" s="230"/>
      <c r="C203" s="230"/>
      <c r="D203" s="230"/>
      <c r="E203" s="231"/>
      <c r="F203" s="40">
        <f t="shared" ref="F203:L203" si="57">+F202</f>
        <v>55000</v>
      </c>
      <c r="G203" s="40">
        <f t="shared" si="57"/>
        <v>1578.5</v>
      </c>
      <c r="H203" s="40">
        <f t="shared" si="57"/>
        <v>1672</v>
      </c>
      <c r="I203" s="40">
        <f t="shared" si="57"/>
        <v>2559.67</v>
      </c>
      <c r="J203" s="40">
        <f t="shared" si="57"/>
        <v>11290.95</v>
      </c>
      <c r="K203" s="40">
        <f t="shared" si="57"/>
        <v>17101.120000000003</v>
      </c>
      <c r="L203" s="40">
        <f t="shared" si="57"/>
        <v>37898.879999999997</v>
      </c>
      <c r="N203" s="56"/>
    </row>
    <row r="204" spans="1:14" s="42" customFormat="1" ht="30" customHeight="1" thickBot="1" x14ac:dyDescent="0.3">
      <c r="A204" s="53"/>
      <c r="B204" s="53"/>
      <c r="C204" s="53"/>
      <c r="D204" s="53"/>
      <c r="E204" s="53"/>
      <c r="F204" s="67"/>
      <c r="G204"/>
      <c r="H204"/>
      <c r="I204"/>
      <c r="J204"/>
      <c r="K204"/>
      <c r="L204"/>
      <c r="N204" s="56"/>
    </row>
    <row r="205" spans="1:14" s="56" customFormat="1" ht="30" customHeight="1" thickBot="1" x14ac:dyDescent="0.3">
      <c r="A205" s="232" t="s">
        <v>302</v>
      </c>
      <c r="B205" s="233"/>
      <c r="C205" s="233"/>
      <c r="D205" s="233"/>
      <c r="E205" s="233"/>
      <c r="F205" s="233"/>
      <c r="G205" s="233"/>
      <c r="H205" s="233"/>
      <c r="I205" s="233"/>
      <c r="J205" s="233"/>
      <c r="K205" s="233"/>
      <c r="L205" s="234"/>
      <c r="M205" s="42"/>
    </row>
    <row r="206" spans="1:14" s="87" customFormat="1" ht="30" customHeight="1" x14ac:dyDescent="0.25">
      <c r="A206" s="83">
        <f>+A202+1</f>
        <v>106</v>
      </c>
      <c r="B206" s="126" t="s">
        <v>11</v>
      </c>
      <c r="C206" s="136" t="s">
        <v>442</v>
      </c>
      <c r="D206" s="137" t="s">
        <v>114</v>
      </c>
      <c r="E206" s="126" t="s">
        <v>124</v>
      </c>
      <c r="F206" s="120">
        <v>190000</v>
      </c>
      <c r="G206" s="120">
        <f>F206*2.87%</f>
        <v>5453</v>
      </c>
      <c r="H206" s="85">
        <f>162625*3.04%</f>
        <v>4943.8</v>
      </c>
      <c r="I206" s="85">
        <v>33483.67</v>
      </c>
      <c r="J206" s="86">
        <v>25</v>
      </c>
      <c r="K206" s="85">
        <f>SUM(G206:J206)</f>
        <v>43905.47</v>
      </c>
      <c r="L206" s="86">
        <f>+F206-K206</f>
        <v>146094.53</v>
      </c>
      <c r="M206" s="35"/>
    </row>
    <row r="207" spans="1:14" s="42" customFormat="1" ht="30" customHeight="1" thickBot="1" x14ac:dyDescent="0.3">
      <c r="A207" s="229" t="s">
        <v>128</v>
      </c>
      <c r="B207" s="230"/>
      <c r="C207" s="230"/>
      <c r="D207" s="230"/>
      <c r="E207" s="231"/>
      <c r="F207" s="40">
        <f t="shared" ref="F207:L207" si="58">+SUM(F206:F206)</f>
        <v>190000</v>
      </c>
      <c r="G207" s="40">
        <f t="shared" si="58"/>
        <v>5453</v>
      </c>
      <c r="H207" s="40">
        <f t="shared" si="58"/>
        <v>4943.8</v>
      </c>
      <c r="I207" s="40">
        <f t="shared" si="58"/>
        <v>33483.67</v>
      </c>
      <c r="J207" s="40">
        <f t="shared" si="58"/>
        <v>25</v>
      </c>
      <c r="K207" s="40">
        <f t="shared" si="58"/>
        <v>43905.47</v>
      </c>
      <c r="L207" s="40">
        <f t="shared" si="58"/>
        <v>146094.53</v>
      </c>
      <c r="N207" s="56"/>
    </row>
    <row r="208" spans="1:14" s="42" customFormat="1" ht="30" customHeight="1" thickBot="1" x14ac:dyDescent="0.3">
      <c r="A208" s="238" t="s">
        <v>303</v>
      </c>
      <c r="B208" s="239"/>
      <c r="C208" s="239"/>
      <c r="D208" s="239"/>
      <c r="E208" s="239"/>
      <c r="F208" s="239"/>
      <c r="G208" s="239"/>
      <c r="H208" s="239"/>
      <c r="I208" s="239"/>
      <c r="J208" s="239"/>
      <c r="K208" s="239"/>
      <c r="L208" s="240"/>
      <c r="N208" s="56"/>
    </row>
    <row r="209" spans="1:14" s="50" customFormat="1" ht="30" customHeight="1" x14ac:dyDescent="0.25">
      <c r="A209" s="83">
        <f>+A206+1</f>
        <v>107</v>
      </c>
      <c r="B209" s="126" t="s">
        <v>12</v>
      </c>
      <c r="C209" s="136" t="s">
        <v>442</v>
      </c>
      <c r="D209" s="163" t="s">
        <v>115</v>
      </c>
      <c r="E209" s="121" t="s">
        <v>124</v>
      </c>
      <c r="F209" s="120">
        <v>135000</v>
      </c>
      <c r="G209" s="85">
        <f>F209*2.87%</f>
        <v>3874.5</v>
      </c>
      <c r="H209" s="85">
        <f>+F209*3.04%</f>
        <v>4104</v>
      </c>
      <c r="I209" s="123">
        <v>20338.240000000002</v>
      </c>
      <c r="J209" s="86">
        <v>2025</v>
      </c>
      <c r="K209" s="85">
        <f>SUM(G209:J209)</f>
        <v>30341.74</v>
      </c>
      <c r="L209" s="86">
        <f>+F209-K209</f>
        <v>104658.26</v>
      </c>
      <c r="N209" s="95"/>
    </row>
    <row r="210" spans="1:14" s="43" customFormat="1" ht="30" customHeight="1" x14ac:dyDescent="0.25">
      <c r="A210" s="88">
        <f>+A209+1</f>
        <v>108</v>
      </c>
      <c r="B210" s="121" t="s">
        <v>304</v>
      </c>
      <c r="C210" s="39" t="s">
        <v>441</v>
      </c>
      <c r="D210" s="121" t="s">
        <v>116</v>
      </c>
      <c r="E210" s="121" t="s">
        <v>125</v>
      </c>
      <c r="F210" s="123">
        <v>70000</v>
      </c>
      <c r="G210" s="90">
        <f>F210*2.87%</f>
        <v>2009</v>
      </c>
      <c r="H210" s="90">
        <f>+F210*3.04%</f>
        <v>2128</v>
      </c>
      <c r="I210" s="85">
        <v>5368.48</v>
      </c>
      <c r="J210" s="86">
        <f>21844.41+25</f>
        <v>21869.41</v>
      </c>
      <c r="K210" s="85">
        <f>SUM(G210:J210)</f>
        <v>31374.89</v>
      </c>
      <c r="L210" s="86">
        <f>+F210-K210</f>
        <v>38625.11</v>
      </c>
      <c r="N210" s="94"/>
    </row>
    <row r="211" spans="1:14" s="56" customFormat="1" ht="30" customHeight="1" x14ac:dyDescent="0.25">
      <c r="A211" s="83">
        <f>+A210+1</f>
        <v>109</v>
      </c>
      <c r="B211" s="121" t="s">
        <v>362</v>
      </c>
      <c r="C211" s="39" t="s">
        <v>442</v>
      </c>
      <c r="D211" s="121" t="s">
        <v>555</v>
      </c>
      <c r="E211" s="121" t="s">
        <v>124</v>
      </c>
      <c r="F211" s="123">
        <v>45000</v>
      </c>
      <c r="G211" s="90">
        <f>F211*2.87%</f>
        <v>1291.5</v>
      </c>
      <c r="H211" s="90">
        <f>+F211*3.04%</f>
        <v>1368</v>
      </c>
      <c r="I211" s="90">
        <v>1148.33</v>
      </c>
      <c r="J211" s="86">
        <v>25</v>
      </c>
      <c r="K211" s="120">
        <f>SUM(G211:J211)</f>
        <v>3832.83</v>
      </c>
      <c r="L211" s="92">
        <f>+F211-K211</f>
        <v>41167.17</v>
      </c>
      <c r="M211" s="42"/>
    </row>
    <row r="212" spans="1:14" s="42" customFormat="1" ht="30" customHeight="1" x14ac:dyDescent="0.25">
      <c r="A212" s="229" t="s">
        <v>128</v>
      </c>
      <c r="B212" s="230"/>
      <c r="C212" s="230"/>
      <c r="D212" s="230"/>
      <c r="E212" s="231"/>
      <c r="F212" s="40">
        <f t="shared" ref="F212:L212" si="59">SUM(F209:F211)</f>
        <v>250000</v>
      </c>
      <c r="G212" s="40">
        <f t="shared" si="59"/>
        <v>7175</v>
      </c>
      <c r="H212" s="40">
        <f t="shared" si="59"/>
        <v>7600</v>
      </c>
      <c r="I212" s="40">
        <f t="shared" si="59"/>
        <v>26855.050000000003</v>
      </c>
      <c r="J212" s="40">
        <f t="shared" si="59"/>
        <v>23919.41</v>
      </c>
      <c r="K212" s="40">
        <f t="shared" si="59"/>
        <v>65549.460000000006</v>
      </c>
      <c r="L212" s="40">
        <f t="shared" si="59"/>
        <v>184450.53999999998</v>
      </c>
      <c r="N212" s="56"/>
    </row>
    <row r="213" spans="1:14" s="42" customFormat="1" ht="30" customHeight="1" thickBot="1" x14ac:dyDescent="0.3">
      <c r="A213" s="47"/>
      <c r="B213" s="45"/>
      <c r="C213" s="47"/>
      <c r="D213" s="46"/>
      <c r="E213" s="46"/>
      <c r="G213" s="35"/>
      <c r="H213" s="35"/>
      <c r="I213" s="35"/>
      <c r="J213" s="35"/>
      <c r="K213" s="35"/>
      <c r="L213" s="35"/>
      <c r="N213" s="56"/>
    </row>
    <row r="214" spans="1:14" s="42" customFormat="1" ht="30" customHeight="1" thickBot="1" x14ac:dyDescent="0.3">
      <c r="A214" s="238" t="s">
        <v>305</v>
      </c>
      <c r="B214" s="239"/>
      <c r="C214" s="239"/>
      <c r="D214" s="239"/>
      <c r="E214" s="239"/>
      <c r="F214" s="239"/>
      <c r="G214" s="239"/>
      <c r="H214" s="239"/>
      <c r="I214" s="239"/>
      <c r="J214" s="239"/>
      <c r="K214" s="239"/>
      <c r="L214" s="240"/>
      <c r="N214" s="56"/>
    </row>
    <row r="215" spans="1:14" s="56" customFormat="1" ht="30" customHeight="1" x14ac:dyDescent="0.25">
      <c r="A215" s="88">
        <f>+A211+1</f>
        <v>110</v>
      </c>
      <c r="B215" s="121" t="s">
        <v>306</v>
      </c>
      <c r="C215" s="39" t="s">
        <v>441</v>
      </c>
      <c r="D215" s="121" t="s">
        <v>96</v>
      </c>
      <c r="E215" s="121" t="s">
        <v>204</v>
      </c>
      <c r="F215" s="123">
        <v>100000</v>
      </c>
      <c r="G215" s="123">
        <f>F215*2.87%</f>
        <v>2870</v>
      </c>
      <c r="H215" s="123">
        <f>+F215*3.04%</f>
        <v>3040</v>
      </c>
      <c r="I215" s="123">
        <v>12105.37</v>
      </c>
      <c r="J215" s="86">
        <v>25</v>
      </c>
      <c r="K215" s="85">
        <f>SUM(G215:J215)</f>
        <v>18040.370000000003</v>
      </c>
      <c r="L215" s="86">
        <f>+F215-K215</f>
        <v>81959.63</v>
      </c>
      <c r="M215" s="42"/>
    </row>
    <row r="216" spans="1:14" s="95" customFormat="1" ht="30" customHeight="1" x14ac:dyDescent="0.25">
      <c r="A216" s="229" t="s">
        <v>128</v>
      </c>
      <c r="B216" s="230"/>
      <c r="C216" s="230"/>
      <c r="D216" s="230"/>
      <c r="E216" s="231"/>
      <c r="F216" s="40">
        <f t="shared" ref="F216:L216" si="60">SUM(F215)</f>
        <v>100000</v>
      </c>
      <c r="G216" s="40">
        <f t="shared" si="60"/>
        <v>2870</v>
      </c>
      <c r="H216" s="40">
        <f t="shared" si="60"/>
        <v>3040</v>
      </c>
      <c r="I216" s="40">
        <f t="shared" si="60"/>
        <v>12105.37</v>
      </c>
      <c r="J216" s="40">
        <f t="shared" si="60"/>
        <v>25</v>
      </c>
      <c r="K216" s="40">
        <f t="shared" si="60"/>
        <v>18040.370000000003</v>
      </c>
      <c r="L216" s="40">
        <f t="shared" si="60"/>
        <v>81959.63</v>
      </c>
      <c r="M216" s="50"/>
    </row>
    <row r="217" spans="1:14" s="95" customFormat="1" ht="30" customHeight="1" thickBot="1" x14ac:dyDescent="0.3">
      <c r="A217" s="53"/>
      <c r="B217" s="53"/>
      <c r="C217" s="53"/>
      <c r="D217" s="53"/>
      <c r="E217" s="53"/>
      <c r="F217" s="43"/>
      <c r="G217" s="43"/>
      <c r="H217" s="43"/>
      <c r="I217" s="43"/>
      <c r="J217" s="43"/>
      <c r="K217" s="43"/>
      <c r="L217" s="43"/>
      <c r="M217" s="50"/>
    </row>
    <row r="218" spans="1:14" s="42" customFormat="1" ht="30" customHeight="1" thickBot="1" x14ac:dyDescent="0.3">
      <c r="A218" s="238" t="s">
        <v>472</v>
      </c>
      <c r="B218" s="239"/>
      <c r="C218" s="239"/>
      <c r="D218" s="239"/>
      <c r="E218" s="239"/>
      <c r="F218" s="239"/>
      <c r="G218" s="239"/>
      <c r="H218" s="239"/>
      <c r="I218" s="239"/>
      <c r="J218" s="239"/>
      <c r="K218" s="239"/>
      <c r="L218" s="240"/>
      <c r="N218" s="56"/>
    </row>
    <row r="219" spans="1:14" s="42" customFormat="1" ht="30" customHeight="1" x14ac:dyDescent="0.25">
      <c r="A219" s="88">
        <f>+A215+1</f>
        <v>111</v>
      </c>
      <c r="B219" s="121" t="s">
        <v>13</v>
      </c>
      <c r="C219" s="39" t="s">
        <v>441</v>
      </c>
      <c r="D219" s="140" t="s">
        <v>96</v>
      </c>
      <c r="E219" s="121" t="s">
        <v>204</v>
      </c>
      <c r="F219" s="123">
        <v>85000</v>
      </c>
      <c r="G219" s="90">
        <v>2439.5</v>
      </c>
      <c r="H219" s="90">
        <v>2584</v>
      </c>
      <c r="I219" s="123">
        <v>8198.9497916666678</v>
      </c>
      <c r="J219" s="86">
        <v>5532.45</v>
      </c>
      <c r="K219" s="85">
        <f>SUM(G219:J219)</f>
        <v>18754.899791666667</v>
      </c>
      <c r="L219" s="86">
        <f>+F219-K219</f>
        <v>66245.10020833333</v>
      </c>
      <c r="N219" s="56"/>
    </row>
    <row r="220" spans="1:14" s="87" customFormat="1" ht="30" customHeight="1" x14ac:dyDescent="0.25">
      <c r="A220" s="229" t="s">
        <v>128</v>
      </c>
      <c r="B220" s="230"/>
      <c r="C220" s="230"/>
      <c r="D220" s="230"/>
      <c r="E220" s="231"/>
      <c r="F220" s="40">
        <f t="shared" ref="F220:L220" si="61">SUM(F219)</f>
        <v>85000</v>
      </c>
      <c r="G220" s="40">
        <f t="shared" si="61"/>
        <v>2439.5</v>
      </c>
      <c r="H220" s="40">
        <f t="shared" si="61"/>
        <v>2584</v>
      </c>
      <c r="I220" s="40">
        <f t="shared" si="61"/>
        <v>8198.9497916666678</v>
      </c>
      <c r="J220" s="40">
        <f t="shared" si="61"/>
        <v>5532.45</v>
      </c>
      <c r="K220" s="40">
        <f t="shared" si="61"/>
        <v>18754.899791666667</v>
      </c>
      <c r="L220" s="40">
        <f t="shared" si="61"/>
        <v>66245.10020833333</v>
      </c>
      <c r="M220" s="35"/>
    </row>
    <row r="221" spans="1:14" s="42" customFormat="1" ht="30" customHeight="1" thickBot="1" x14ac:dyDescent="0.3">
      <c r="C221" s="44"/>
      <c r="N221" s="56"/>
    </row>
    <row r="222" spans="1:14" s="42" customFormat="1" ht="30" customHeight="1" thickBot="1" x14ac:dyDescent="0.3">
      <c r="A222" s="232" t="s">
        <v>308</v>
      </c>
      <c r="B222" s="233"/>
      <c r="C222" s="233"/>
      <c r="D222" s="233"/>
      <c r="E222" s="233"/>
      <c r="F222" s="233"/>
      <c r="G222" s="233"/>
      <c r="H222" s="233"/>
      <c r="I222" s="233"/>
      <c r="J222" s="233"/>
      <c r="K222" s="233"/>
      <c r="L222" s="234"/>
      <c r="N222" s="56"/>
    </row>
    <row r="223" spans="1:14" s="42" customFormat="1" ht="30" customHeight="1" x14ac:dyDescent="0.25">
      <c r="A223" s="83">
        <f>+A219+1</f>
        <v>112</v>
      </c>
      <c r="B223" s="126" t="s">
        <v>309</v>
      </c>
      <c r="C223" s="136" t="s">
        <v>442</v>
      </c>
      <c r="D223" s="163" t="s">
        <v>310</v>
      </c>
      <c r="E223" s="121" t="s">
        <v>124</v>
      </c>
      <c r="F223" s="120">
        <v>135000</v>
      </c>
      <c r="G223" s="85">
        <f>F223*2.87%</f>
        <v>3874.5</v>
      </c>
      <c r="H223" s="85">
        <f>F223*3.04%</f>
        <v>4104</v>
      </c>
      <c r="I223" s="85">
        <v>19960.19979166667</v>
      </c>
      <c r="J223" s="86">
        <v>1537.45</v>
      </c>
      <c r="K223" s="85">
        <f>SUM(G223:J223)</f>
        <v>29476.14979166667</v>
      </c>
      <c r="L223" s="85">
        <f>+F223-K223</f>
        <v>105523.85020833333</v>
      </c>
      <c r="N223" s="56"/>
    </row>
    <row r="224" spans="1:14" s="56" customFormat="1" ht="30" customHeight="1" x14ac:dyDescent="0.25">
      <c r="A224" s="88">
        <f>+A223+1</f>
        <v>113</v>
      </c>
      <c r="B224" s="121" t="s">
        <v>16</v>
      </c>
      <c r="C224" s="39" t="s">
        <v>442</v>
      </c>
      <c r="D224" s="121" t="s">
        <v>311</v>
      </c>
      <c r="E224" s="121" t="s">
        <v>125</v>
      </c>
      <c r="F224" s="123">
        <v>80000</v>
      </c>
      <c r="G224" s="90">
        <f>F224*2.87%</f>
        <v>2296</v>
      </c>
      <c r="H224" s="90">
        <f>+F224*3.04%</f>
        <v>2432</v>
      </c>
      <c r="I224" s="90">
        <v>6342.78</v>
      </c>
      <c r="J224" s="86">
        <v>6162.35</v>
      </c>
      <c r="K224" s="85">
        <f>SUM(G224:J224)</f>
        <v>17233.129999999997</v>
      </c>
      <c r="L224" s="85">
        <f>+F224-K224</f>
        <v>62766.87</v>
      </c>
      <c r="M224" s="42"/>
    </row>
    <row r="225" spans="1:14" s="99" customFormat="1" ht="30" customHeight="1" x14ac:dyDescent="0.25">
      <c r="A225" s="229" t="s">
        <v>128</v>
      </c>
      <c r="B225" s="230"/>
      <c r="C225" s="230"/>
      <c r="D225" s="230"/>
      <c r="E225" s="231"/>
      <c r="F225" s="40">
        <f t="shared" ref="F225:L225" si="62">SUM(F223:F224)</f>
        <v>215000</v>
      </c>
      <c r="G225" s="40">
        <f t="shared" si="62"/>
        <v>6170.5</v>
      </c>
      <c r="H225" s="40">
        <f t="shared" si="62"/>
        <v>6536</v>
      </c>
      <c r="I225" s="40">
        <f t="shared" si="62"/>
        <v>26302.979791666668</v>
      </c>
      <c r="J225" s="40">
        <f t="shared" si="62"/>
        <v>7699.8</v>
      </c>
      <c r="K225" s="40">
        <f t="shared" si="62"/>
        <v>46709.279791666668</v>
      </c>
      <c r="L225" s="40">
        <f t="shared" si="62"/>
        <v>168290.72020833334</v>
      </c>
      <c r="M225" s="226"/>
    </row>
    <row r="226" spans="1:14" s="99" customFormat="1" ht="30" customHeight="1" thickBot="1" x14ac:dyDescent="0.3">
      <c r="A226" s="53"/>
      <c r="B226" s="53"/>
      <c r="C226" s="53"/>
      <c r="D226" s="53"/>
      <c r="E226" s="53"/>
      <c r="F226"/>
      <c r="G226"/>
      <c r="H226"/>
      <c r="I226"/>
      <c r="J226"/>
      <c r="K226"/>
      <c r="L226"/>
      <c r="M226" s="226"/>
    </row>
    <row r="227" spans="1:14" s="42" customFormat="1" ht="30" customHeight="1" thickBot="1" x14ac:dyDescent="0.3">
      <c r="A227" s="232" t="s">
        <v>312</v>
      </c>
      <c r="B227" s="233"/>
      <c r="C227" s="233"/>
      <c r="D227" s="233"/>
      <c r="E227" s="233"/>
      <c r="F227" s="233"/>
      <c r="G227" s="233"/>
      <c r="H227" s="233"/>
      <c r="I227" s="233"/>
      <c r="J227" s="233"/>
      <c r="K227" s="233"/>
      <c r="L227" s="234"/>
      <c r="N227" s="56"/>
    </row>
    <row r="228" spans="1:14" s="42" customFormat="1" ht="30" customHeight="1" x14ac:dyDescent="0.25">
      <c r="A228" s="88">
        <f>+A224+1</f>
        <v>114</v>
      </c>
      <c r="B228" s="121" t="s">
        <v>112</v>
      </c>
      <c r="C228" s="39" t="s">
        <v>442</v>
      </c>
      <c r="D228" s="121" t="s">
        <v>113</v>
      </c>
      <c r="E228" s="121" t="s">
        <v>125</v>
      </c>
      <c r="F228" s="123">
        <v>100000</v>
      </c>
      <c r="G228" s="90">
        <f>F228*2.87%</f>
        <v>2870</v>
      </c>
      <c r="H228" s="90">
        <f>+F228*3.04%</f>
        <v>3040</v>
      </c>
      <c r="I228" s="123">
        <v>12105.437291666667</v>
      </c>
      <c r="J228" s="86">
        <v>2025</v>
      </c>
      <c r="K228" s="85">
        <f>SUM(G228:J228)</f>
        <v>20040.437291666669</v>
      </c>
      <c r="L228" s="85">
        <f>+F228-K228</f>
        <v>79959.562708333338</v>
      </c>
      <c r="N228" s="56"/>
    </row>
    <row r="229" spans="1:14" s="56" customFormat="1" ht="30" customHeight="1" x14ac:dyDescent="0.25">
      <c r="A229" s="88">
        <f>+A228+1</f>
        <v>115</v>
      </c>
      <c r="B229" s="121" t="s">
        <v>313</v>
      </c>
      <c r="C229" s="39" t="s">
        <v>441</v>
      </c>
      <c r="D229" s="121" t="s">
        <v>23</v>
      </c>
      <c r="E229" s="121" t="s">
        <v>204</v>
      </c>
      <c r="F229" s="123">
        <v>35000</v>
      </c>
      <c r="G229" s="90">
        <v>1004.5</v>
      </c>
      <c r="H229" s="90">
        <v>1064</v>
      </c>
      <c r="I229" s="90"/>
      <c r="J229" s="86">
        <v>25</v>
      </c>
      <c r="K229" s="85">
        <f>SUM(G229:J229)</f>
        <v>2093.5</v>
      </c>
      <c r="L229" s="85">
        <f>+F229-K229</f>
        <v>32906.5</v>
      </c>
      <c r="M229" s="42"/>
    </row>
    <row r="230" spans="1:14" s="56" customFormat="1" ht="30" customHeight="1" x14ac:dyDescent="0.25">
      <c r="A230" s="229" t="s">
        <v>128</v>
      </c>
      <c r="B230" s="230"/>
      <c r="C230" s="230"/>
      <c r="D230" s="230"/>
      <c r="E230" s="231"/>
      <c r="F230" s="40">
        <f t="shared" ref="F230:L230" si="63">SUM(F228:F229)</f>
        <v>135000</v>
      </c>
      <c r="G230" s="40">
        <f t="shared" si="63"/>
        <v>3874.5</v>
      </c>
      <c r="H230" s="40">
        <f t="shared" si="63"/>
        <v>4104</v>
      </c>
      <c r="I230" s="40">
        <f t="shared" si="63"/>
        <v>12105.437291666667</v>
      </c>
      <c r="J230" s="40">
        <f t="shared" si="63"/>
        <v>2050</v>
      </c>
      <c r="K230" s="40">
        <f t="shared" si="63"/>
        <v>22133.937291666669</v>
      </c>
      <c r="L230" s="40">
        <f t="shared" si="63"/>
        <v>112866.06270833334</v>
      </c>
      <c r="M230" s="42"/>
    </row>
    <row r="231" spans="1:14" s="42" customFormat="1" ht="30" customHeight="1" thickBot="1" x14ac:dyDescent="0.3">
      <c r="A231" s="44"/>
      <c r="B231" s="51"/>
      <c r="C231" s="155"/>
      <c r="D231" s="51"/>
      <c r="E231" s="51"/>
      <c r="F231" s="52"/>
      <c r="N231" s="56"/>
    </row>
    <row r="232" spans="1:14" s="42" customFormat="1" ht="30" customHeight="1" thickBot="1" x14ac:dyDescent="0.3">
      <c r="A232" s="232" t="s">
        <v>226</v>
      </c>
      <c r="B232" s="233"/>
      <c r="C232" s="233"/>
      <c r="D232" s="233"/>
      <c r="E232" s="233"/>
      <c r="F232" s="233"/>
      <c r="G232" s="233"/>
      <c r="H232" s="233"/>
      <c r="I232" s="233"/>
      <c r="J232" s="233"/>
      <c r="K232" s="233"/>
      <c r="L232" s="234"/>
      <c r="N232" s="56"/>
    </row>
    <row r="233" spans="1:14" s="42" customFormat="1" ht="30" customHeight="1" x14ac:dyDescent="0.25">
      <c r="A233" s="39">
        <f>+A229+1</f>
        <v>116</v>
      </c>
      <c r="B233" s="169" t="s">
        <v>18</v>
      </c>
      <c r="C233" s="39" t="s">
        <v>441</v>
      </c>
      <c r="D233" s="140" t="s">
        <v>314</v>
      </c>
      <c r="E233" s="169" t="s">
        <v>124</v>
      </c>
      <c r="F233" s="141">
        <v>23333.33</v>
      </c>
      <c r="G233" s="97">
        <f>F233*2.87%</f>
        <v>669.66657100000009</v>
      </c>
      <c r="H233" s="97">
        <f>+F233*3.04%</f>
        <v>709.33323200000007</v>
      </c>
      <c r="I233" s="123">
        <v>0</v>
      </c>
      <c r="J233" s="86">
        <v>25</v>
      </c>
      <c r="K233" s="98">
        <f>SUM(G233:J233)</f>
        <v>1403.9998030000002</v>
      </c>
      <c r="L233" s="98">
        <f>+F233-K233</f>
        <v>21929.330197000003</v>
      </c>
      <c r="N233" s="56"/>
    </row>
    <row r="234" spans="1:14" s="42" customFormat="1" ht="30" customHeight="1" x14ac:dyDescent="0.25">
      <c r="A234" s="229" t="s">
        <v>128</v>
      </c>
      <c r="B234" s="230"/>
      <c r="C234" s="230"/>
      <c r="D234" s="230"/>
      <c r="E234" s="231"/>
      <c r="F234" s="40">
        <f t="shared" ref="F234:L234" si="64">SUM(F233:F233)</f>
        <v>23333.33</v>
      </c>
      <c r="G234" s="40">
        <f t="shared" si="64"/>
        <v>669.66657100000009</v>
      </c>
      <c r="H234" s="40">
        <f t="shared" si="64"/>
        <v>709.33323200000007</v>
      </c>
      <c r="I234" s="40">
        <f t="shared" si="64"/>
        <v>0</v>
      </c>
      <c r="J234" s="40">
        <f t="shared" si="64"/>
        <v>25</v>
      </c>
      <c r="K234" s="40">
        <f t="shared" si="64"/>
        <v>1403.9998030000002</v>
      </c>
      <c r="L234" s="40">
        <f t="shared" si="64"/>
        <v>21929.330197000003</v>
      </c>
      <c r="N234" s="56"/>
    </row>
    <row r="235" spans="1:14" s="42" customFormat="1" ht="30" customHeight="1" thickBot="1" x14ac:dyDescent="0.3">
      <c r="A235" s="44"/>
      <c r="B235" s="51"/>
      <c r="C235" s="155"/>
      <c r="D235" s="51"/>
      <c r="E235" s="51"/>
      <c r="F235" s="52"/>
      <c r="N235" s="56"/>
    </row>
    <row r="236" spans="1:14" s="42" customFormat="1" ht="30" customHeight="1" x14ac:dyDescent="0.25">
      <c r="A236" s="246" t="s">
        <v>213</v>
      </c>
      <c r="B236" s="247"/>
      <c r="C236" s="247"/>
      <c r="D236" s="247"/>
      <c r="E236" s="247"/>
      <c r="F236" s="247"/>
      <c r="G236" s="247"/>
      <c r="H236" s="247"/>
      <c r="I236" s="247"/>
      <c r="J236" s="247"/>
      <c r="K236" s="247"/>
      <c r="L236" s="248"/>
      <c r="N236" s="56"/>
    </row>
    <row r="237" spans="1:14" s="42" customFormat="1" ht="30" customHeight="1" x14ac:dyDescent="0.25">
      <c r="A237" s="88">
        <f>+A233+1</f>
        <v>117</v>
      </c>
      <c r="B237" s="121" t="s">
        <v>315</v>
      </c>
      <c r="C237" s="39" t="s">
        <v>442</v>
      </c>
      <c r="D237" s="121" t="s">
        <v>23</v>
      </c>
      <c r="E237" s="191" t="s">
        <v>237</v>
      </c>
      <c r="F237" s="123">
        <v>40000</v>
      </c>
      <c r="G237" s="90">
        <f>F237*2.87%</f>
        <v>1148</v>
      </c>
      <c r="H237" s="90">
        <f>+F237*3.04%</f>
        <v>1216</v>
      </c>
      <c r="I237" s="90">
        <v>442.64987499999984</v>
      </c>
      <c r="J237" s="90">
        <v>8184.38</v>
      </c>
      <c r="K237" s="85">
        <f>SUM(G237:J237)</f>
        <v>10991.029875</v>
      </c>
      <c r="L237" s="85">
        <f>+F237-K237</f>
        <v>29008.970125</v>
      </c>
      <c r="N237" s="56"/>
    </row>
    <row r="238" spans="1:14" s="42" customFormat="1" ht="30" customHeight="1" x14ac:dyDescent="0.25">
      <c r="A238" s="229" t="s">
        <v>128</v>
      </c>
      <c r="B238" s="230"/>
      <c r="C238" s="230"/>
      <c r="D238" s="230"/>
      <c r="E238" s="231"/>
      <c r="F238" s="40">
        <f t="shared" ref="F238:L238" si="65">SUM(F237:F237)</f>
        <v>40000</v>
      </c>
      <c r="G238" s="40">
        <f t="shared" si="65"/>
        <v>1148</v>
      </c>
      <c r="H238" s="40">
        <f t="shared" si="65"/>
        <v>1216</v>
      </c>
      <c r="I238" s="40">
        <f t="shared" si="65"/>
        <v>442.64987499999984</v>
      </c>
      <c r="J238" s="40">
        <f t="shared" si="65"/>
        <v>8184.38</v>
      </c>
      <c r="K238" s="40">
        <f t="shared" si="65"/>
        <v>10991.029875</v>
      </c>
      <c r="L238" s="40">
        <f t="shared" si="65"/>
        <v>29008.970125</v>
      </c>
      <c r="N238" s="56"/>
    </row>
    <row r="239" spans="1:14" s="42" customFormat="1" ht="30" customHeight="1" thickBot="1" x14ac:dyDescent="0.3">
      <c r="A239" s="54"/>
      <c r="B239" s="48"/>
      <c r="C239" s="53"/>
      <c r="D239" s="55"/>
      <c r="E239" s="55"/>
      <c r="F239" s="43"/>
      <c r="G239" s="43"/>
      <c r="H239" s="43"/>
      <c r="I239" s="43"/>
      <c r="J239" s="43"/>
      <c r="K239" s="43"/>
      <c r="L239" s="43"/>
      <c r="N239" s="56"/>
    </row>
    <row r="240" spans="1:14" s="42" customFormat="1" ht="30" customHeight="1" thickBot="1" x14ac:dyDescent="0.3">
      <c r="A240" s="232" t="s">
        <v>88</v>
      </c>
      <c r="B240" s="233"/>
      <c r="C240" s="233"/>
      <c r="D240" s="233"/>
      <c r="E240" s="233"/>
      <c r="F240" s="233"/>
      <c r="G240" s="233"/>
      <c r="H240" s="233"/>
      <c r="I240" s="233"/>
      <c r="J240" s="233"/>
      <c r="K240" s="233"/>
      <c r="L240" s="234"/>
      <c r="N240" s="56"/>
    </row>
    <row r="241" spans="1:14" s="56" customFormat="1" ht="30" customHeight="1" x14ac:dyDescent="0.25">
      <c r="A241" s="88">
        <f>+A237+1</f>
        <v>118</v>
      </c>
      <c r="B241" s="121" t="s">
        <v>10</v>
      </c>
      <c r="C241" s="39" t="s">
        <v>442</v>
      </c>
      <c r="D241" s="121" t="s">
        <v>97</v>
      </c>
      <c r="E241" s="121" t="s">
        <v>125</v>
      </c>
      <c r="F241" s="123">
        <v>50000</v>
      </c>
      <c r="G241" s="123">
        <f>F241*2.87%</f>
        <v>1435</v>
      </c>
      <c r="H241" s="90">
        <f>+F241*3.04%</f>
        <v>1520</v>
      </c>
      <c r="I241" s="90">
        <v>1853.9998749999997</v>
      </c>
      <c r="J241" s="86">
        <v>125</v>
      </c>
      <c r="K241" s="85">
        <f>SUM(G241:J241)</f>
        <v>4933.9998749999995</v>
      </c>
      <c r="L241" s="85">
        <f>+F241-K241</f>
        <v>45066.000124999999</v>
      </c>
      <c r="M241" s="42"/>
    </row>
    <row r="242" spans="1:14" s="56" customFormat="1" ht="30" customHeight="1" x14ac:dyDescent="0.25">
      <c r="A242" s="229" t="s">
        <v>128</v>
      </c>
      <c r="B242" s="230"/>
      <c r="C242" s="230"/>
      <c r="D242" s="230"/>
      <c r="E242" s="231"/>
      <c r="F242" s="40">
        <f t="shared" ref="F242:L242" si="66">SUM(F241:F241)</f>
        <v>50000</v>
      </c>
      <c r="G242" s="40">
        <f t="shared" si="66"/>
        <v>1435</v>
      </c>
      <c r="H242" s="40">
        <f t="shared" si="66"/>
        <v>1520</v>
      </c>
      <c r="I242" s="40">
        <f t="shared" si="66"/>
        <v>1853.9998749999997</v>
      </c>
      <c r="J242" s="40">
        <f t="shared" si="66"/>
        <v>125</v>
      </c>
      <c r="K242" s="40">
        <f t="shared" si="66"/>
        <v>4933.9998749999995</v>
      </c>
      <c r="L242" s="40">
        <f t="shared" si="66"/>
        <v>45066.000124999999</v>
      </c>
      <c r="M242" s="42"/>
    </row>
    <row r="243" spans="1:14" s="56" customFormat="1" ht="30" customHeight="1" thickBot="1" x14ac:dyDescent="0.3">
      <c r="A243" s="53"/>
      <c r="B243" s="53"/>
      <c r="C243" s="53"/>
      <c r="D243" s="53"/>
      <c r="E243" s="53"/>
      <c r="F243"/>
      <c r="G243"/>
      <c r="H243"/>
      <c r="I243"/>
      <c r="J243"/>
      <c r="K243"/>
      <c r="L243"/>
      <c r="M243" s="42"/>
    </row>
    <row r="244" spans="1:14" s="42" customFormat="1" ht="30" customHeight="1" thickBot="1" x14ac:dyDescent="0.3">
      <c r="A244" s="232" t="s">
        <v>181</v>
      </c>
      <c r="B244" s="233"/>
      <c r="C244" s="233"/>
      <c r="D244" s="233"/>
      <c r="E244" s="233"/>
      <c r="F244" s="233"/>
      <c r="G244" s="233"/>
      <c r="H244" s="233"/>
      <c r="I244" s="233"/>
      <c r="J244" s="233"/>
      <c r="K244" s="233"/>
      <c r="L244" s="234"/>
      <c r="N244" s="56"/>
    </row>
    <row r="245" spans="1:14" s="56" customFormat="1" ht="30" customHeight="1" x14ac:dyDescent="0.25">
      <c r="A245" s="83">
        <f>+A241+1</f>
        <v>119</v>
      </c>
      <c r="B245" s="84" t="s">
        <v>7</v>
      </c>
      <c r="C245" s="83" t="s">
        <v>442</v>
      </c>
      <c r="D245" s="84" t="s">
        <v>6</v>
      </c>
      <c r="E245" s="84" t="s">
        <v>125</v>
      </c>
      <c r="F245" s="85">
        <v>54500</v>
      </c>
      <c r="G245" s="85">
        <f>F245*2.87%</f>
        <v>1564.15</v>
      </c>
      <c r="H245" s="85">
        <f>+F245*3.04%</f>
        <v>1656.8</v>
      </c>
      <c r="I245" s="85">
        <v>2035.3723750000006</v>
      </c>
      <c r="J245" s="86">
        <v>3149.9</v>
      </c>
      <c r="K245" s="85">
        <f>SUM(G245:J245)</f>
        <v>8406.2223750000012</v>
      </c>
      <c r="L245" s="85">
        <f>+F245-K245</f>
        <v>46093.777625000002</v>
      </c>
      <c r="M245" s="42"/>
    </row>
    <row r="246" spans="1:14" s="50" customFormat="1" ht="30" customHeight="1" x14ac:dyDescent="0.25">
      <c r="A246" s="83">
        <f>+A245+1</f>
        <v>120</v>
      </c>
      <c r="B246" s="126" t="s">
        <v>17</v>
      </c>
      <c r="C246" s="136" t="s">
        <v>442</v>
      </c>
      <c r="D246" s="126" t="s">
        <v>318</v>
      </c>
      <c r="E246" s="126" t="s">
        <v>124</v>
      </c>
      <c r="F246" s="120">
        <v>50000</v>
      </c>
      <c r="G246" s="120">
        <f>F246*2.87%</f>
        <v>1435</v>
      </c>
      <c r="H246" s="85">
        <f>+F246*3.04%</f>
        <v>1520</v>
      </c>
      <c r="I246" s="85">
        <v>1627.132375000001</v>
      </c>
      <c r="J246" s="86">
        <v>11537.45</v>
      </c>
      <c r="K246" s="90">
        <f>SUM(G246:J246)</f>
        <v>16119.582375000002</v>
      </c>
      <c r="L246" s="90">
        <f>+F246-K246</f>
        <v>33880.417625000002</v>
      </c>
      <c r="N246" s="95"/>
    </row>
    <row r="247" spans="1:14" s="42" customFormat="1" ht="30" customHeight="1" x14ac:dyDescent="0.25">
      <c r="A247" s="39">
        <f>+A246+1</f>
        <v>121</v>
      </c>
      <c r="B247" s="121" t="s">
        <v>558</v>
      </c>
      <c r="C247" s="39" t="s">
        <v>441</v>
      </c>
      <c r="D247" s="121" t="s">
        <v>203</v>
      </c>
      <c r="E247" s="121" t="s">
        <v>237</v>
      </c>
      <c r="F247" s="123">
        <v>50000</v>
      </c>
      <c r="G247" s="123">
        <f>F247*2.87%</f>
        <v>1435</v>
      </c>
      <c r="H247" s="123">
        <f>+F247*3.04%</f>
        <v>1520</v>
      </c>
      <c r="I247" s="123">
        <v>1853.9998749999997</v>
      </c>
      <c r="J247" s="125">
        <v>25</v>
      </c>
      <c r="K247" s="120">
        <f>SUM(G247:J247)</f>
        <v>4833.9998749999995</v>
      </c>
      <c r="L247" s="120">
        <f>+F247-K247</f>
        <v>45166.000124999999</v>
      </c>
      <c r="N247" s="56"/>
    </row>
    <row r="248" spans="1:14" s="95" customFormat="1" ht="30" customHeight="1" x14ac:dyDescent="0.25">
      <c r="A248" s="88">
        <f>+A247+1</f>
        <v>122</v>
      </c>
      <c r="B248" s="89" t="s">
        <v>317</v>
      </c>
      <c r="C248" s="88" t="s">
        <v>441</v>
      </c>
      <c r="D248" s="89" t="s">
        <v>6</v>
      </c>
      <c r="E248" s="89" t="s">
        <v>125</v>
      </c>
      <c r="F248" s="90">
        <v>49500</v>
      </c>
      <c r="G248" s="90">
        <f>F248*2.87%</f>
        <v>1420.65</v>
      </c>
      <c r="H248" s="90">
        <f>+F248*3.04%</f>
        <v>1504.8</v>
      </c>
      <c r="I248" s="90">
        <v>1783.432375000001</v>
      </c>
      <c r="J248" s="86">
        <v>125</v>
      </c>
      <c r="K248" s="85">
        <f>SUM(G248:J248)</f>
        <v>4833.882375000001</v>
      </c>
      <c r="L248" s="85">
        <f>+F248-K248</f>
        <v>44666.117624999999</v>
      </c>
      <c r="M248" s="50"/>
    </row>
    <row r="249" spans="1:14" s="56" customFormat="1" ht="30" customHeight="1" x14ac:dyDescent="0.25">
      <c r="A249" s="229" t="s">
        <v>128</v>
      </c>
      <c r="B249" s="230"/>
      <c r="C249" s="230"/>
      <c r="D249" s="230"/>
      <c r="E249" s="231"/>
      <c r="F249" s="40">
        <f t="shared" ref="F249:L249" si="67">SUM(F245:F248)</f>
        <v>204000</v>
      </c>
      <c r="G249" s="40">
        <f t="shared" si="67"/>
        <v>5854.7999999999993</v>
      </c>
      <c r="H249" s="40">
        <f t="shared" si="67"/>
        <v>6201.6</v>
      </c>
      <c r="I249" s="40">
        <f t="shared" si="67"/>
        <v>7299.9370000000026</v>
      </c>
      <c r="J249" s="40">
        <f t="shared" si="67"/>
        <v>14837.35</v>
      </c>
      <c r="K249" s="40">
        <f t="shared" si="67"/>
        <v>34193.687000000005</v>
      </c>
      <c r="L249" s="40">
        <f t="shared" si="67"/>
        <v>169806.31300000002</v>
      </c>
      <c r="M249" s="42"/>
    </row>
    <row r="250" spans="1:14" s="56" customFormat="1" ht="30" customHeight="1" thickBot="1" x14ac:dyDescent="0.3">
      <c r="A250" s="47"/>
      <c r="B250" s="45"/>
      <c r="C250" s="47"/>
      <c r="D250" s="45"/>
      <c r="E250" s="45"/>
      <c r="F250" s="42"/>
      <c r="G250" s="42"/>
      <c r="H250" s="42"/>
      <c r="I250" s="42"/>
      <c r="J250" s="42"/>
      <c r="K250" s="42"/>
      <c r="L250" s="41"/>
      <c r="M250" s="42"/>
    </row>
    <row r="251" spans="1:14" s="42" customFormat="1" ht="30" customHeight="1" thickBot="1" x14ac:dyDescent="0.3">
      <c r="A251" s="232" t="s">
        <v>182</v>
      </c>
      <c r="B251" s="233"/>
      <c r="C251" s="233"/>
      <c r="D251" s="233"/>
      <c r="E251" s="233"/>
      <c r="F251" s="233"/>
      <c r="G251" s="233"/>
      <c r="H251" s="233"/>
      <c r="I251" s="233"/>
      <c r="J251" s="233"/>
      <c r="K251" s="233"/>
      <c r="L251" s="234"/>
      <c r="N251" s="56"/>
    </row>
    <row r="252" spans="1:14" s="42" customFormat="1" ht="30" customHeight="1" x14ac:dyDescent="0.25">
      <c r="A252" s="88">
        <f>+A248+1</f>
        <v>123</v>
      </c>
      <c r="B252" s="121" t="s">
        <v>198</v>
      </c>
      <c r="C252" s="39" t="s">
        <v>441</v>
      </c>
      <c r="D252" s="121" t="s">
        <v>9</v>
      </c>
      <c r="E252" s="121" t="s">
        <v>125</v>
      </c>
      <c r="F252" s="123">
        <v>80000</v>
      </c>
      <c r="G252" s="123">
        <f>F252*2.87%</f>
        <v>2296</v>
      </c>
      <c r="H252" s="90">
        <f>+F252*3.04%</f>
        <v>2432</v>
      </c>
      <c r="I252" s="123">
        <v>7400.87</v>
      </c>
      <c r="J252" s="86">
        <f>2268.24+100+25</f>
        <v>2393.2399999999998</v>
      </c>
      <c r="K252" s="85">
        <f>SUM(G252:J252)</f>
        <v>14522.109999999999</v>
      </c>
      <c r="L252" s="86">
        <f>+F252-K252</f>
        <v>65477.89</v>
      </c>
      <c r="N252" s="56"/>
    </row>
    <row r="253" spans="1:14" s="56" customFormat="1" ht="30" customHeight="1" x14ac:dyDescent="0.25">
      <c r="A253" s="83">
        <f>+A252+1</f>
        <v>124</v>
      </c>
      <c r="B253" s="126" t="s">
        <v>316</v>
      </c>
      <c r="C253" s="136" t="s">
        <v>441</v>
      </c>
      <c r="D253" s="126" t="s">
        <v>203</v>
      </c>
      <c r="E253" s="126" t="s">
        <v>237</v>
      </c>
      <c r="F253" s="120">
        <v>60000</v>
      </c>
      <c r="G253" s="192">
        <f>F253*2.87%</f>
        <v>1722</v>
      </c>
      <c r="H253" s="98">
        <f>+F253*3.04%</f>
        <v>1824</v>
      </c>
      <c r="I253" s="98">
        <v>3486.68</v>
      </c>
      <c r="J253" s="86">
        <v>25</v>
      </c>
      <c r="K253" s="98">
        <f>SUM(G253:J253)</f>
        <v>7057.68</v>
      </c>
      <c r="L253" s="98">
        <f>+F253-K253</f>
        <v>52942.32</v>
      </c>
      <c r="M253" s="42"/>
    </row>
    <row r="254" spans="1:14" s="56" customFormat="1" ht="30" customHeight="1" x14ac:dyDescent="0.25">
      <c r="A254" s="229" t="s">
        <v>128</v>
      </c>
      <c r="B254" s="230"/>
      <c r="C254" s="230"/>
      <c r="D254" s="230"/>
      <c r="E254" s="231"/>
      <c r="F254" s="40">
        <f t="shared" ref="F254:L254" si="68">SUM(F252:F253)</f>
        <v>140000</v>
      </c>
      <c r="G254" s="40">
        <f t="shared" si="68"/>
        <v>4018</v>
      </c>
      <c r="H254" s="40">
        <f t="shared" si="68"/>
        <v>4256</v>
      </c>
      <c r="I254" s="40">
        <f t="shared" si="68"/>
        <v>10887.55</v>
      </c>
      <c r="J254" s="40">
        <f t="shared" si="68"/>
        <v>2418.2399999999998</v>
      </c>
      <c r="K254" s="40">
        <f t="shared" si="68"/>
        <v>21579.79</v>
      </c>
      <c r="L254" s="40">
        <f t="shared" si="68"/>
        <v>118420.20999999999</v>
      </c>
      <c r="M254" s="42"/>
    </row>
    <row r="255" spans="1:14" s="42" customFormat="1" ht="30" customHeight="1" thickBot="1" x14ac:dyDescent="0.3">
      <c r="A255" s="47"/>
      <c r="B255" s="45"/>
      <c r="C255" s="47"/>
      <c r="D255" s="45"/>
      <c r="E255" s="45"/>
      <c r="L255" s="41"/>
      <c r="N255" s="56"/>
    </row>
    <row r="256" spans="1:14" s="42" customFormat="1" ht="30" customHeight="1" thickBot="1" x14ac:dyDescent="0.3">
      <c r="A256" s="235" t="s">
        <v>320</v>
      </c>
      <c r="B256" s="236"/>
      <c r="C256" s="236"/>
      <c r="D256" s="236"/>
      <c r="E256" s="236"/>
      <c r="F256" s="236"/>
      <c r="G256" s="236"/>
      <c r="H256" s="236"/>
      <c r="I256" s="236"/>
      <c r="J256" s="236"/>
      <c r="K256" s="236"/>
      <c r="L256" s="237"/>
      <c r="N256" s="56"/>
    </row>
    <row r="257" spans="1:14" s="42" customFormat="1" ht="30" customHeight="1" x14ac:dyDescent="0.25">
      <c r="A257" s="88">
        <f>+A253+1</f>
        <v>125</v>
      </c>
      <c r="B257" s="121" t="s">
        <v>4</v>
      </c>
      <c r="C257" s="39" t="s">
        <v>441</v>
      </c>
      <c r="D257" s="121" t="s">
        <v>471</v>
      </c>
      <c r="E257" s="121" t="s">
        <v>125</v>
      </c>
      <c r="F257" s="123">
        <v>105000</v>
      </c>
      <c r="G257" s="123">
        <f>F257*2.87%</f>
        <v>3013.5</v>
      </c>
      <c r="H257" s="90">
        <f>+F257*3.04%</f>
        <v>3192</v>
      </c>
      <c r="I257" s="123">
        <v>12525.33729166667</v>
      </c>
      <c r="J257" s="86">
        <v>3049.9</v>
      </c>
      <c r="K257" s="85">
        <f>+G257+H257+J257+I257</f>
        <v>21780.737291666672</v>
      </c>
      <c r="L257" s="86">
        <f>+F257-K257</f>
        <v>83219.262708333321</v>
      </c>
      <c r="N257" s="56"/>
    </row>
    <row r="258" spans="1:14" s="56" customFormat="1" ht="30" customHeight="1" x14ac:dyDescent="0.25">
      <c r="A258" s="229" t="s">
        <v>128</v>
      </c>
      <c r="B258" s="230"/>
      <c r="C258" s="230"/>
      <c r="D258" s="230"/>
      <c r="E258" s="231"/>
      <c r="F258" s="40">
        <f t="shared" ref="F258:L258" si="69">SUM(F257:F257)</f>
        <v>105000</v>
      </c>
      <c r="G258" s="40">
        <f t="shared" si="69"/>
        <v>3013.5</v>
      </c>
      <c r="H258" s="40">
        <f t="shared" si="69"/>
        <v>3192</v>
      </c>
      <c r="I258" s="40">
        <f t="shared" si="69"/>
        <v>12525.33729166667</v>
      </c>
      <c r="J258" s="40">
        <f t="shared" si="69"/>
        <v>3049.9</v>
      </c>
      <c r="K258" s="40">
        <f t="shared" si="69"/>
        <v>21780.737291666672</v>
      </c>
      <c r="L258" s="40">
        <f t="shared" si="69"/>
        <v>83219.262708333321</v>
      </c>
      <c r="M258" s="42"/>
    </row>
    <row r="259" spans="1:14" s="56" customFormat="1" ht="30" customHeight="1" thickBot="1" x14ac:dyDescent="0.3">
      <c r="A259" s="53"/>
      <c r="B259" s="53"/>
      <c r="C259" s="53"/>
      <c r="D259" s="53"/>
      <c r="E259" s="53"/>
      <c r="F259"/>
      <c r="G259"/>
      <c r="H259"/>
      <c r="I259"/>
      <c r="J259"/>
      <c r="K259"/>
      <c r="L259"/>
      <c r="M259" s="42"/>
    </row>
    <row r="260" spans="1:14" s="42" customFormat="1" ht="30" customHeight="1" thickBot="1" x14ac:dyDescent="0.3">
      <c r="A260" s="238" t="s">
        <v>321</v>
      </c>
      <c r="B260" s="239"/>
      <c r="C260" s="239"/>
      <c r="D260" s="239"/>
      <c r="E260" s="239"/>
      <c r="F260" s="239"/>
      <c r="G260" s="239"/>
      <c r="H260" s="239"/>
      <c r="I260" s="239"/>
      <c r="J260" s="239"/>
      <c r="K260" s="239"/>
      <c r="L260" s="240"/>
      <c r="N260" s="56"/>
    </row>
    <row r="261" spans="1:14" s="42" customFormat="1" ht="30" customHeight="1" x14ac:dyDescent="0.25">
      <c r="A261" s="88">
        <f>+A257+1</f>
        <v>126</v>
      </c>
      <c r="B261" s="121" t="s">
        <v>322</v>
      </c>
      <c r="C261" s="39" t="s">
        <v>441</v>
      </c>
      <c r="D261" s="121" t="s">
        <v>85</v>
      </c>
      <c r="E261" s="121" t="s">
        <v>124</v>
      </c>
      <c r="F261" s="123">
        <v>90000</v>
      </c>
      <c r="G261" s="90">
        <f>F261*2.87%</f>
        <v>2583</v>
      </c>
      <c r="H261" s="90">
        <f>+F261*3.04%</f>
        <v>2736</v>
      </c>
      <c r="I261" s="123">
        <v>9753.1872916666671</v>
      </c>
      <c r="J261" s="86">
        <v>25</v>
      </c>
      <c r="K261" s="85">
        <f>SUM(G261:J261)</f>
        <v>15097.187291666667</v>
      </c>
      <c r="L261" s="86">
        <f>+F261-K261</f>
        <v>74902.812708333338</v>
      </c>
      <c r="N261" s="56"/>
    </row>
    <row r="262" spans="1:14" s="56" customFormat="1" ht="30" customHeight="1" x14ac:dyDescent="0.25">
      <c r="A262" s="88">
        <f>+A261+1</f>
        <v>127</v>
      </c>
      <c r="B262" s="121" t="s">
        <v>20</v>
      </c>
      <c r="C262" s="39" t="s">
        <v>441</v>
      </c>
      <c r="D262" s="140" t="s">
        <v>323</v>
      </c>
      <c r="E262" s="121" t="s">
        <v>125</v>
      </c>
      <c r="F262" s="90">
        <v>68000</v>
      </c>
      <c r="G262" s="90">
        <f>F262*2.87%</f>
        <v>1951.6</v>
      </c>
      <c r="H262" s="90">
        <f>+F262*3.04%</f>
        <v>2067.1999999999998</v>
      </c>
      <c r="I262" s="123">
        <v>4992.0898333333316</v>
      </c>
      <c r="J262" s="86">
        <f>11471.45+100+25</f>
        <v>11596.45</v>
      </c>
      <c r="K262" s="85">
        <f>SUM(G262:J262)</f>
        <v>20607.339833333332</v>
      </c>
      <c r="L262" s="86">
        <f>+F262-K262</f>
        <v>47392.660166666668</v>
      </c>
      <c r="M262" s="42"/>
    </row>
    <row r="263" spans="1:14" s="95" customFormat="1" ht="30" customHeight="1" x14ac:dyDescent="0.25">
      <c r="A263" s="229" t="s">
        <v>128</v>
      </c>
      <c r="B263" s="230"/>
      <c r="C263" s="230"/>
      <c r="D263" s="230"/>
      <c r="E263" s="231"/>
      <c r="F263" s="40">
        <f t="shared" ref="F263:L263" si="70">SUM(F261:F262)</f>
        <v>158000</v>
      </c>
      <c r="G263" s="40">
        <f t="shared" si="70"/>
        <v>4534.6000000000004</v>
      </c>
      <c r="H263" s="40">
        <f t="shared" si="70"/>
        <v>4803.2</v>
      </c>
      <c r="I263" s="40">
        <f t="shared" si="70"/>
        <v>14745.277124999999</v>
      </c>
      <c r="J263" s="40">
        <f t="shared" si="70"/>
        <v>11621.45</v>
      </c>
      <c r="K263" s="40">
        <f t="shared" si="70"/>
        <v>35704.527125000001</v>
      </c>
      <c r="L263" s="40">
        <f t="shared" si="70"/>
        <v>122295.47287500001</v>
      </c>
      <c r="M263" s="50"/>
    </row>
    <row r="264" spans="1:14" s="56" customFormat="1" ht="30" customHeight="1" thickBot="1" x14ac:dyDescent="0.3">
      <c r="A264" s="53"/>
      <c r="B264" s="53"/>
      <c r="C264" s="53"/>
      <c r="D264" s="53"/>
      <c r="E264" s="53"/>
      <c r="F264"/>
      <c r="G264"/>
      <c r="H264"/>
      <c r="I264"/>
      <c r="J264"/>
      <c r="K264"/>
      <c r="L264"/>
      <c r="M264" s="42"/>
    </row>
    <row r="265" spans="1:14" s="42" customFormat="1" ht="30" customHeight="1" thickBot="1" x14ac:dyDescent="0.3">
      <c r="A265" s="238" t="s">
        <v>325</v>
      </c>
      <c r="B265" s="239"/>
      <c r="C265" s="239"/>
      <c r="D265" s="239"/>
      <c r="E265" s="239"/>
      <c r="F265" s="239"/>
      <c r="G265" s="239"/>
      <c r="H265" s="239"/>
      <c r="I265" s="239"/>
      <c r="J265" s="239"/>
      <c r="K265" s="239"/>
      <c r="L265" s="240"/>
      <c r="N265" s="56"/>
    </row>
    <row r="266" spans="1:14" s="42" customFormat="1" ht="30" customHeight="1" x14ac:dyDescent="0.25">
      <c r="A266" s="88">
        <f>+A262+1</f>
        <v>128</v>
      </c>
      <c r="B266" s="121" t="s">
        <v>324</v>
      </c>
      <c r="C266" s="39" t="s">
        <v>441</v>
      </c>
      <c r="D266" s="121" t="s">
        <v>98</v>
      </c>
      <c r="E266" s="121" t="s">
        <v>125</v>
      </c>
      <c r="F266" s="123">
        <v>90000</v>
      </c>
      <c r="G266" s="123">
        <f>F266*2.87%</f>
        <v>2583</v>
      </c>
      <c r="H266" s="123">
        <f>+F266*3.04%</f>
        <v>2736</v>
      </c>
      <c r="I266" s="90">
        <v>9375.0747916666678</v>
      </c>
      <c r="J266" s="86">
        <v>1537.45</v>
      </c>
      <c r="K266" s="85">
        <f>SUM(G266:J266)</f>
        <v>16231.524791666669</v>
      </c>
      <c r="L266" s="86">
        <f>+F266-K266</f>
        <v>73768.47520833333</v>
      </c>
      <c r="N266" s="56"/>
    </row>
    <row r="267" spans="1:14" s="56" customFormat="1" ht="30" customHeight="1" x14ac:dyDescent="0.25">
      <c r="A267" s="88">
        <f>+A266+1</f>
        <v>129</v>
      </c>
      <c r="B267" s="121" t="s">
        <v>19</v>
      </c>
      <c r="C267" s="39" t="s">
        <v>441</v>
      </c>
      <c r="D267" s="140" t="s">
        <v>323</v>
      </c>
      <c r="E267" s="121" t="s">
        <v>125</v>
      </c>
      <c r="F267" s="123">
        <v>68000</v>
      </c>
      <c r="G267" s="90">
        <f>F267*2.87%</f>
        <v>1951.6</v>
      </c>
      <c r="H267" s="90">
        <f>+F267*3.04%</f>
        <v>2067.1999999999998</v>
      </c>
      <c r="I267" s="123">
        <v>4992.0898333333316</v>
      </c>
      <c r="J267" s="86">
        <v>15321.23</v>
      </c>
      <c r="K267" s="85">
        <f>SUM(G267:J267)</f>
        <v>24332.11983333333</v>
      </c>
      <c r="L267" s="86">
        <f>+F267-K267</f>
        <v>43667.88016666667</v>
      </c>
      <c r="M267" s="42"/>
    </row>
    <row r="268" spans="1:14" s="56" customFormat="1" ht="30" customHeight="1" x14ac:dyDescent="0.25">
      <c r="A268" s="229" t="s">
        <v>128</v>
      </c>
      <c r="B268" s="230"/>
      <c r="C268" s="230"/>
      <c r="D268" s="230"/>
      <c r="E268" s="231"/>
      <c r="F268" s="40">
        <f t="shared" ref="F268:L268" si="71">SUM(F266:F267)</f>
        <v>158000</v>
      </c>
      <c r="G268" s="40">
        <f t="shared" si="71"/>
        <v>4534.6000000000004</v>
      </c>
      <c r="H268" s="40">
        <f t="shared" si="71"/>
        <v>4803.2</v>
      </c>
      <c r="I268" s="40">
        <f t="shared" si="71"/>
        <v>14367.164624999999</v>
      </c>
      <c r="J268" s="40">
        <f t="shared" si="71"/>
        <v>16858.68</v>
      </c>
      <c r="K268" s="40">
        <f t="shared" si="71"/>
        <v>40563.644625000001</v>
      </c>
      <c r="L268" s="40">
        <f t="shared" si="71"/>
        <v>117436.355375</v>
      </c>
      <c r="M268" s="42"/>
    </row>
    <row r="269" spans="1:14" s="56" customFormat="1" ht="30" customHeight="1" thickBot="1" x14ac:dyDescent="0.3">
      <c r="A269" s="53"/>
      <c r="B269" s="53"/>
      <c r="C269" s="53"/>
      <c r="D269" s="53"/>
      <c r="E269" s="53"/>
      <c r="F269" s="43"/>
      <c r="G269" s="43"/>
      <c r="H269" s="43"/>
      <c r="I269" s="43"/>
      <c r="J269" s="43"/>
      <c r="K269" s="43"/>
      <c r="L269" s="43"/>
      <c r="M269" s="42"/>
    </row>
    <row r="270" spans="1:14" s="56" customFormat="1" ht="30" customHeight="1" thickBot="1" x14ac:dyDescent="0.3">
      <c r="A270" s="238" t="s">
        <v>238</v>
      </c>
      <c r="B270" s="239"/>
      <c r="C270" s="239"/>
      <c r="D270" s="239"/>
      <c r="E270" s="239"/>
      <c r="F270" s="239"/>
      <c r="G270" s="239"/>
      <c r="H270" s="239"/>
      <c r="I270" s="239"/>
      <c r="J270" s="239"/>
      <c r="K270" s="239"/>
      <c r="L270" s="240"/>
      <c r="M270" s="42"/>
    </row>
    <row r="271" spans="1:14" s="42" customFormat="1" ht="30" customHeight="1" x14ac:dyDescent="0.25">
      <c r="A271" s="88">
        <f>+A267+1</f>
        <v>130</v>
      </c>
      <c r="B271" s="121" t="s">
        <v>239</v>
      </c>
      <c r="C271" s="39" t="s">
        <v>441</v>
      </c>
      <c r="D271" s="121" t="s">
        <v>21</v>
      </c>
      <c r="E271" s="121" t="s">
        <v>125</v>
      </c>
      <c r="F271" s="123">
        <v>65000</v>
      </c>
      <c r="G271" s="123">
        <f>F271*2.87%</f>
        <v>1865.5</v>
      </c>
      <c r="H271" s="90">
        <f>+F271*3.04%</f>
        <v>1976</v>
      </c>
      <c r="I271" s="123">
        <v>4125.0598333333355</v>
      </c>
      <c r="J271" s="86">
        <v>16542.86</v>
      </c>
      <c r="K271" s="85">
        <f>SUM(G271:J271)</f>
        <v>24509.419833333337</v>
      </c>
      <c r="L271" s="86">
        <f>+F271-K271</f>
        <v>40490.580166666667</v>
      </c>
      <c r="N271" s="56"/>
    </row>
    <row r="272" spans="1:14" s="42" customFormat="1" ht="30" customHeight="1" x14ac:dyDescent="0.25">
      <c r="A272" s="88">
        <f>+A271+1</f>
        <v>131</v>
      </c>
      <c r="B272" s="121" t="s">
        <v>83</v>
      </c>
      <c r="C272" s="39" t="s">
        <v>441</v>
      </c>
      <c r="D272" s="121" t="s">
        <v>21</v>
      </c>
      <c r="E272" s="121" t="s">
        <v>125</v>
      </c>
      <c r="F272" s="123">
        <v>60000</v>
      </c>
      <c r="G272" s="123">
        <f>F272*2.87%</f>
        <v>1722</v>
      </c>
      <c r="H272" s="90">
        <f>+F272*3.04%</f>
        <v>1824</v>
      </c>
      <c r="I272" s="90">
        <v>3486.6498333333329</v>
      </c>
      <c r="J272" s="86">
        <v>25</v>
      </c>
      <c r="K272" s="85">
        <f>SUM(G272:J272)</f>
        <v>7057.6498333333329</v>
      </c>
      <c r="L272" s="86">
        <f>+F272-K272</f>
        <v>52942.350166666671</v>
      </c>
      <c r="N272" s="56"/>
    </row>
    <row r="273" spans="1:14" s="42" customFormat="1" ht="30" customHeight="1" x14ac:dyDescent="0.25">
      <c r="A273" s="88">
        <f>+A272+1</f>
        <v>132</v>
      </c>
      <c r="B273" s="121" t="s">
        <v>482</v>
      </c>
      <c r="C273" s="39" t="s">
        <v>441</v>
      </c>
      <c r="D273" s="121" t="s">
        <v>21</v>
      </c>
      <c r="E273" s="121" t="s">
        <v>125</v>
      </c>
      <c r="F273" s="123">
        <v>60000</v>
      </c>
      <c r="G273" s="123">
        <f>F273*2.87%</f>
        <v>1722</v>
      </c>
      <c r="H273" s="90">
        <f>+F273*3.04%</f>
        <v>1824</v>
      </c>
      <c r="I273" s="90">
        <v>2881.669833333332</v>
      </c>
      <c r="J273" s="86">
        <v>3149.9</v>
      </c>
      <c r="K273" s="85">
        <f>SUM(G273:J273)</f>
        <v>9577.5698333333312</v>
      </c>
      <c r="L273" s="86">
        <f>+F273-K273</f>
        <v>50422.430166666672</v>
      </c>
      <c r="N273" s="56"/>
    </row>
    <row r="274" spans="1:14" s="42" customFormat="1" ht="30" customHeight="1" x14ac:dyDescent="0.25">
      <c r="A274" s="229" t="s">
        <v>128</v>
      </c>
      <c r="B274" s="230"/>
      <c r="C274" s="230"/>
      <c r="D274" s="230"/>
      <c r="E274" s="231"/>
      <c r="F274" s="40">
        <f t="shared" ref="F274:L274" si="72">SUM(F271:F273)</f>
        <v>185000</v>
      </c>
      <c r="G274" s="40">
        <f t="shared" si="72"/>
        <v>5309.5</v>
      </c>
      <c r="H274" s="40">
        <f t="shared" si="72"/>
        <v>5624</v>
      </c>
      <c r="I274" s="40">
        <f t="shared" si="72"/>
        <v>10493.379500000001</v>
      </c>
      <c r="J274" s="40">
        <f t="shared" si="72"/>
        <v>19717.760000000002</v>
      </c>
      <c r="K274" s="40">
        <f t="shared" si="72"/>
        <v>41144.639500000005</v>
      </c>
      <c r="L274" s="40">
        <f t="shared" si="72"/>
        <v>143855.36050000001</v>
      </c>
      <c r="N274" s="56"/>
    </row>
    <row r="275" spans="1:14" s="56" customFormat="1" ht="30" customHeight="1" thickBot="1" x14ac:dyDescent="0.3">
      <c r="A275" s="53"/>
      <c r="B275" s="53"/>
      <c r="C275" s="53"/>
      <c r="D275" s="53"/>
      <c r="E275" s="53"/>
      <c r="F275" s="43"/>
      <c r="G275" s="43"/>
      <c r="H275" s="43"/>
      <c r="I275" s="43"/>
      <c r="J275" s="43"/>
      <c r="K275" s="43"/>
      <c r="L275" s="43"/>
      <c r="M275" s="42"/>
    </row>
    <row r="276" spans="1:14" s="42" customFormat="1" ht="30" customHeight="1" thickBot="1" x14ac:dyDescent="0.3">
      <c r="A276" s="235" t="s">
        <v>22</v>
      </c>
      <c r="B276" s="236"/>
      <c r="C276" s="236"/>
      <c r="D276" s="236"/>
      <c r="E276" s="236"/>
      <c r="F276" s="236"/>
      <c r="G276" s="236"/>
      <c r="H276" s="236"/>
      <c r="I276" s="236"/>
      <c r="J276" s="236"/>
      <c r="K276" s="236"/>
      <c r="L276" s="237"/>
      <c r="N276" s="56"/>
    </row>
    <row r="277" spans="1:14" s="56" customFormat="1" ht="30" customHeight="1" x14ac:dyDescent="0.25">
      <c r="A277" s="88">
        <f>+A273+1</f>
        <v>133</v>
      </c>
      <c r="B277" s="121" t="s">
        <v>473</v>
      </c>
      <c r="C277" s="39" t="s">
        <v>442</v>
      </c>
      <c r="D277" s="121" t="s">
        <v>474</v>
      </c>
      <c r="E277" s="121" t="s">
        <v>237</v>
      </c>
      <c r="F277" s="123">
        <v>9333.33</v>
      </c>
      <c r="G277" s="90">
        <f>F277*2.87%</f>
        <v>267.86657100000002</v>
      </c>
      <c r="H277" s="90">
        <f>+F277*3.04%</f>
        <v>283.73323199999999</v>
      </c>
      <c r="I277" s="90"/>
      <c r="J277" s="86">
        <v>125</v>
      </c>
      <c r="K277" s="85">
        <f>SUM(G277:J277)</f>
        <v>676.59980300000007</v>
      </c>
      <c r="L277" s="86">
        <f>+F277-K277</f>
        <v>8656.7301970000008</v>
      </c>
      <c r="M277" s="42"/>
    </row>
    <row r="278" spans="1:14" s="56" customFormat="1" ht="30" customHeight="1" x14ac:dyDescent="0.25">
      <c r="A278" s="229" t="s">
        <v>128</v>
      </c>
      <c r="B278" s="230"/>
      <c r="C278" s="230"/>
      <c r="D278" s="230"/>
      <c r="E278" s="231"/>
      <c r="F278" s="40">
        <f t="shared" ref="F278:L278" si="73">SUM(F277:F277)</f>
        <v>9333.33</v>
      </c>
      <c r="G278" s="40">
        <f t="shared" si="73"/>
        <v>267.86657100000002</v>
      </c>
      <c r="H278" s="40">
        <f t="shared" si="73"/>
        <v>283.73323199999999</v>
      </c>
      <c r="I278" s="40">
        <f t="shared" si="73"/>
        <v>0</v>
      </c>
      <c r="J278" s="40">
        <f t="shared" si="73"/>
        <v>125</v>
      </c>
      <c r="K278" s="40">
        <f t="shared" si="73"/>
        <v>676.59980300000007</v>
      </c>
      <c r="L278" s="40">
        <f t="shared" si="73"/>
        <v>8656.7301970000008</v>
      </c>
      <c r="M278" s="42"/>
    </row>
    <row r="279" spans="1:14" s="56" customFormat="1" ht="30" customHeight="1" thickBot="1" x14ac:dyDescent="0.3">
      <c r="A279"/>
      <c r="B279"/>
      <c r="C279" s="152"/>
      <c r="D279"/>
      <c r="E279"/>
      <c r="F279"/>
      <c r="G279"/>
      <c r="H279"/>
      <c r="I279"/>
      <c r="J279"/>
      <c r="K279"/>
      <c r="L279"/>
      <c r="M279" s="42"/>
    </row>
    <row r="280" spans="1:14" s="42" customFormat="1" ht="30" customHeight="1" thickBot="1" x14ac:dyDescent="0.3">
      <c r="A280" s="232" t="s">
        <v>326</v>
      </c>
      <c r="B280" s="233"/>
      <c r="C280" s="233"/>
      <c r="D280" s="233"/>
      <c r="E280" s="233"/>
      <c r="F280" s="233"/>
      <c r="G280" s="233"/>
      <c r="H280" s="233"/>
      <c r="I280" s="233"/>
      <c r="J280" s="233"/>
      <c r="K280" s="233"/>
      <c r="L280" s="234"/>
      <c r="N280" s="56"/>
    </row>
    <row r="281" spans="1:14" s="87" customFormat="1" ht="30" customHeight="1" x14ac:dyDescent="0.25">
      <c r="A281" s="88">
        <f>+A277+1</f>
        <v>134</v>
      </c>
      <c r="B281" s="126" t="s">
        <v>26</v>
      </c>
      <c r="C281" s="136" t="s">
        <v>442</v>
      </c>
      <c r="D281" s="137" t="s">
        <v>199</v>
      </c>
      <c r="E281" s="121" t="s">
        <v>125</v>
      </c>
      <c r="F281" s="120">
        <v>90000</v>
      </c>
      <c r="G281" s="120">
        <f>F281*2.87%</f>
        <v>2583</v>
      </c>
      <c r="H281" s="85">
        <f>+F281*3.04%</f>
        <v>2736</v>
      </c>
      <c r="I281" s="85">
        <v>9753.19</v>
      </c>
      <c r="J281" s="92">
        <v>25</v>
      </c>
      <c r="K281" s="85">
        <f>SUM(G281:J281)</f>
        <v>15097.19</v>
      </c>
      <c r="L281" s="86">
        <f>+F281-K281</f>
        <v>74902.81</v>
      </c>
      <c r="M281" s="35"/>
    </row>
    <row r="282" spans="1:14" s="87" customFormat="1" ht="30" customHeight="1" x14ac:dyDescent="0.25">
      <c r="A282" s="88">
        <f>+A281+1</f>
        <v>135</v>
      </c>
      <c r="B282" s="121" t="s">
        <v>37</v>
      </c>
      <c r="C282" s="39" t="s">
        <v>442</v>
      </c>
      <c r="D282" s="121" t="s">
        <v>97</v>
      </c>
      <c r="E282" s="121" t="s">
        <v>237</v>
      </c>
      <c r="F282" s="123">
        <v>50000</v>
      </c>
      <c r="G282" s="90">
        <f>F282*2.87%</f>
        <v>1435</v>
      </c>
      <c r="H282" s="85">
        <f>+F282*3.04%</f>
        <v>1520</v>
      </c>
      <c r="I282" s="90">
        <v>1627.13</v>
      </c>
      <c r="J282" s="92">
        <f>25+1803.34+100+1512.45</f>
        <v>3440.79</v>
      </c>
      <c r="K282" s="85">
        <f t="shared" ref="K282" si="74">SUM(G282:J282)</f>
        <v>8022.92</v>
      </c>
      <c r="L282" s="86">
        <f>+F282-K282</f>
        <v>41977.08</v>
      </c>
      <c r="M282" s="35"/>
    </row>
    <row r="283" spans="1:14" s="87" customFormat="1" ht="30" customHeight="1" thickBot="1" x14ac:dyDescent="0.3">
      <c r="A283" s="229" t="s">
        <v>128</v>
      </c>
      <c r="B283" s="230"/>
      <c r="C283" s="230"/>
      <c r="D283" s="230"/>
      <c r="E283" s="231"/>
      <c r="F283" s="40">
        <f>SUM(F281:F282)</f>
        <v>140000</v>
      </c>
      <c r="G283" s="40">
        <f t="shared" ref="G283:L283" si="75">SUM(G281:G282)</f>
        <v>4018</v>
      </c>
      <c r="H283" s="40">
        <f t="shared" si="75"/>
        <v>4256</v>
      </c>
      <c r="I283" s="40">
        <f t="shared" si="75"/>
        <v>11380.32</v>
      </c>
      <c r="J283" s="40">
        <f t="shared" si="75"/>
        <v>3465.79</v>
      </c>
      <c r="K283" s="40">
        <f t="shared" si="75"/>
        <v>23120.11</v>
      </c>
      <c r="L283" s="40">
        <f t="shared" si="75"/>
        <v>116879.89</v>
      </c>
      <c r="M283" s="35"/>
    </row>
    <row r="284" spans="1:14" s="87" customFormat="1" ht="25.5" customHeight="1" thickBot="1" x14ac:dyDescent="0.3">
      <c r="A284" s="232" t="s">
        <v>327</v>
      </c>
      <c r="B284" s="233"/>
      <c r="C284" s="233"/>
      <c r="D284" s="233"/>
      <c r="E284" s="233"/>
      <c r="F284" s="233"/>
      <c r="G284" s="233"/>
      <c r="H284" s="233"/>
      <c r="I284" s="233"/>
      <c r="J284" s="233"/>
      <c r="K284" s="233"/>
      <c r="L284" s="234"/>
      <c r="M284" s="35"/>
    </row>
    <row r="285" spans="1:14" s="94" customFormat="1" ht="30" customHeight="1" x14ac:dyDescent="0.25">
      <c r="A285" s="83">
        <f>+A282+1</f>
        <v>136</v>
      </c>
      <c r="B285" s="126" t="s">
        <v>415</v>
      </c>
      <c r="C285" s="136" t="s">
        <v>441</v>
      </c>
      <c r="D285" s="126" t="s">
        <v>328</v>
      </c>
      <c r="E285" s="121" t="s">
        <v>237</v>
      </c>
      <c r="F285" s="120">
        <v>45000</v>
      </c>
      <c r="G285" s="90">
        <f t="shared" ref="G285:G288" si="76">F285*2.87%</f>
        <v>1291.5</v>
      </c>
      <c r="H285" s="90">
        <f t="shared" ref="H285:H288" si="77">+F285*3.04%</f>
        <v>1368</v>
      </c>
      <c r="I285" s="85">
        <v>1148.32</v>
      </c>
      <c r="J285" s="86">
        <v>2025</v>
      </c>
      <c r="K285" s="85">
        <f>SUM(G285:J285)</f>
        <v>5832.82</v>
      </c>
      <c r="L285" s="86">
        <f>+F285-K285</f>
        <v>39167.18</v>
      </c>
      <c r="M285" s="43"/>
    </row>
    <row r="286" spans="1:14" s="99" customFormat="1" ht="30" customHeight="1" x14ac:dyDescent="0.25">
      <c r="A286" s="83">
        <f>+A285+1</f>
        <v>137</v>
      </c>
      <c r="B286" s="126" t="s">
        <v>155</v>
      </c>
      <c r="C286" s="136" t="s">
        <v>441</v>
      </c>
      <c r="D286" s="126" t="s">
        <v>328</v>
      </c>
      <c r="E286" s="121" t="s">
        <v>237</v>
      </c>
      <c r="F286" s="120">
        <v>35000</v>
      </c>
      <c r="G286" s="90">
        <f t="shared" si="76"/>
        <v>1004.5</v>
      </c>
      <c r="H286" s="90">
        <f t="shared" si="77"/>
        <v>1064</v>
      </c>
      <c r="I286" s="85"/>
      <c r="J286" s="86">
        <f>5803.65+25</f>
        <v>5828.65</v>
      </c>
      <c r="K286" s="85">
        <f>SUM(G286:J286)</f>
        <v>7897.15</v>
      </c>
      <c r="L286" s="86">
        <f>+F286-K286</f>
        <v>27102.85</v>
      </c>
      <c r="M286" s="226"/>
    </row>
    <row r="287" spans="1:14" s="99" customFormat="1" ht="30" customHeight="1" x14ac:dyDescent="0.25">
      <c r="A287" s="83">
        <f>+A286+1</f>
        <v>138</v>
      </c>
      <c r="B287" s="126" t="s">
        <v>505</v>
      </c>
      <c r="C287" s="136" t="s">
        <v>441</v>
      </c>
      <c r="D287" s="126" t="s">
        <v>328</v>
      </c>
      <c r="E287" s="121" t="s">
        <v>237</v>
      </c>
      <c r="F287" s="120">
        <v>45000</v>
      </c>
      <c r="G287" s="90">
        <f>F287*2.87%</f>
        <v>1291.5</v>
      </c>
      <c r="H287" s="90">
        <f t="shared" si="77"/>
        <v>1368</v>
      </c>
      <c r="I287" s="85">
        <v>1148.32</v>
      </c>
      <c r="J287" s="86">
        <f>5045.68+8817.35+25+100</f>
        <v>13988.03</v>
      </c>
      <c r="K287" s="85">
        <f>SUM(G287:J287)</f>
        <v>17795.849999999999</v>
      </c>
      <c r="L287" s="86">
        <f>+F287-K287</f>
        <v>27204.15</v>
      </c>
      <c r="M287" s="226"/>
    </row>
    <row r="288" spans="1:14" s="56" customFormat="1" ht="30" customHeight="1" x14ac:dyDescent="0.25">
      <c r="A288" s="83">
        <f t="shared" ref="A288:A309" si="78">+A287+1</f>
        <v>139</v>
      </c>
      <c r="B288" s="121" t="s">
        <v>29</v>
      </c>
      <c r="C288" s="39" t="s">
        <v>442</v>
      </c>
      <c r="D288" s="121" t="s">
        <v>100</v>
      </c>
      <c r="E288" s="121" t="s">
        <v>125</v>
      </c>
      <c r="F288" s="123">
        <v>28875</v>
      </c>
      <c r="G288" s="90">
        <f t="shared" si="76"/>
        <v>828.71249999999998</v>
      </c>
      <c r="H288" s="90">
        <f t="shared" si="77"/>
        <v>877.8</v>
      </c>
      <c r="I288" s="90">
        <v>0</v>
      </c>
      <c r="J288" s="92">
        <v>3204.71</v>
      </c>
      <c r="K288" s="85">
        <f>SUM(G288:J288)</f>
        <v>4911.2224999999999</v>
      </c>
      <c r="L288" s="86">
        <f>+F288-K288</f>
        <v>23963.7775</v>
      </c>
      <c r="M288" s="42"/>
    </row>
    <row r="289" spans="1:14" s="56" customFormat="1" ht="30" customHeight="1" x14ac:dyDescent="0.25">
      <c r="A289" s="83">
        <f t="shared" si="78"/>
        <v>140</v>
      </c>
      <c r="B289" s="121" t="s">
        <v>28</v>
      </c>
      <c r="C289" s="39" t="s">
        <v>442</v>
      </c>
      <c r="D289" s="121" t="s">
        <v>100</v>
      </c>
      <c r="E289" s="121" t="s">
        <v>125</v>
      </c>
      <c r="F289" s="123">
        <v>28000</v>
      </c>
      <c r="G289" s="90">
        <f>F289*2.87%</f>
        <v>803.6</v>
      </c>
      <c r="H289" s="90">
        <f>+F289*3.04%</f>
        <v>851.2</v>
      </c>
      <c r="I289" s="90">
        <v>0</v>
      </c>
      <c r="J289" s="92">
        <f>25+3024.9</f>
        <v>3049.9</v>
      </c>
      <c r="K289" s="85">
        <f t="shared" ref="K289:K306" si="79">SUM(G289:J289)</f>
        <v>4704.7000000000007</v>
      </c>
      <c r="L289" s="86">
        <f t="shared" ref="L289:L306" si="80">+F289-K289</f>
        <v>23295.3</v>
      </c>
      <c r="M289" s="42"/>
    </row>
    <row r="290" spans="1:14" s="56" customFormat="1" ht="30" customHeight="1" x14ac:dyDescent="0.25">
      <c r="A290" s="83">
        <f t="shared" si="78"/>
        <v>141</v>
      </c>
      <c r="B290" s="121" t="s">
        <v>200</v>
      </c>
      <c r="C290" s="39" t="s">
        <v>442</v>
      </c>
      <c r="D290" s="121" t="s">
        <v>100</v>
      </c>
      <c r="E290" s="121" t="s">
        <v>125</v>
      </c>
      <c r="F290" s="123">
        <v>28000</v>
      </c>
      <c r="G290" s="90">
        <f t="shared" ref="G290:G309" si="81">F290*2.87%</f>
        <v>803.6</v>
      </c>
      <c r="H290" s="90">
        <f t="shared" ref="H290:H309" si="82">+F290*3.04%</f>
        <v>851.2</v>
      </c>
      <c r="I290" s="90">
        <v>0</v>
      </c>
      <c r="J290" s="92">
        <f>2226.54+25</f>
        <v>2251.54</v>
      </c>
      <c r="K290" s="85">
        <f>SUM(G290:J290)</f>
        <v>3906.34</v>
      </c>
      <c r="L290" s="86">
        <f t="shared" si="80"/>
        <v>24093.66</v>
      </c>
      <c r="M290" s="42"/>
    </row>
    <row r="291" spans="1:14" s="56" customFormat="1" ht="30" customHeight="1" x14ac:dyDescent="0.25">
      <c r="A291" s="83">
        <f t="shared" si="78"/>
        <v>142</v>
      </c>
      <c r="B291" s="121" t="s">
        <v>329</v>
      </c>
      <c r="C291" s="39" t="s">
        <v>442</v>
      </c>
      <c r="D291" s="121" t="s">
        <v>35</v>
      </c>
      <c r="E291" s="121" t="s">
        <v>125</v>
      </c>
      <c r="F291" s="123">
        <v>28000</v>
      </c>
      <c r="G291" s="90">
        <f t="shared" si="81"/>
        <v>803.6</v>
      </c>
      <c r="H291" s="90">
        <f t="shared" si="82"/>
        <v>851.2</v>
      </c>
      <c r="I291" s="90">
        <v>0</v>
      </c>
      <c r="J291" s="92">
        <v>125</v>
      </c>
      <c r="K291" s="85">
        <f>SUM(G291:J291)</f>
        <v>1779.8000000000002</v>
      </c>
      <c r="L291" s="86">
        <f t="shared" si="80"/>
        <v>26220.2</v>
      </c>
      <c r="M291" s="42"/>
    </row>
    <row r="292" spans="1:14" s="56" customFormat="1" ht="30" customHeight="1" x14ac:dyDescent="0.25">
      <c r="A292" s="83">
        <f t="shared" si="78"/>
        <v>143</v>
      </c>
      <c r="B292" s="121" t="s">
        <v>31</v>
      </c>
      <c r="C292" s="39" t="s">
        <v>442</v>
      </c>
      <c r="D292" s="121" t="s">
        <v>35</v>
      </c>
      <c r="E292" s="121" t="s">
        <v>237</v>
      </c>
      <c r="F292" s="123">
        <v>28000</v>
      </c>
      <c r="G292" s="90">
        <f t="shared" si="81"/>
        <v>803.6</v>
      </c>
      <c r="H292" s="90">
        <f t="shared" si="82"/>
        <v>851.2</v>
      </c>
      <c r="I292" s="90">
        <v>0</v>
      </c>
      <c r="J292" s="92">
        <v>10785.65</v>
      </c>
      <c r="K292" s="85">
        <f t="shared" si="79"/>
        <v>12440.45</v>
      </c>
      <c r="L292" s="86">
        <f t="shared" si="80"/>
        <v>15559.55</v>
      </c>
      <c r="M292" s="42"/>
    </row>
    <row r="293" spans="1:14" s="56" customFormat="1" ht="30" customHeight="1" x14ac:dyDescent="0.25">
      <c r="A293" s="83">
        <f t="shared" si="78"/>
        <v>144</v>
      </c>
      <c r="B293" s="121" t="s">
        <v>32</v>
      </c>
      <c r="C293" s="39" t="s">
        <v>441</v>
      </c>
      <c r="D293" s="121" t="s">
        <v>35</v>
      </c>
      <c r="E293" s="121" t="s">
        <v>237</v>
      </c>
      <c r="F293" s="123">
        <v>28000</v>
      </c>
      <c r="G293" s="90">
        <f t="shared" si="81"/>
        <v>803.6</v>
      </c>
      <c r="H293" s="90">
        <f t="shared" si="82"/>
        <v>851.2</v>
      </c>
      <c r="I293" s="90">
        <v>0</v>
      </c>
      <c r="J293" s="92">
        <v>1125</v>
      </c>
      <c r="K293" s="85">
        <f t="shared" si="79"/>
        <v>2779.8</v>
      </c>
      <c r="L293" s="86">
        <f t="shared" si="80"/>
        <v>25220.2</v>
      </c>
      <c r="M293" s="42"/>
    </row>
    <row r="294" spans="1:14" s="56" customFormat="1" ht="30" customHeight="1" x14ac:dyDescent="0.25">
      <c r="A294" s="83">
        <f t="shared" si="78"/>
        <v>145</v>
      </c>
      <c r="B294" s="121" t="s">
        <v>330</v>
      </c>
      <c r="C294" s="39" t="s">
        <v>442</v>
      </c>
      <c r="D294" s="121" t="s">
        <v>35</v>
      </c>
      <c r="E294" s="121" t="s">
        <v>125</v>
      </c>
      <c r="F294" s="123">
        <v>28000</v>
      </c>
      <c r="G294" s="90">
        <f t="shared" si="81"/>
        <v>803.6</v>
      </c>
      <c r="H294" s="90">
        <f t="shared" si="82"/>
        <v>851.2</v>
      </c>
      <c r="I294" s="90">
        <v>0</v>
      </c>
      <c r="J294" s="92">
        <v>125</v>
      </c>
      <c r="K294" s="85">
        <f t="shared" si="79"/>
        <v>1779.8000000000002</v>
      </c>
      <c r="L294" s="86">
        <f t="shared" si="80"/>
        <v>26220.2</v>
      </c>
      <c r="M294" s="42"/>
    </row>
    <row r="295" spans="1:14" s="56" customFormat="1" ht="30" customHeight="1" x14ac:dyDescent="0.25">
      <c r="A295" s="83">
        <f t="shared" si="78"/>
        <v>146</v>
      </c>
      <c r="B295" s="121" t="s">
        <v>33</v>
      </c>
      <c r="C295" s="39" t="s">
        <v>442</v>
      </c>
      <c r="D295" s="121" t="s">
        <v>35</v>
      </c>
      <c r="E295" s="121" t="s">
        <v>125</v>
      </c>
      <c r="F295" s="123">
        <v>28000</v>
      </c>
      <c r="G295" s="90">
        <f t="shared" si="81"/>
        <v>803.6</v>
      </c>
      <c r="H295" s="90">
        <f t="shared" si="82"/>
        <v>851.2</v>
      </c>
      <c r="I295" s="90">
        <v>0</v>
      </c>
      <c r="J295" s="92">
        <f>1776.77+25+100+1512.45</f>
        <v>3414.2200000000003</v>
      </c>
      <c r="K295" s="85">
        <f t="shared" si="79"/>
        <v>5069.0200000000004</v>
      </c>
      <c r="L295" s="86">
        <f t="shared" si="80"/>
        <v>22930.98</v>
      </c>
      <c r="M295" s="42"/>
    </row>
    <row r="296" spans="1:14" s="56" customFormat="1" ht="30" customHeight="1" x14ac:dyDescent="0.25">
      <c r="A296" s="83">
        <f t="shared" si="78"/>
        <v>147</v>
      </c>
      <c r="B296" s="121" t="s">
        <v>34</v>
      </c>
      <c r="C296" s="39" t="s">
        <v>441</v>
      </c>
      <c r="D296" s="121" t="s">
        <v>35</v>
      </c>
      <c r="E296" s="121" t="s">
        <v>125</v>
      </c>
      <c r="F296" s="123">
        <v>28000</v>
      </c>
      <c r="G296" s="90">
        <f t="shared" si="81"/>
        <v>803.6</v>
      </c>
      <c r="H296" s="90">
        <f t="shared" si="82"/>
        <v>851.2</v>
      </c>
      <c r="I296" s="90">
        <v>0</v>
      </c>
      <c r="J296" s="92">
        <v>25</v>
      </c>
      <c r="K296" s="85">
        <f t="shared" si="79"/>
        <v>1679.8000000000002</v>
      </c>
      <c r="L296" s="86">
        <f t="shared" si="80"/>
        <v>26320.2</v>
      </c>
      <c r="M296" s="42"/>
    </row>
    <row r="297" spans="1:14" s="56" customFormat="1" ht="30" customHeight="1" x14ac:dyDescent="0.25">
      <c r="A297" s="83">
        <f t="shared" si="78"/>
        <v>148</v>
      </c>
      <c r="B297" s="121" t="s">
        <v>30</v>
      </c>
      <c r="C297" s="39" t="s">
        <v>441</v>
      </c>
      <c r="D297" s="121" t="s">
        <v>35</v>
      </c>
      <c r="E297" s="121" t="s">
        <v>125</v>
      </c>
      <c r="F297" s="123">
        <v>24000</v>
      </c>
      <c r="G297" s="90">
        <f t="shared" si="81"/>
        <v>688.8</v>
      </c>
      <c r="H297" s="90">
        <f t="shared" si="82"/>
        <v>729.6</v>
      </c>
      <c r="I297" s="90">
        <v>0</v>
      </c>
      <c r="J297" s="92">
        <f>6455.4+25+100</f>
        <v>6580.4</v>
      </c>
      <c r="K297" s="85">
        <f t="shared" si="79"/>
        <v>7998.7999999999993</v>
      </c>
      <c r="L297" s="86">
        <f t="shared" si="80"/>
        <v>16001.2</v>
      </c>
      <c r="M297" s="42"/>
    </row>
    <row r="298" spans="1:14" s="35" customFormat="1" ht="28.5" customHeight="1" x14ac:dyDescent="0.25">
      <c r="A298" s="83">
        <f t="shared" si="78"/>
        <v>149</v>
      </c>
      <c r="B298" s="121" t="s">
        <v>331</v>
      </c>
      <c r="C298" s="39" t="s">
        <v>442</v>
      </c>
      <c r="D298" s="121" t="s">
        <v>35</v>
      </c>
      <c r="E298" s="121" t="s">
        <v>125</v>
      </c>
      <c r="F298" s="123">
        <v>24000</v>
      </c>
      <c r="G298" s="90">
        <f t="shared" si="81"/>
        <v>688.8</v>
      </c>
      <c r="H298" s="90">
        <f t="shared" si="82"/>
        <v>729.6</v>
      </c>
      <c r="I298" s="90"/>
      <c r="J298" s="92">
        <v>125</v>
      </c>
      <c r="K298" s="85">
        <f t="shared" si="79"/>
        <v>1543.4</v>
      </c>
      <c r="L298" s="86">
        <f t="shared" si="80"/>
        <v>22456.6</v>
      </c>
      <c r="N298" s="87"/>
    </row>
    <row r="299" spans="1:14" s="35" customFormat="1" ht="28.5" customHeight="1" x14ac:dyDescent="0.25">
      <c r="A299" s="83">
        <f t="shared" si="78"/>
        <v>150</v>
      </c>
      <c r="B299" s="121" t="s">
        <v>332</v>
      </c>
      <c r="C299" s="39" t="s">
        <v>441</v>
      </c>
      <c r="D299" s="121" t="s">
        <v>35</v>
      </c>
      <c r="E299" s="121" t="s">
        <v>237</v>
      </c>
      <c r="F299" s="123">
        <v>24000</v>
      </c>
      <c r="G299" s="90">
        <f t="shared" si="81"/>
        <v>688.8</v>
      </c>
      <c r="H299" s="90">
        <f t="shared" si="82"/>
        <v>729.6</v>
      </c>
      <c r="I299" s="90">
        <v>0</v>
      </c>
      <c r="J299" s="92">
        <f>6418.37+25</f>
        <v>6443.37</v>
      </c>
      <c r="K299" s="85">
        <f>SUM(G299:J299)</f>
        <v>7861.77</v>
      </c>
      <c r="L299" s="86">
        <f t="shared" si="80"/>
        <v>16138.23</v>
      </c>
      <c r="N299" s="87"/>
    </row>
    <row r="300" spans="1:14" s="35" customFormat="1" ht="28.5" customHeight="1" x14ac:dyDescent="0.25">
      <c r="A300" s="83">
        <f t="shared" si="78"/>
        <v>151</v>
      </c>
      <c r="B300" s="121" t="s">
        <v>333</v>
      </c>
      <c r="C300" s="39" t="s">
        <v>441</v>
      </c>
      <c r="D300" s="121" t="s">
        <v>35</v>
      </c>
      <c r="E300" s="121" t="s">
        <v>237</v>
      </c>
      <c r="F300" s="123">
        <v>24000</v>
      </c>
      <c r="G300" s="90">
        <f t="shared" si="81"/>
        <v>688.8</v>
      </c>
      <c r="H300" s="90">
        <f t="shared" si="82"/>
        <v>729.6</v>
      </c>
      <c r="I300" s="90">
        <v>0</v>
      </c>
      <c r="J300" s="92">
        <v>25</v>
      </c>
      <c r="K300" s="85">
        <f t="shared" si="79"/>
        <v>1443.4</v>
      </c>
      <c r="L300" s="86">
        <f t="shared" si="80"/>
        <v>22556.6</v>
      </c>
      <c r="N300" s="87"/>
    </row>
    <row r="301" spans="1:14" s="35" customFormat="1" ht="28.5" customHeight="1" x14ac:dyDescent="0.25">
      <c r="A301" s="83">
        <f>+A300+1</f>
        <v>152</v>
      </c>
      <c r="B301" s="127" t="s">
        <v>152</v>
      </c>
      <c r="C301" s="193" t="s">
        <v>442</v>
      </c>
      <c r="D301" s="121" t="s">
        <v>35</v>
      </c>
      <c r="E301" s="121" t="s">
        <v>237</v>
      </c>
      <c r="F301" s="123">
        <v>24000</v>
      </c>
      <c r="G301" s="90">
        <f t="shared" si="81"/>
        <v>688.8</v>
      </c>
      <c r="H301" s="90">
        <f t="shared" si="82"/>
        <v>729.6</v>
      </c>
      <c r="I301" s="90"/>
      <c r="J301" s="92">
        <v>9489.2800000000007</v>
      </c>
      <c r="K301" s="120">
        <f>SUM(G301:J301)</f>
        <v>10907.68</v>
      </c>
      <c r="L301" s="86">
        <f>+F301-K301</f>
        <v>13092.32</v>
      </c>
      <c r="N301" s="87"/>
    </row>
    <row r="302" spans="1:14" s="35" customFormat="1" ht="28.5" customHeight="1" x14ac:dyDescent="0.25">
      <c r="A302" s="83">
        <f t="shared" si="78"/>
        <v>153</v>
      </c>
      <c r="B302" s="121" t="s">
        <v>336</v>
      </c>
      <c r="C302" s="194" t="s">
        <v>442</v>
      </c>
      <c r="D302" s="121" t="s">
        <v>35</v>
      </c>
      <c r="E302" s="121" t="s">
        <v>237</v>
      </c>
      <c r="F302" s="123">
        <v>24000</v>
      </c>
      <c r="G302" s="90">
        <f t="shared" si="81"/>
        <v>688.8</v>
      </c>
      <c r="H302" s="90">
        <f t="shared" si="82"/>
        <v>729.6</v>
      </c>
      <c r="I302" s="90"/>
      <c r="J302" s="92">
        <f>1922.93+25+100</f>
        <v>2047.93</v>
      </c>
      <c r="K302" s="120">
        <f>SUM(G302:J302)</f>
        <v>3466.33</v>
      </c>
      <c r="L302" s="86">
        <f>+F302-K302</f>
        <v>20533.669999999998</v>
      </c>
      <c r="N302" s="87"/>
    </row>
    <row r="303" spans="1:14" s="35" customFormat="1" ht="28.5" customHeight="1" x14ac:dyDescent="0.25">
      <c r="A303" s="83">
        <f t="shared" si="78"/>
        <v>154</v>
      </c>
      <c r="B303" s="121" t="s">
        <v>334</v>
      </c>
      <c r="C303" s="39" t="s">
        <v>442</v>
      </c>
      <c r="D303" s="121" t="s">
        <v>35</v>
      </c>
      <c r="E303" s="121" t="s">
        <v>237</v>
      </c>
      <c r="F303" s="123">
        <v>19200</v>
      </c>
      <c r="G303" s="90">
        <f t="shared" si="81"/>
        <v>551.04</v>
      </c>
      <c r="H303" s="90">
        <f t="shared" si="82"/>
        <v>583.67999999999995</v>
      </c>
      <c r="I303" s="90">
        <v>0</v>
      </c>
      <c r="J303" s="92">
        <v>125</v>
      </c>
      <c r="K303" s="120">
        <f>SUM(G303:J303)</f>
        <v>1259.7199999999998</v>
      </c>
      <c r="L303" s="86">
        <f>+F303-K303</f>
        <v>17940.28</v>
      </c>
      <c r="N303" s="87"/>
    </row>
    <row r="304" spans="1:14" s="35" customFormat="1" ht="28.5" customHeight="1" x14ac:dyDescent="0.25">
      <c r="A304" s="83">
        <f t="shared" si="78"/>
        <v>155</v>
      </c>
      <c r="B304" s="121" t="s">
        <v>335</v>
      </c>
      <c r="C304" s="39" t="s">
        <v>442</v>
      </c>
      <c r="D304" s="121" t="s">
        <v>35</v>
      </c>
      <c r="E304" s="121" t="s">
        <v>237</v>
      </c>
      <c r="F304" s="123">
        <v>20000</v>
      </c>
      <c r="G304" s="90">
        <f t="shared" si="81"/>
        <v>574</v>
      </c>
      <c r="H304" s="90">
        <f t="shared" si="82"/>
        <v>608</v>
      </c>
      <c r="I304" s="90"/>
      <c r="J304" s="92">
        <v>4190.3500000000004</v>
      </c>
      <c r="K304" s="120">
        <f t="shared" si="79"/>
        <v>5372.35</v>
      </c>
      <c r="L304" s="86">
        <f t="shared" si="80"/>
        <v>14627.65</v>
      </c>
      <c r="N304" s="87"/>
    </row>
    <row r="305" spans="1:14" s="35" customFormat="1" ht="28.5" customHeight="1" x14ac:dyDescent="0.25">
      <c r="A305" s="83">
        <f t="shared" si="78"/>
        <v>156</v>
      </c>
      <c r="B305" s="121" t="s">
        <v>219</v>
      </c>
      <c r="C305" s="39" t="s">
        <v>442</v>
      </c>
      <c r="D305" s="121" t="s">
        <v>35</v>
      </c>
      <c r="E305" s="121" t="s">
        <v>237</v>
      </c>
      <c r="F305" s="123">
        <v>20000</v>
      </c>
      <c r="G305" s="90">
        <f t="shared" si="81"/>
        <v>574</v>
      </c>
      <c r="H305" s="90">
        <f t="shared" si="82"/>
        <v>608</v>
      </c>
      <c r="I305" s="90"/>
      <c r="J305" s="92">
        <v>125</v>
      </c>
      <c r="K305" s="120">
        <f t="shared" si="79"/>
        <v>1307</v>
      </c>
      <c r="L305" s="86">
        <f t="shared" si="80"/>
        <v>18693</v>
      </c>
      <c r="N305" s="87"/>
    </row>
    <row r="306" spans="1:14" s="35" customFormat="1" ht="28.5" customHeight="1" x14ac:dyDescent="0.25">
      <c r="A306" s="83">
        <f t="shared" si="78"/>
        <v>157</v>
      </c>
      <c r="B306" s="121" t="s">
        <v>220</v>
      </c>
      <c r="C306" s="39" t="s">
        <v>442</v>
      </c>
      <c r="D306" s="121" t="s">
        <v>35</v>
      </c>
      <c r="E306" s="121" t="s">
        <v>237</v>
      </c>
      <c r="F306" s="123">
        <v>20000</v>
      </c>
      <c r="G306" s="90">
        <f t="shared" si="81"/>
        <v>574</v>
      </c>
      <c r="H306" s="90">
        <f t="shared" si="82"/>
        <v>608</v>
      </c>
      <c r="I306" s="90"/>
      <c r="J306" s="92">
        <v>1025</v>
      </c>
      <c r="K306" s="120">
        <f t="shared" si="79"/>
        <v>2207</v>
      </c>
      <c r="L306" s="86">
        <f t="shared" si="80"/>
        <v>17793</v>
      </c>
      <c r="N306" s="87"/>
    </row>
    <row r="307" spans="1:14" s="35" customFormat="1" ht="28.5" customHeight="1" x14ac:dyDescent="0.25">
      <c r="A307" s="83">
        <f t="shared" si="78"/>
        <v>158</v>
      </c>
      <c r="B307" s="121" t="s">
        <v>502</v>
      </c>
      <c r="C307" s="193" t="s">
        <v>441</v>
      </c>
      <c r="D307" s="121" t="s">
        <v>35</v>
      </c>
      <c r="E307" s="121" t="s">
        <v>237</v>
      </c>
      <c r="F307" s="123">
        <v>20000</v>
      </c>
      <c r="G307" s="90">
        <f t="shared" si="81"/>
        <v>574</v>
      </c>
      <c r="H307" s="90">
        <f t="shared" si="82"/>
        <v>608</v>
      </c>
      <c r="I307" s="90"/>
      <c r="J307" s="92">
        <v>25</v>
      </c>
      <c r="K307" s="120">
        <f t="shared" ref="K307:K308" si="83">SUM(G307:J307)</f>
        <v>1207</v>
      </c>
      <c r="L307" s="86">
        <f t="shared" ref="L307:L309" si="84">+F307-K307</f>
        <v>18793</v>
      </c>
      <c r="N307" s="87"/>
    </row>
    <row r="308" spans="1:14" s="42" customFormat="1" ht="33.75" customHeight="1" x14ac:dyDescent="0.25">
      <c r="A308" s="83">
        <f t="shared" si="78"/>
        <v>159</v>
      </c>
      <c r="B308" s="121" t="s">
        <v>503</v>
      </c>
      <c r="C308" s="193" t="s">
        <v>442</v>
      </c>
      <c r="D308" s="121" t="s">
        <v>35</v>
      </c>
      <c r="E308" s="121" t="s">
        <v>237</v>
      </c>
      <c r="F308" s="123">
        <v>20000</v>
      </c>
      <c r="G308" s="90">
        <f t="shared" si="81"/>
        <v>574</v>
      </c>
      <c r="H308" s="90">
        <f t="shared" si="82"/>
        <v>608</v>
      </c>
      <c r="I308" s="90"/>
      <c r="J308" s="92">
        <v>25</v>
      </c>
      <c r="K308" s="120">
        <f t="shared" si="83"/>
        <v>1207</v>
      </c>
      <c r="L308" s="86">
        <f t="shared" si="84"/>
        <v>18793</v>
      </c>
      <c r="N308" s="56"/>
    </row>
    <row r="309" spans="1:14" s="42" customFormat="1" ht="30" customHeight="1" x14ac:dyDescent="0.25">
      <c r="A309" s="83">
        <f t="shared" si="78"/>
        <v>160</v>
      </c>
      <c r="B309" s="121" t="s">
        <v>504</v>
      </c>
      <c r="C309" s="193" t="s">
        <v>441</v>
      </c>
      <c r="D309" s="121" t="s">
        <v>35</v>
      </c>
      <c r="E309" s="121" t="s">
        <v>237</v>
      </c>
      <c r="F309" s="123">
        <v>20000</v>
      </c>
      <c r="G309" s="90">
        <f t="shared" si="81"/>
        <v>574</v>
      </c>
      <c r="H309" s="90">
        <f t="shared" si="82"/>
        <v>608</v>
      </c>
      <c r="I309" s="90"/>
      <c r="J309" s="92">
        <v>6828.55</v>
      </c>
      <c r="K309" s="120">
        <f>SUM(G309:J309)</f>
        <v>8010.55</v>
      </c>
      <c r="L309" s="86">
        <f t="shared" si="84"/>
        <v>11989.45</v>
      </c>
      <c r="N309" s="56"/>
    </row>
    <row r="310" spans="1:14" s="56" customFormat="1" ht="28.5" customHeight="1" x14ac:dyDescent="0.25">
      <c r="A310" s="83">
        <f>+A309+1</f>
        <v>161</v>
      </c>
      <c r="B310" s="121" t="s">
        <v>644</v>
      </c>
      <c r="C310" s="39" t="s">
        <v>441</v>
      </c>
      <c r="D310" s="121" t="s">
        <v>328</v>
      </c>
      <c r="E310" s="121" t="s">
        <v>237</v>
      </c>
      <c r="F310" s="123">
        <v>45000</v>
      </c>
      <c r="G310" s="90">
        <f t="shared" ref="G310" si="85">F310*2.87%</f>
        <v>1291.5</v>
      </c>
      <c r="H310" s="90">
        <f t="shared" ref="H310" si="86">+F310*3.04%</f>
        <v>1368</v>
      </c>
      <c r="I310" s="90">
        <v>1148.32</v>
      </c>
      <c r="J310" s="92">
        <v>25</v>
      </c>
      <c r="K310" s="120">
        <f>SUM(G310:J310)</f>
        <v>3832.8199999999997</v>
      </c>
      <c r="L310" s="86">
        <f t="shared" ref="L310" si="87">+F310-K310</f>
        <v>41167.18</v>
      </c>
      <c r="M310" s="42"/>
    </row>
    <row r="311" spans="1:14" s="56" customFormat="1" ht="33" customHeight="1" x14ac:dyDescent="0.25">
      <c r="A311" s="229" t="s">
        <v>128</v>
      </c>
      <c r="B311" s="230"/>
      <c r="C311" s="230"/>
      <c r="D311" s="230"/>
      <c r="E311" s="231"/>
      <c r="F311" s="40">
        <f t="shared" ref="F311:L311" si="88">SUM(F285:F310)</f>
        <v>706075</v>
      </c>
      <c r="G311" s="40">
        <f t="shared" si="88"/>
        <v>20264.352499999997</v>
      </c>
      <c r="H311" s="40">
        <f t="shared" si="88"/>
        <v>21464.680000000004</v>
      </c>
      <c r="I311" s="40">
        <f t="shared" si="88"/>
        <v>3444.96</v>
      </c>
      <c r="J311" s="40">
        <f t="shared" si="88"/>
        <v>83027.580000000016</v>
      </c>
      <c r="K311" s="40">
        <f t="shared" si="88"/>
        <v>128201.57250000001</v>
      </c>
      <c r="L311" s="40">
        <f t="shared" si="88"/>
        <v>577873.42749999999</v>
      </c>
      <c r="M311" s="42"/>
    </row>
    <row r="312" spans="1:14" s="42" customFormat="1" ht="30" customHeight="1" thickBot="1" x14ac:dyDescent="0.3">
      <c r="A312" s="53"/>
      <c r="B312" s="53"/>
      <c r="C312" s="53"/>
      <c r="D312" s="53"/>
      <c r="E312" s="53"/>
      <c r="F312" s="43"/>
      <c r="G312" s="43"/>
      <c r="H312" s="43"/>
      <c r="I312" s="43"/>
      <c r="J312" s="43"/>
      <c r="K312" s="43"/>
      <c r="L312" s="43"/>
      <c r="N312" s="56"/>
    </row>
    <row r="313" spans="1:14" s="42" customFormat="1" ht="36" customHeight="1" thickBot="1" x14ac:dyDescent="0.3">
      <c r="A313" s="232" t="s">
        <v>337</v>
      </c>
      <c r="B313" s="233"/>
      <c r="C313" s="233"/>
      <c r="D313" s="233"/>
      <c r="E313" s="233"/>
      <c r="F313" s="233"/>
      <c r="G313" s="233"/>
      <c r="H313" s="233"/>
      <c r="I313" s="233"/>
      <c r="J313" s="233"/>
      <c r="K313" s="233"/>
      <c r="L313" s="234"/>
      <c r="N313" s="56"/>
    </row>
    <row r="314" spans="1:14" s="42" customFormat="1" ht="36" customHeight="1" x14ac:dyDescent="0.25">
      <c r="A314" s="39">
        <f>+A310+1</f>
        <v>162</v>
      </c>
      <c r="B314" s="121" t="s">
        <v>338</v>
      </c>
      <c r="C314" s="39" t="s">
        <v>441</v>
      </c>
      <c r="D314" s="121" t="s">
        <v>339</v>
      </c>
      <c r="E314" s="121" t="s">
        <v>237</v>
      </c>
      <c r="F314" s="123">
        <v>50000</v>
      </c>
      <c r="G314" s="123">
        <f>F314*2.87%</f>
        <v>1435</v>
      </c>
      <c r="H314" s="90">
        <f>+F314*3.04%</f>
        <v>1520</v>
      </c>
      <c r="I314" s="90">
        <v>1853.9998749999997</v>
      </c>
      <c r="J314" s="92">
        <v>125</v>
      </c>
      <c r="K314" s="85">
        <f t="shared" ref="K314:K315" si="89">SUM(G314:J314)</f>
        <v>4933.9998749999995</v>
      </c>
      <c r="L314" s="86">
        <f>+F314-K314</f>
        <v>45066.000124999999</v>
      </c>
      <c r="N314" s="56"/>
    </row>
    <row r="315" spans="1:14" s="42" customFormat="1" ht="36" customHeight="1" x14ac:dyDescent="0.25">
      <c r="A315" s="39">
        <f>+A314+1</f>
        <v>163</v>
      </c>
      <c r="B315" s="121" t="s">
        <v>340</v>
      </c>
      <c r="C315" s="39" t="s">
        <v>441</v>
      </c>
      <c r="D315" s="121" t="s">
        <v>339</v>
      </c>
      <c r="E315" s="121" t="s">
        <v>237</v>
      </c>
      <c r="F315" s="123">
        <v>50000</v>
      </c>
      <c r="G315" s="123">
        <f>F315*2.87%</f>
        <v>1435</v>
      </c>
      <c r="H315" s="90">
        <f>+F315*3.04%</f>
        <v>1520</v>
      </c>
      <c r="I315" s="90">
        <v>1627.132375000001</v>
      </c>
      <c r="J315" s="92">
        <v>1637.45</v>
      </c>
      <c r="K315" s="85">
        <f t="shared" si="89"/>
        <v>6219.5823750000009</v>
      </c>
      <c r="L315" s="86">
        <f>+F315-K315</f>
        <v>43780.417625000002</v>
      </c>
      <c r="N315" s="56"/>
    </row>
    <row r="316" spans="1:14" s="42" customFormat="1" ht="36" customHeight="1" x14ac:dyDescent="0.25">
      <c r="A316" s="39">
        <f t="shared" ref="A316:A317" si="90">+A315+1</f>
        <v>164</v>
      </c>
      <c r="B316" s="121" t="s">
        <v>417</v>
      </c>
      <c r="C316" s="39" t="s">
        <v>441</v>
      </c>
      <c r="D316" s="121" t="s">
        <v>148</v>
      </c>
      <c r="E316" s="121" t="s">
        <v>237</v>
      </c>
      <c r="F316" s="123">
        <v>28000</v>
      </c>
      <c r="G316" s="123">
        <f t="shared" ref="G316:G317" si="91">F316*2.87%</f>
        <v>803.6</v>
      </c>
      <c r="H316" s="90">
        <f>+F316*3.04%</f>
        <v>851.2</v>
      </c>
      <c r="I316" s="90"/>
      <c r="J316" s="92">
        <v>125</v>
      </c>
      <c r="K316" s="85">
        <f t="shared" ref="K316:K317" si="92">SUM(G316:J316)</f>
        <v>1779.8000000000002</v>
      </c>
      <c r="L316" s="86">
        <f t="shared" ref="L316:L317" si="93">+F316-K316</f>
        <v>26220.2</v>
      </c>
      <c r="N316" s="56"/>
    </row>
    <row r="317" spans="1:14" s="42" customFormat="1" ht="28.5" customHeight="1" x14ac:dyDescent="0.25">
      <c r="A317" s="39">
        <f t="shared" si="90"/>
        <v>165</v>
      </c>
      <c r="B317" s="121" t="s">
        <v>416</v>
      </c>
      <c r="C317" s="39" t="s">
        <v>441</v>
      </c>
      <c r="D317" s="121" t="s">
        <v>148</v>
      </c>
      <c r="E317" s="121" t="s">
        <v>237</v>
      </c>
      <c r="F317" s="123">
        <v>28000</v>
      </c>
      <c r="G317" s="123">
        <f t="shared" si="91"/>
        <v>803.6</v>
      </c>
      <c r="H317" s="90">
        <f t="shared" ref="H317" si="94">+F317*3.04%</f>
        <v>851.2</v>
      </c>
      <c r="I317" s="90"/>
      <c r="J317" s="92">
        <v>25</v>
      </c>
      <c r="K317" s="85">
        <f t="shared" si="92"/>
        <v>1679.8000000000002</v>
      </c>
      <c r="L317" s="86">
        <f t="shared" si="93"/>
        <v>26320.2</v>
      </c>
      <c r="N317" s="56"/>
    </row>
    <row r="318" spans="1:14" s="56" customFormat="1" ht="27" customHeight="1" x14ac:dyDescent="0.25">
      <c r="A318" s="39">
        <f>+A317+1</f>
        <v>166</v>
      </c>
      <c r="B318" s="141" t="s">
        <v>418</v>
      </c>
      <c r="C318" s="168" t="s">
        <v>441</v>
      </c>
      <c r="D318" s="169" t="s">
        <v>148</v>
      </c>
      <c r="E318" s="121" t="s">
        <v>237</v>
      </c>
      <c r="F318" s="92">
        <v>28000</v>
      </c>
      <c r="G318" s="90">
        <f>F318*2.87%</f>
        <v>803.6</v>
      </c>
      <c r="H318" s="90">
        <f>+F318*3.04%</f>
        <v>851.2</v>
      </c>
      <c r="I318" s="90"/>
      <c r="J318" s="86">
        <v>9869.2800000000007</v>
      </c>
      <c r="K318" s="85">
        <f>SUM(G318:J318)</f>
        <v>11524.080000000002</v>
      </c>
      <c r="L318" s="86">
        <f>+F318-K318</f>
        <v>16475.919999999998</v>
      </c>
      <c r="M318" s="42"/>
    </row>
    <row r="319" spans="1:14" s="56" customFormat="1" ht="30" customHeight="1" x14ac:dyDescent="0.25">
      <c r="A319" s="39">
        <f>+A318+1</f>
        <v>167</v>
      </c>
      <c r="B319" s="141" t="s">
        <v>578</v>
      </c>
      <c r="C319" s="168" t="s">
        <v>441</v>
      </c>
      <c r="D319" s="169" t="s">
        <v>148</v>
      </c>
      <c r="E319" s="121" t="s">
        <v>237</v>
      </c>
      <c r="F319" s="92">
        <v>20000</v>
      </c>
      <c r="G319" s="90">
        <f>F319*2.87%</f>
        <v>574</v>
      </c>
      <c r="H319" s="90">
        <f>+F319*3.04%</f>
        <v>608</v>
      </c>
      <c r="I319" s="90"/>
      <c r="J319" s="86">
        <v>25</v>
      </c>
      <c r="K319" s="85">
        <f>SUM(G319:J319)</f>
        <v>1207</v>
      </c>
      <c r="L319" s="86">
        <f>+F319-K319</f>
        <v>18793</v>
      </c>
      <c r="M319" s="42"/>
    </row>
    <row r="320" spans="1:14" s="56" customFormat="1" ht="30" customHeight="1" thickBot="1" x14ac:dyDescent="0.3">
      <c r="A320" s="229" t="s">
        <v>128</v>
      </c>
      <c r="B320" s="230"/>
      <c r="C320" s="230"/>
      <c r="D320" s="230"/>
      <c r="E320" s="231"/>
      <c r="F320" s="40">
        <f>SUM(F314:F319)</f>
        <v>204000</v>
      </c>
      <c r="G320" s="40">
        <f t="shared" ref="G320:L320" si="95">SUM(G314:G319)</f>
        <v>5854.8</v>
      </c>
      <c r="H320" s="40">
        <f t="shared" si="95"/>
        <v>6201.5999999999995</v>
      </c>
      <c r="I320" s="40">
        <f t="shared" si="95"/>
        <v>3481.1322500000006</v>
      </c>
      <c r="J320" s="40">
        <f t="shared" si="95"/>
        <v>11806.730000000001</v>
      </c>
      <c r="K320" s="40">
        <f t="shared" si="95"/>
        <v>27344.26225</v>
      </c>
      <c r="L320" s="40">
        <f t="shared" si="95"/>
        <v>176655.73774999997</v>
      </c>
      <c r="M320" s="42"/>
    </row>
    <row r="321" spans="1:14" s="56" customFormat="1" ht="30" customHeight="1" thickBot="1" x14ac:dyDescent="0.3">
      <c r="A321" s="232" t="s">
        <v>341</v>
      </c>
      <c r="B321" s="233"/>
      <c r="C321" s="233"/>
      <c r="D321" s="233"/>
      <c r="E321" s="233"/>
      <c r="F321" s="233"/>
      <c r="G321" s="233"/>
      <c r="H321" s="233"/>
      <c r="I321" s="233"/>
      <c r="J321" s="233"/>
      <c r="K321" s="233"/>
      <c r="L321" s="234"/>
      <c r="M321" s="42"/>
    </row>
    <row r="322" spans="1:14" s="56" customFormat="1" ht="30" customHeight="1" x14ac:dyDescent="0.25">
      <c r="A322" s="88">
        <f>+A319+1</f>
        <v>168</v>
      </c>
      <c r="B322" s="121" t="s">
        <v>136</v>
      </c>
      <c r="C322" s="39" t="s">
        <v>441</v>
      </c>
      <c r="D322" s="121" t="s">
        <v>138</v>
      </c>
      <c r="E322" s="121" t="s">
        <v>237</v>
      </c>
      <c r="F322" s="123">
        <v>55000</v>
      </c>
      <c r="G322" s="90">
        <f>F322*2.87%</f>
        <v>1578.5</v>
      </c>
      <c r="H322" s="90">
        <f>+F322*3.04%</f>
        <v>1672</v>
      </c>
      <c r="I322" s="90">
        <v>2559.6748749999997</v>
      </c>
      <c r="J322" s="92">
        <v>25</v>
      </c>
      <c r="K322" s="120">
        <f>SUM(G322:J322)</f>
        <v>5835.1748749999997</v>
      </c>
      <c r="L322" s="92">
        <f>+F322-K322</f>
        <v>49164.825125000003</v>
      </c>
      <c r="M322" s="42"/>
    </row>
    <row r="323" spans="1:14" s="56" customFormat="1" ht="30" customHeight="1" x14ac:dyDescent="0.25">
      <c r="A323" s="88">
        <f>+A322+1</f>
        <v>169</v>
      </c>
      <c r="B323" s="121" t="s">
        <v>36</v>
      </c>
      <c r="C323" s="39" t="s">
        <v>441</v>
      </c>
      <c r="D323" s="121" t="s">
        <v>138</v>
      </c>
      <c r="E323" s="121" t="s">
        <v>125</v>
      </c>
      <c r="F323" s="123">
        <v>55000</v>
      </c>
      <c r="G323" s="90">
        <f t="shared" ref="G323:G338" si="96">F323*2.87%</f>
        <v>1578.5</v>
      </c>
      <c r="H323" s="90">
        <f t="shared" ref="H323:H340" si="97">+F323*3.04%</f>
        <v>1672</v>
      </c>
      <c r="I323" s="90">
        <v>2559.6748749999997</v>
      </c>
      <c r="J323" s="92">
        <v>125</v>
      </c>
      <c r="K323" s="120">
        <f t="shared" ref="K323:K338" si="98">SUM(G323:J323)</f>
        <v>5935.1748749999997</v>
      </c>
      <c r="L323" s="92">
        <f t="shared" ref="L323:L339" si="99">+F323-K323</f>
        <v>49064.825125000003</v>
      </c>
      <c r="M323" s="42"/>
    </row>
    <row r="324" spans="1:14" s="56" customFormat="1" ht="30" customHeight="1" x14ac:dyDescent="0.25">
      <c r="A324" s="88">
        <f t="shared" ref="A324:A338" si="100">+A323+1</f>
        <v>170</v>
      </c>
      <c r="B324" s="121" t="s">
        <v>342</v>
      </c>
      <c r="C324" s="39" t="s">
        <v>441</v>
      </c>
      <c r="D324" s="121" t="s">
        <v>38</v>
      </c>
      <c r="E324" s="121" t="s">
        <v>237</v>
      </c>
      <c r="F324" s="123">
        <v>35000</v>
      </c>
      <c r="G324" s="90">
        <f t="shared" si="96"/>
        <v>1004.5</v>
      </c>
      <c r="H324" s="90">
        <f t="shared" si="97"/>
        <v>1064</v>
      </c>
      <c r="I324" s="90"/>
      <c r="J324" s="92">
        <v>125</v>
      </c>
      <c r="K324" s="120">
        <f t="shared" si="98"/>
        <v>2193.5</v>
      </c>
      <c r="L324" s="92">
        <f t="shared" si="99"/>
        <v>32806.5</v>
      </c>
      <c r="M324" s="42"/>
    </row>
    <row r="325" spans="1:14" s="56" customFormat="1" ht="30" customHeight="1" x14ac:dyDescent="0.25">
      <c r="A325" s="88">
        <f t="shared" si="100"/>
        <v>171</v>
      </c>
      <c r="B325" s="126" t="s">
        <v>351</v>
      </c>
      <c r="C325" s="136" t="s">
        <v>442</v>
      </c>
      <c r="D325" s="126" t="s">
        <v>23</v>
      </c>
      <c r="E325" s="126" t="s">
        <v>237</v>
      </c>
      <c r="F325" s="120">
        <v>35000</v>
      </c>
      <c r="G325" s="90">
        <f t="shared" si="96"/>
        <v>1004.5</v>
      </c>
      <c r="H325" s="90">
        <f t="shared" si="97"/>
        <v>1064</v>
      </c>
      <c r="I325" s="85"/>
      <c r="J325" s="86">
        <f>4111.34+25+100</f>
        <v>4236.34</v>
      </c>
      <c r="K325" s="120">
        <f t="shared" si="98"/>
        <v>6304.84</v>
      </c>
      <c r="L325" s="92">
        <f t="shared" si="99"/>
        <v>28695.16</v>
      </c>
      <c r="M325" s="42"/>
    </row>
    <row r="326" spans="1:14" s="100" customFormat="1" ht="30" customHeight="1" x14ac:dyDescent="0.25">
      <c r="A326" s="88">
        <f>+A325+1</f>
        <v>172</v>
      </c>
      <c r="B326" s="121" t="s">
        <v>41</v>
      </c>
      <c r="C326" s="39" t="s">
        <v>441</v>
      </c>
      <c r="D326" s="121" t="s">
        <v>38</v>
      </c>
      <c r="E326" s="121" t="s">
        <v>237</v>
      </c>
      <c r="F326" s="123">
        <v>35000</v>
      </c>
      <c r="G326" s="90">
        <f t="shared" si="96"/>
        <v>1004.5</v>
      </c>
      <c r="H326" s="90">
        <f t="shared" si="97"/>
        <v>1064</v>
      </c>
      <c r="I326" s="90"/>
      <c r="J326" s="92">
        <v>125</v>
      </c>
      <c r="K326" s="120">
        <f t="shared" si="98"/>
        <v>2193.5</v>
      </c>
      <c r="L326" s="92">
        <f t="shared" si="99"/>
        <v>32806.5</v>
      </c>
      <c r="M326" s="228"/>
    </row>
    <row r="327" spans="1:14" s="56" customFormat="1" ht="30" customHeight="1" x14ac:dyDescent="0.25">
      <c r="A327" s="88">
        <f t="shared" si="100"/>
        <v>173</v>
      </c>
      <c r="B327" s="121" t="s">
        <v>343</v>
      </c>
      <c r="C327" s="39" t="s">
        <v>441</v>
      </c>
      <c r="D327" s="121" t="s">
        <v>38</v>
      </c>
      <c r="E327" s="121" t="s">
        <v>237</v>
      </c>
      <c r="F327" s="123">
        <v>35000</v>
      </c>
      <c r="G327" s="90">
        <f t="shared" si="96"/>
        <v>1004.5</v>
      </c>
      <c r="H327" s="90">
        <f t="shared" si="97"/>
        <v>1064</v>
      </c>
      <c r="I327" s="90"/>
      <c r="J327" s="92">
        <v>125</v>
      </c>
      <c r="K327" s="120">
        <f t="shared" si="98"/>
        <v>2193.5</v>
      </c>
      <c r="L327" s="92">
        <f t="shared" si="99"/>
        <v>32806.5</v>
      </c>
      <c r="M327" s="42"/>
    </row>
    <row r="328" spans="1:14" s="87" customFormat="1" ht="30" customHeight="1" x14ac:dyDescent="0.25">
      <c r="A328" s="88">
        <f t="shared" si="100"/>
        <v>174</v>
      </c>
      <c r="B328" s="121" t="s">
        <v>84</v>
      </c>
      <c r="C328" s="39" t="s">
        <v>441</v>
      </c>
      <c r="D328" s="121" t="s">
        <v>38</v>
      </c>
      <c r="E328" s="121" t="s">
        <v>237</v>
      </c>
      <c r="F328" s="123">
        <v>35000</v>
      </c>
      <c r="G328" s="90">
        <f t="shared" si="96"/>
        <v>1004.5</v>
      </c>
      <c r="H328" s="90">
        <f t="shared" si="97"/>
        <v>1064</v>
      </c>
      <c r="I328" s="90"/>
      <c r="J328" s="92">
        <v>125</v>
      </c>
      <c r="K328" s="120">
        <f t="shared" si="98"/>
        <v>2193.5</v>
      </c>
      <c r="L328" s="92">
        <f t="shared" si="99"/>
        <v>32806.5</v>
      </c>
      <c r="M328" s="35"/>
    </row>
    <row r="329" spans="1:14" s="56" customFormat="1" ht="30" customHeight="1" x14ac:dyDescent="0.25">
      <c r="A329" s="88">
        <f t="shared" si="100"/>
        <v>175</v>
      </c>
      <c r="B329" s="121" t="s">
        <v>344</v>
      </c>
      <c r="C329" s="39" t="s">
        <v>441</v>
      </c>
      <c r="D329" s="121" t="s">
        <v>38</v>
      </c>
      <c r="E329" s="121" t="s">
        <v>237</v>
      </c>
      <c r="F329" s="123">
        <v>35000</v>
      </c>
      <c r="G329" s="90">
        <f t="shared" si="96"/>
        <v>1004.5</v>
      </c>
      <c r="H329" s="90">
        <f t="shared" si="97"/>
        <v>1064</v>
      </c>
      <c r="I329" s="90"/>
      <c r="J329" s="92">
        <v>6811.44</v>
      </c>
      <c r="K329" s="120">
        <f t="shared" si="98"/>
        <v>8879.9399999999987</v>
      </c>
      <c r="L329" s="92">
        <f t="shared" si="99"/>
        <v>26120.06</v>
      </c>
      <c r="M329" s="42"/>
    </row>
    <row r="330" spans="1:14" s="87" customFormat="1" ht="30" customHeight="1" x14ac:dyDescent="0.25">
      <c r="A330" s="88">
        <f t="shared" si="100"/>
        <v>176</v>
      </c>
      <c r="B330" s="121" t="s">
        <v>40</v>
      </c>
      <c r="C330" s="39" t="s">
        <v>441</v>
      </c>
      <c r="D330" s="121" t="s">
        <v>38</v>
      </c>
      <c r="E330" s="121" t="s">
        <v>237</v>
      </c>
      <c r="F330" s="123">
        <v>35000</v>
      </c>
      <c r="G330" s="90">
        <f t="shared" si="96"/>
        <v>1004.5</v>
      </c>
      <c r="H330" s="90">
        <f t="shared" si="97"/>
        <v>1064</v>
      </c>
      <c r="I330" s="90"/>
      <c r="J330" s="92">
        <v>125</v>
      </c>
      <c r="K330" s="120">
        <f t="shared" si="98"/>
        <v>2193.5</v>
      </c>
      <c r="L330" s="92">
        <f t="shared" si="99"/>
        <v>32806.5</v>
      </c>
      <c r="M330" s="35"/>
    </row>
    <row r="331" spans="1:14" s="100" customFormat="1" ht="30" customHeight="1" x14ac:dyDescent="0.25">
      <c r="A331" s="88">
        <f t="shared" si="100"/>
        <v>177</v>
      </c>
      <c r="B331" s="121" t="s">
        <v>137</v>
      </c>
      <c r="C331" s="39" t="s">
        <v>441</v>
      </c>
      <c r="D331" s="140" t="s">
        <v>139</v>
      </c>
      <c r="E331" s="121" t="s">
        <v>237</v>
      </c>
      <c r="F331" s="123">
        <v>35000</v>
      </c>
      <c r="G331" s="90">
        <f>F331*2.87%</f>
        <v>1004.5</v>
      </c>
      <c r="H331" s="90">
        <f>+F331*3.04%</f>
        <v>1064</v>
      </c>
      <c r="I331" s="90"/>
      <c r="J331" s="92">
        <v>25</v>
      </c>
      <c r="K331" s="120">
        <f t="shared" si="98"/>
        <v>2093.5</v>
      </c>
      <c r="L331" s="92">
        <f t="shared" si="99"/>
        <v>32906.5</v>
      </c>
      <c r="M331" s="228"/>
    </row>
    <row r="332" spans="1:14" s="56" customFormat="1" ht="30" customHeight="1" x14ac:dyDescent="0.25">
      <c r="A332" s="88">
        <f t="shared" si="100"/>
        <v>178</v>
      </c>
      <c r="B332" s="121" t="s">
        <v>349</v>
      </c>
      <c r="C332" s="39" t="s">
        <v>441</v>
      </c>
      <c r="D332" s="121" t="s">
        <v>38</v>
      </c>
      <c r="E332" s="121" t="s">
        <v>125</v>
      </c>
      <c r="F332" s="123">
        <v>35000</v>
      </c>
      <c r="G332" s="90">
        <f>F332*2.87%</f>
        <v>1004.5</v>
      </c>
      <c r="H332" s="90">
        <f>+F332*3.04%</f>
        <v>1064</v>
      </c>
      <c r="I332" s="90"/>
      <c r="J332" s="92">
        <v>125</v>
      </c>
      <c r="K332" s="120">
        <f t="shared" si="98"/>
        <v>2193.5</v>
      </c>
      <c r="L332" s="92">
        <f t="shared" si="99"/>
        <v>32806.5</v>
      </c>
      <c r="M332" s="42"/>
    </row>
    <row r="333" spans="1:14" s="87" customFormat="1" ht="30" customHeight="1" x14ac:dyDescent="0.25">
      <c r="A333" s="88">
        <f t="shared" si="100"/>
        <v>179</v>
      </c>
      <c r="B333" s="121" t="s">
        <v>347</v>
      </c>
      <c r="C333" s="39" t="s">
        <v>441</v>
      </c>
      <c r="D333" s="140" t="s">
        <v>146</v>
      </c>
      <c r="E333" s="121" t="s">
        <v>237</v>
      </c>
      <c r="F333" s="123">
        <v>30000</v>
      </c>
      <c r="G333" s="90">
        <f t="shared" si="96"/>
        <v>861</v>
      </c>
      <c r="H333" s="90">
        <f t="shared" si="97"/>
        <v>912</v>
      </c>
      <c r="I333" s="90"/>
      <c r="J333" s="92">
        <v>1637.45</v>
      </c>
      <c r="K333" s="120">
        <f t="shared" si="98"/>
        <v>3410.45</v>
      </c>
      <c r="L333" s="92">
        <f t="shared" si="99"/>
        <v>26589.55</v>
      </c>
      <c r="M333" s="35"/>
    </row>
    <row r="334" spans="1:14" s="56" customFormat="1" ht="30" customHeight="1" x14ac:dyDescent="0.25">
      <c r="A334" s="88">
        <f t="shared" si="100"/>
        <v>180</v>
      </c>
      <c r="B334" s="121" t="s">
        <v>345</v>
      </c>
      <c r="C334" s="39" t="s">
        <v>441</v>
      </c>
      <c r="D334" s="121" t="s">
        <v>146</v>
      </c>
      <c r="E334" s="121" t="s">
        <v>237</v>
      </c>
      <c r="F334" s="123">
        <v>30000</v>
      </c>
      <c r="G334" s="90">
        <f>F334*2.87%</f>
        <v>861</v>
      </c>
      <c r="H334" s="90">
        <f>+F334*3.04%</f>
        <v>912</v>
      </c>
      <c r="I334" s="90"/>
      <c r="J334" s="92">
        <v>125</v>
      </c>
      <c r="K334" s="120">
        <f t="shared" si="98"/>
        <v>1898</v>
      </c>
      <c r="L334" s="92">
        <f t="shared" si="99"/>
        <v>28102</v>
      </c>
      <c r="M334" s="42"/>
    </row>
    <row r="335" spans="1:14" s="56" customFormat="1" ht="30" customHeight="1" x14ac:dyDescent="0.25">
      <c r="A335" s="88">
        <f t="shared" si="100"/>
        <v>181</v>
      </c>
      <c r="B335" s="121" t="s">
        <v>39</v>
      </c>
      <c r="C335" s="39" t="s">
        <v>441</v>
      </c>
      <c r="D335" s="121" t="s">
        <v>38</v>
      </c>
      <c r="E335" s="121" t="s">
        <v>125</v>
      </c>
      <c r="F335" s="123">
        <v>30000</v>
      </c>
      <c r="G335" s="90">
        <f t="shared" si="96"/>
        <v>861</v>
      </c>
      <c r="H335" s="90">
        <f t="shared" si="97"/>
        <v>912</v>
      </c>
      <c r="I335" s="90"/>
      <c r="J335" s="92">
        <v>25</v>
      </c>
      <c r="K335" s="120">
        <f t="shared" si="98"/>
        <v>1798</v>
      </c>
      <c r="L335" s="92">
        <f t="shared" si="99"/>
        <v>28202</v>
      </c>
      <c r="M335" s="42"/>
    </row>
    <row r="336" spans="1:14" s="35" customFormat="1" ht="26.25" customHeight="1" x14ac:dyDescent="0.25">
      <c r="A336" s="88">
        <f t="shared" si="100"/>
        <v>182</v>
      </c>
      <c r="B336" s="121" t="s">
        <v>348</v>
      </c>
      <c r="C336" s="39" t="s">
        <v>441</v>
      </c>
      <c r="D336" s="140" t="s">
        <v>139</v>
      </c>
      <c r="E336" s="89" t="s">
        <v>237</v>
      </c>
      <c r="F336" s="90">
        <v>28000</v>
      </c>
      <c r="G336" s="90">
        <f>F336*2.87%</f>
        <v>803.6</v>
      </c>
      <c r="H336" s="90">
        <f>+F336*3.04%</f>
        <v>851.2</v>
      </c>
      <c r="I336" s="90"/>
      <c r="J336" s="92">
        <v>25</v>
      </c>
      <c r="K336" s="120">
        <f t="shared" si="98"/>
        <v>1679.8000000000002</v>
      </c>
      <c r="L336" s="92">
        <f t="shared" si="99"/>
        <v>26320.2</v>
      </c>
      <c r="N336" s="87"/>
    </row>
    <row r="337" spans="1:14" s="35" customFormat="1" ht="26.25" customHeight="1" x14ac:dyDescent="0.25">
      <c r="A337" s="88">
        <f>+A336+1</f>
        <v>183</v>
      </c>
      <c r="B337" s="121" t="s">
        <v>500</v>
      </c>
      <c r="C337" s="39" t="s">
        <v>441</v>
      </c>
      <c r="D337" s="140" t="s">
        <v>501</v>
      </c>
      <c r="E337" s="121" t="s">
        <v>237</v>
      </c>
      <c r="F337" s="123">
        <v>26500</v>
      </c>
      <c r="G337" s="123">
        <f t="shared" si="96"/>
        <v>760.55</v>
      </c>
      <c r="H337" s="90">
        <f t="shared" si="97"/>
        <v>805.6</v>
      </c>
      <c r="I337" s="90"/>
      <c r="J337" s="92">
        <v>6676.17</v>
      </c>
      <c r="K337" s="120">
        <f t="shared" si="98"/>
        <v>8242.32</v>
      </c>
      <c r="L337" s="92">
        <f t="shared" si="99"/>
        <v>18257.68</v>
      </c>
      <c r="N337" s="87"/>
    </row>
    <row r="338" spans="1:14" s="35" customFormat="1" ht="26.25" customHeight="1" x14ac:dyDescent="0.25">
      <c r="A338" s="88">
        <f t="shared" si="100"/>
        <v>184</v>
      </c>
      <c r="B338" s="121" t="s">
        <v>352</v>
      </c>
      <c r="C338" s="39" t="s">
        <v>441</v>
      </c>
      <c r="D338" s="121" t="s">
        <v>101</v>
      </c>
      <c r="E338" s="121" t="s">
        <v>125</v>
      </c>
      <c r="F338" s="123">
        <v>28000</v>
      </c>
      <c r="G338" s="123">
        <f t="shared" si="96"/>
        <v>803.6</v>
      </c>
      <c r="H338" s="90">
        <f t="shared" si="97"/>
        <v>851.2</v>
      </c>
      <c r="I338" s="90"/>
      <c r="J338" s="92">
        <v>25</v>
      </c>
      <c r="K338" s="120">
        <f t="shared" si="98"/>
        <v>1679.8000000000002</v>
      </c>
      <c r="L338" s="92">
        <f t="shared" si="99"/>
        <v>26320.2</v>
      </c>
      <c r="N338" s="87"/>
    </row>
    <row r="339" spans="1:14" s="35" customFormat="1" ht="26.25" customHeight="1" x14ac:dyDescent="0.25">
      <c r="A339" s="88">
        <f>A338+1</f>
        <v>185</v>
      </c>
      <c r="B339" s="121" t="s">
        <v>608</v>
      </c>
      <c r="C339" s="39" t="s">
        <v>441</v>
      </c>
      <c r="D339" s="121" t="s">
        <v>139</v>
      </c>
      <c r="E339" s="121" t="s">
        <v>237</v>
      </c>
      <c r="F339" s="123">
        <v>25000</v>
      </c>
      <c r="G339" s="123">
        <f>F339*2.87%</f>
        <v>717.5</v>
      </c>
      <c r="H339" s="90">
        <f t="shared" si="97"/>
        <v>760</v>
      </c>
      <c r="I339" s="90"/>
      <c r="J339" s="92">
        <f>500+25</f>
        <v>525</v>
      </c>
      <c r="K339" s="123">
        <f>SUM(G339:J339)</f>
        <v>2002.5</v>
      </c>
      <c r="L339" s="92">
        <f t="shared" si="99"/>
        <v>22997.5</v>
      </c>
      <c r="N339" s="87"/>
    </row>
    <row r="340" spans="1:14" s="35" customFormat="1" ht="26.25" customHeight="1" x14ac:dyDescent="0.25">
      <c r="A340" s="88"/>
      <c r="B340" s="121" t="s">
        <v>619</v>
      </c>
      <c r="C340" s="39" t="s">
        <v>441</v>
      </c>
      <c r="D340" s="121" t="s">
        <v>139</v>
      </c>
      <c r="E340" s="121" t="s">
        <v>237</v>
      </c>
      <c r="F340" s="123">
        <v>25000</v>
      </c>
      <c r="G340" s="123">
        <f>F340*2.87%</f>
        <v>717.5</v>
      </c>
      <c r="H340" s="90">
        <f t="shared" si="97"/>
        <v>760</v>
      </c>
      <c r="I340" s="90"/>
      <c r="J340" s="92">
        <v>25</v>
      </c>
      <c r="K340" s="123">
        <f>SUM(G340:J340)</f>
        <v>1502.5</v>
      </c>
      <c r="L340" s="92">
        <f>+F340-K340</f>
        <v>23497.5</v>
      </c>
      <c r="N340" s="87"/>
    </row>
    <row r="341" spans="1:14" s="35" customFormat="1" ht="26.25" customHeight="1" x14ac:dyDescent="0.25">
      <c r="A341" s="229" t="s">
        <v>128</v>
      </c>
      <c r="B341" s="230"/>
      <c r="C341" s="230"/>
      <c r="D341" s="230"/>
      <c r="E341" s="231"/>
      <c r="F341" s="40">
        <f>SUM(F322:F340)</f>
        <v>647500</v>
      </c>
      <c r="G341" s="40">
        <f>SUM(G322:G340)</f>
        <v>18583.25</v>
      </c>
      <c r="H341" s="40">
        <f>SUM(H322:H340)</f>
        <v>19684</v>
      </c>
      <c r="I341" s="40">
        <f>SUM(I322:I338)</f>
        <v>5119.3497499999994</v>
      </c>
      <c r="J341" s="40">
        <f>SUM(J322:J340)</f>
        <v>21036.400000000001</v>
      </c>
      <c r="K341" s="40">
        <f>SUM(K322:K340)</f>
        <v>64422.999749999995</v>
      </c>
      <c r="L341" s="40">
        <f>SUM(L322:L340)</f>
        <v>583077.00025000004</v>
      </c>
      <c r="N341" s="87"/>
    </row>
    <row r="342" spans="1:14" s="35" customFormat="1" ht="26.25" customHeight="1" thickBot="1" x14ac:dyDescent="0.3">
      <c r="A342" s="53"/>
      <c r="B342" s="53"/>
      <c r="C342" s="53"/>
      <c r="D342" s="53"/>
      <c r="E342" s="53"/>
      <c r="F342" s="43"/>
      <c r="G342" s="43"/>
      <c r="H342" s="43"/>
      <c r="I342" s="43"/>
      <c r="J342" s="43"/>
      <c r="K342" s="43"/>
      <c r="L342" s="43"/>
      <c r="N342" s="87"/>
    </row>
    <row r="343" spans="1:14" s="42" customFormat="1" ht="30" customHeight="1" thickBot="1" x14ac:dyDescent="0.3">
      <c r="A343" s="232" t="s">
        <v>469</v>
      </c>
      <c r="B343" s="233"/>
      <c r="C343" s="233"/>
      <c r="D343" s="233"/>
      <c r="E343" s="233"/>
      <c r="F343" s="233"/>
      <c r="G343" s="233"/>
      <c r="H343" s="233"/>
      <c r="I343" s="233"/>
      <c r="J343" s="233"/>
      <c r="K343" s="233"/>
      <c r="L343" s="234"/>
      <c r="N343" s="56"/>
    </row>
    <row r="344" spans="1:14" s="56" customFormat="1" ht="30" customHeight="1" x14ac:dyDescent="0.25">
      <c r="A344" s="83">
        <f>A339+1</f>
        <v>186</v>
      </c>
      <c r="B344" s="121" t="s">
        <v>421</v>
      </c>
      <c r="C344" s="39" t="s">
        <v>442</v>
      </c>
      <c r="D344" s="121" t="s">
        <v>233</v>
      </c>
      <c r="E344" s="121" t="s">
        <v>125</v>
      </c>
      <c r="F344" s="123">
        <v>70000</v>
      </c>
      <c r="G344" s="90">
        <f t="shared" ref="G344" si="101">F344*2.87%</f>
        <v>2009</v>
      </c>
      <c r="H344" s="90">
        <f t="shared" ref="H344" si="102">+F344*3.04%</f>
        <v>2128</v>
      </c>
      <c r="I344" s="90">
        <v>5065.9598333333397</v>
      </c>
      <c r="J344" s="92">
        <v>1537.45</v>
      </c>
      <c r="K344" s="85">
        <f t="shared" ref="K344" si="103">SUM(G344:J344)</f>
        <v>10740.40983333334</v>
      </c>
      <c r="L344" s="92">
        <f>+F344-K344</f>
        <v>59259.590166666661</v>
      </c>
      <c r="M344" s="42"/>
    </row>
    <row r="345" spans="1:14" s="56" customFormat="1" ht="30" customHeight="1" x14ac:dyDescent="0.25">
      <c r="A345" s="229" t="s">
        <v>128</v>
      </c>
      <c r="B345" s="230"/>
      <c r="C345" s="230"/>
      <c r="D345" s="230"/>
      <c r="E345" s="231"/>
      <c r="F345" s="40">
        <f>SUM(F344)</f>
        <v>70000</v>
      </c>
      <c r="G345" s="40">
        <f t="shared" ref="G345:L345" si="104">SUM(G344)</f>
        <v>2009</v>
      </c>
      <c r="H345" s="40">
        <f t="shared" si="104"/>
        <v>2128</v>
      </c>
      <c r="I345" s="40">
        <f t="shared" si="104"/>
        <v>5065.9598333333397</v>
      </c>
      <c r="J345" s="40">
        <f t="shared" si="104"/>
        <v>1537.45</v>
      </c>
      <c r="K345" s="40">
        <f t="shared" si="104"/>
        <v>10740.40983333334</v>
      </c>
      <c r="L345" s="40">
        <f t="shared" si="104"/>
        <v>59259.590166666661</v>
      </c>
      <c r="M345" s="42"/>
    </row>
    <row r="346" spans="1:14" s="56" customFormat="1" ht="30" customHeight="1" thickBot="1" x14ac:dyDescent="0.3">
      <c r="A346" s="53"/>
      <c r="B346" s="53"/>
      <c r="C346" s="53"/>
      <c r="D346" s="53"/>
      <c r="E346" s="53"/>
      <c r="F346"/>
      <c r="G346"/>
      <c r="H346"/>
      <c r="I346"/>
      <c r="J346"/>
      <c r="K346"/>
      <c r="L346"/>
      <c r="M346" s="42"/>
    </row>
    <row r="347" spans="1:14" s="42" customFormat="1" ht="22.5" customHeight="1" thickBot="1" x14ac:dyDescent="0.3">
      <c r="A347" s="232" t="s">
        <v>353</v>
      </c>
      <c r="B347" s="233"/>
      <c r="C347" s="233"/>
      <c r="D347" s="233"/>
      <c r="E347" s="233"/>
      <c r="F347" s="233"/>
      <c r="G347" s="233"/>
      <c r="H347" s="233"/>
      <c r="I347" s="233"/>
      <c r="J347" s="233"/>
      <c r="K347" s="233"/>
      <c r="L347" s="234"/>
      <c r="N347" s="56"/>
    </row>
    <row r="348" spans="1:14" s="42" customFormat="1" ht="17.25" customHeight="1" x14ac:dyDescent="0.25">
      <c r="A348" s="83">
        <f>+A344+1</f>
        <v>187</v>
      </c>
      <c r="B348" s="126" t="s">
        <v>354</v>
      </c>
      <c r="C348" s="136" t="s">
        <v>442</v>
      </c>
      <c r="D348" s="126" t="s">
        <v>355</v>
      </c>
      <c r="E348" s="121" t="s">
        <v>124</v>
      </c>
      <c r="F348" s="120">
        <v>135000</v>
      </c>
      <c r="G348" s="85">
        <f>F348*2.87%</f>
        <v>3874.5</v>
      </c>
      <c r="H348" s="85">
        <f>+F348*3.04%</f>
        <v>4104</v>
      </c>
      <c r="I348" s="85">
        <v>20338.240000000002</v>
      </c>
      <c r="J348" s="92">
        <v>125</v>
      </c>
      <c r="K348" s="85">
        <f>SUM(G348:J348)</f>
        <v>28441.74</v>
      </c>
      <c r="L348" s="92">
        <f>+F348-K348</f>
        <v>106558.26</v>
      </c>
      <c r="N348" s="56"/>
    </row>
    <row r="349" spans="1:14" s="56" customFormat="1" ht="30" customHeight="1" x14ac:dyDescent="0.25">
      <c r="A349" s="83">
        <f>+A348+1</f>
        <v>188</v>
      </c>
      <c r="B349" s="121" t="s">
        <v>78</v>
      </c>
      <c r="C349" s="39" t="s">
        <v>442</v>
      </c>
      <c r="D349" s="121" t="s">
        <v>87</v>
      </c>
      <c r="E349" s="121" t="s">
        <v>124</v>
      </c>
      <c r="F349" s="123">
        <v>90000</v>
      </c>
      <c r="G349" s="90">
        <f>F349*2.87%</f>
        <v>2583</v>
      </c>
      <c r="H349" s="90">
        <f>+F349*3.04%</f>
        <v>2736</v>
      </c>
      <c r="I349" s="123">
        <v>9753.19</v>
      </c>
      <c r="J349" s="92">
        <v>25</v>
      </c>
      <c r="K349" s="85">
        <f t="shared" ref="K349" si="105">SUM(G349:J349)</f>
        <v>15097.19</v>
      </c>
      <c r="L349" s="92">
        <f>+F349-K349</f>
        <v>74902.81</v>
      </c>
      <c r="M349" s="42"/>
    </row>
    <row r="350" spans="1:14" s="56" customFormat="1" ht="27.75" customHeight="1" x14ac:dyDescent="0.25">
      <c r="A350" s="229" t="s">
        <v>128</v>
      </c>
      <c r="B350" s="230"/>
      <c r="C350" s="230"/>
      <c r="D350" s="230"/>
      <c r="E350" s="231"/>
      <c r="F350" s="40">
        <f>SUM(F348:F349)</f>
        <v>225000</v>
      </c>
      <c r="G350" s="40">
        <f t="shared" ref="G350:L350" si="106">SUM(G348:G349)</f>
        <v>6457.5</v>
      </c>
      <c r="H350" s="40">
        <f t="shared" si="106"/>
        <v>6840</v>
      </c>
      <c r="I350" s="40">
        <f t="shared" si="106"/>
        <v>30091.43</v>
      </c>
      <c r="J350" s="40">
        <f t="shared" si="106"/>
        <v>150</v>
      </c>
      <c r="K350" s="40">
        <f t="shared" si="106"/>
        <v>43538.93</v>
      </c>
      <c r="L350" s="40">
        <f t="shared" si="106"/>
        <v>181461.07</v>
      </c>
      <c r="M350" s="42"/>
    </row>
    <row r="351" spans="1:14" s="42" customFormat="1" ht="23.25" customHeight="1" thickBot="1" x14ac:dyDescent="0.3">
      <c r="A351" s="53"/>
      <c r="B351" s="53"/>
      <c r="C351" s="53"/>
      <c r="D351" s="53"/>
      <c r="E351" s="53"/>
      <c r="F351" s="43"/>
      <c r="G351" s="43"/>
      <c r="H351" s="43"/>
      <c r="I351" s="43"/>
      <c r="J351" s="43"/>
      <c r="K351" s="43"/>
      <c r="L351" s="43"/>
      <c r="N351" s="56"/>
    </row>
    <row r="352" spans="1:14" s="42" customFormat="1" ht="24.95" customHeight="1" thickBot="1" x14ac:dyDescent="0.3">
      <c r="A352" s="232" t="s">
        <v>214</v>
      </c>
      <c r="B352" s="233"/>
      <c r="C352" s="233"/>
      <c r="D352" s="233"/>
      <c r="E352" s="233"/>
      <c r="F352" s="233"/>
      <c r="G352" s="233"/>
      <c r="H352" s="233"/>
      <c r="I352" s="233"/>
      <c r="J352" s="233"/>
      <c r="K352" s="233"/>
      <c r="L352" s="234"/>
      <c r="N352" s="56"/>
    </row>
    <row r="353" spans="1:14" s="56" customFormat="1" ht="30" customHeight="1" x14ac:dyDescent="0.25">
      <c r="A353" s="88">
        <f>+A349+1</f>
        <v>189</v>
      </c>
      <c r="B353" s="121" t="s">
        <v>356</v>
      </c>
      <c r="C353" s="39" t="s">
        <v>441</v>
      </c>
      <c r="D353" s="121" t="s">
        <v>23</v>
      </c>
      <c r="E353" s="121" t="s">
        <v>125</v>
      </c>
      <c r="F353" s="123">
        <v>40000</v>
      </c>
      <c r="G353" s="123">
        <f>F353*2.87%</f>
        <v>1148</v>
      </c>
      <c r="H353" s="90">
        <f>+F353*3.04%</f>
        <v>1216</v>
      </c>
      <c r="I353" s="90">
        <v>215.782375</v>
      </c>
      <c r="J353" s="92">
        <v>1637.45</v>
      </c>
      <c r="K353" s="85">
        <f>SUM(G353:J353)</f>
        <v>4217.2323749999996</v>
      </c>
      <c r="L353" s="92">
        <f>+F353-K353</f>
        <v>35782.767625</v>
      </c>
      <c r="M353" s="42"/>
    </row>
    <row r="354" spans="1:14" s="56" customFormat="1" ht="30" customHeight="1" x14ac:dyDescent="0.25">
      <c r="A354" s="229" t="s">
        <v>128</v>
      </c>
      <c r="B354" s="230"/>
      <c r="C354" s="230"/>
      <c r="D354" s="230"/>
      <c r="E354" s="231"/>
      <c r="F354" s="40">
        <f>SUM(F353:F353)</f>
        <v>40000</v>
      </c>
      <c r="G354" s="40">
        <f t="shared" ref="G354:L354" si="107">SUM(G353:G353)</f>
        <v>1148</v>
      </c>
      <c r="H354" s="40">
        <f t="shared" si="107"/>
        <v>1216</v>
      </c>
      <c r="I354" s="40">
        <f t="shared" si="107"/>
        <v>215.782375</v>
      </c>
      <c r="J354" s="40">
        <f t="shared" si="107"/>
        <v>1637.45</v>
      </c>
      <c r="K354" s="40">
        <f t="shared" si="107"/>
        <v>4217.2323749999996</v>
      </c>
      <c r="L354" s="40">
        <f t="shared" si="107"/>
        <v>35782.767625</v>
      </c>
      <c r="M354" s="42"/>
    </row>
    <row r="355" spans="1:14" s="42" customFormat="1" ht="22.5" customHeight="1" thickBot="1" x14ac:dyDescent="0.3">
      <c r="A355" s="53"/>
      <c r="B355" s="53"/>
      <c r="C355" s="53"/>
      <c r="D355" s="53"/>
      <c r="E355" s="53"/>
      <c r="F355" s="43"/>
      <c r="G355" s="43"/>
      <c r="H355" s="43"/>
      <c r="I355" s="43"/>
      <c r="J355" s="43"/>
      <c r="K355" s="43"/>
      <c r="L355" s="43"/>
      <c r="N355" s="56"/>
    </row>
    <row r="356" spans="1:14" s="42" customFormat="1" ht="22.5" customHeight="1" thickBot="1" x14ac:dyDescent="0.3">
      <c r="A356" s="232" t="s">
        <v>215</v>
      </c>
      <c r="B356" s="233"/>
      <c r="C356" s="233"/>
      <c r="D356" s="233"/>
      <c r="E356" s="233"/>
      <c r="F356" s="233"/>
      <c r="G356" s="233"/>
      <c r="H356" s="233"/>
      <c r="I356" s="233"/>
      <c r="J356" s="233"/>
      <c r="K356" s="233"/>
      <c r="L356" s="234"/>
      <c r="N356" s="56"/>
    </row>
    <row r="357" spans="1:14" s="42" customFormat="1" ht="22.5" customHeight="1" x14ac:dyDescent="0.25">
      <c r="A357" s="88">
        <f>+A353+1</f>
        <v>190</v>
      </c>
      <c r="B357" s="121" t="s">
        <v>86</v>
      </c>
      <c r="C357" s="39" t="s">
        <v>441</v>
      </c>
      <c r="D357" s="121" t="s">
        <v>108</v>
      </c>
      <c r="E357" s="121" t="s">
        <v>124</v>
      </c>
      <c r="F357" s="123">
        <v>60000</v>
      </c>
      <c r="G357" s="90">
        <f>F357*2.87%</f>
        <v>1722</v>
      </c>
      <c r="H357" s="90">
        <f>+F357*3.04%</f>
        <v>1824</v>
      </c>
      <c r="I357" s="90">
        <v>3184.159833333335</v>
      </c>
      <c r="J357" s="92">
        <v>1537.45</v>
      </c>
      <c r="K357" s="85">
        <f t="shared" ref="K357" si="108">SUM(G357:J357)</f>
        <v>8267.6098333333357</v>
      </c>
      <c r="L357" s="92">
        <f>+F357-K357</f>
        <v>51732.390166666664</v>
      </c>
      <c r="N357" s="56"/>
    </row>
    <row r="358" spans="1:14" s="42" customFormat="1" ht="29.25" customHeight="1" x14ac:dyDescent="0.25">
      <c r="A358" s="229" t="s">
        <v>128</v>
      </c>
      <c r="B358" s="230"/>
      <c r="C358" s="230"/>
      <c r="D358" s="230"/>
      <c r="E358" s="231"/>
      <c r="F358" s="40">
        <f>SUM(F357:F357)</f>
        <v>60000</v>
      </c>
      <c r="G358" s="40">
        <f t="shared" ref="G358:L358" si="109">SUM(G357:G357)</f>
        <v>1722</v>
      </c>
      <c r="H358" s="40">
        <f t="shared" si="109"/>
        <v>1824</v>
      </c>
      <c r="I358" s="40">
        <f t="shared" si="109"/>
        <v>3184.159833333335</v>
      </c>
      <c r="J358" s="40">
        <f t="shared" si="109"/>
        <v>1537.45</v>
      </c>
      <c r="K358" s="40">
        <f t="shared" si="109"/>
        <v>8267.6098333333357</v>
      </c>
      <c r="L358" s="40">
        <f t="shared" si="109"/>
        <v>51732.390166666664</v>
      </c>
      <c r="N358" s="56"/>
    </row>
    <row r="359" spans="1:14" s="42" customFormat="1" ht="29.25" customHeight="1" thickBot="1" x14ac:dyDescent="0.3">
      <c r="A359" s="53"/>
      <c r="B359" s="53"/>
      <c r="C359" s="53"/>
      <c r="D359" s="53"/>
      <c r="E359" s="53"/>
      <c r="F359" s="43"/>
      <c r="G359" s="43"/>
      <c r="H359" s="43"/>
      <c r="I359" s="43"/>
      <c r="J359" s="43"/>
      <c r="K359" s="43"/>
      <c r="L359" s="43"/>
      <c r="N359" s="56"/>
    </row>
    <row r="360" spans="1:14" s="42" customFormat="1" ht="24.95" customHeight="1" thickBot="1" x14ac:dyDescent="0.3">
      <c r="A360" s="232" t="s">
        <v>235</v>
      </c>
      <c r="B360" s="233"/>
      <c r="C360" s="233"/>
      <c r="D360" s="233"/>
      <c r="E360" s="233"/>
      <c r="F360" s="233"/>
      <c r="G360" s="233"/>
      <c r="H360" s="233"/>
      <c r="I360" s="233"/>
      <c r="J360" s="233"/>
      <c r="K360" s="233"/>
      <c r="L360" s="234"/>
      <c r="N360" s="56"/>
    </row>
    <row r="361" spans="1:14" s="56" customFormat="1" ht="30" customHeight="1" x14ac:dyDescent="0.25">
      <c r="A361" s="83">
        <f>+A357+1</f>
        <v>191</v>
      </c>
      <c r="B361" s="126" t="s">
        <v>42</v>
      </c>
      <c r="C361" s="136" t="s">
        <v>442</v>
      </c>
      <c r="D361" s="163" t="s">
        <v>556</v>
      </c>
      <c r="E361" s="126" t="s">
        <v>124</v>
      </c>
      <c r="F361" s="120">
        <v>135000</v>
      </c>
      <c r="G361" s="85">
        <f>F361*2.87%</f>
        <v>3874.5</v>
      </c>
      <c r="H361" s="85">
        <f>+F361*3.04%</f>
        <v>4104</v>
      </c>
      <c r="I361" s="123">
        <v>20338.312291666665</v>
      </c>
      <c r="J361" s="92">
        <v>125</v>
      </c>
      <c r="K361" s="120">
        <f>SUM(G361:J361)</f>
        <v>28441.812291666665</v>
      </c>
      <c r="L361" s="92">
        <f>+F361-K361</f>
        <v>106558.18770833334</v>
      </c>
      <c r="M361" s="42"/>
    </row>
    <row r="362" spans="1:14" s="56" customFormat="1" ht="30" customHeight="1" x14ac:dyDescent="0.25">
      <c r="A362" s="39">
        <f>+A361+1</f>
        <v>192</v>
      </c>
      <c r="B362" s="121" t="s">
        <v>104</v>
      </c>
      <c r="C362" s="39" t="s">
        <v>441</v>
      </c>
      <c r="D362" s="121" t="s">
        <v>99</v>
      </c>
      <c r="E362" s="121" t="s">
        <v>125</v>
      </c>
      <c r="F362" s="123">
        <v>70000</v>
      </c>
      <c r="G362" s="123">
        <f t="shared" ref="G362" si="110">F362*2.87%</f>
        <v>2009</v>
      </c>
      <c r="H362" s="123">
        <f t="shared" ref="H362" si="111">+F362*3.04%</f>
        <v>2128</v>
      </c>
      <c r="I362" s="123">
        <v>5065.9598333333352</v>
      </c>
      <c r="J362" s="124">
        <f>8581.88+100</f>
        <v>8681.8799999999992</v>
      </c>
      <c r="K362" s="120">
        <f t="shared" ref="K362" si="112">SUM(G362:J362)</f>
        <v>17884.839833333332</v>
      </c>
      <c r="L362" s="124">
        <f t="shared" ref="L362" si="113">+F362-K362</f>
        <v>52115.160166666668</v>
      </c>
      <c r="M362" s="42"/>
    </row>
    <row r="363" spans="1:14" s="42" customFormat="1" ht="30" customHeight="1" thickBot="1" x14ac:dyDescent="0.3">
      <c r="A363" s="229" t="s">
        <v>128</v>
      </c>
      <c r="B363" s="230"/>
      <c r="C363" s="230"/>
      <c r="D363" s="230"/>
      <c r="E363" s="231"/>
      <c r="F363" s="40">
        <f>SUM(F361:F362)</f>
        <v>205000</v>
      </c>
      <c r="G363" s="40">
        <f t="shared" ref="G363:L363" si="114">SUM(G361:G362)</f>
        <v>5883.5</v>
      </c>
      <c r="H363" s="40">
        <f t="shared" si="114"/>
        <v>6232</v>
      </c>
      <c r="I363" s="40">
        <f t="shared" si="114"/>
        <v>25404.272125</v>
      </c>
      <c r="J363" s="40">
        <f t="shared" si="114"/>
        <v>8806.8799999999992</v>
      </c>
      <c r="K363" s="40">
        <f t="shared" si="114"/>
        <v>46326.652124999993</v>
      </c>
      <c r="L363" s="40">
        <f t="shared" si="114"/>
        <v>158673.34787500001</v>
      </c>
      <c r="N363" s="56"/>
    </row>
    <row r="364" spans="1:14" s="42" customFormat="1" ht="30" customHeight="1" thickBot="1" x14ac:dyDescent="0.3">
      <c r="A364" s="251" t="s">
        <v>357</v>
      </c>
      <c r="B364" s="252"/>
      <c r="C364" s="252"/>
      <c r="D364" s="252"/>
      <c r="E364" s="252"/>
      <c r="F364" s="252"/>
      <c r="G364" s="252"/>
      <c r="H364" s="252"/>
      <c r="I364" s="252"/>
      <c r="J364" s="252"/>
      <c r="K364" s="252"/>
      <c r="L364" s="253"/>
      <c r="N364" s="56"/>
    </row>
    <row r="365" spans="1:14" s="42" customFormat="1" ht="27.75" customHeight="1" x14ac:dyDescent="0.25">
      <c r="A365" s="88">
        <f>+A362+1</f>
        <v>193</v>
      </c>
      <c r="B365" s="121" t="s">
        <v>444</v>
      </c>
      <c r="C365" s="39" t="s">
        <v>441</v>
      </c>
      <c r="D365" s="127" t="s">
        <v>358</v>
      </c>
      <c r="E365" s="121" t="s">
        <v>237</v>
      </c>
      <c r="F365" s="123">
        <v>35000</v>
      </c>
      <c r="G365" s="90">
        <f>F365*2.87%</f>
        <v>1004.5</v>
      </c>
      <c r="H365" s="90">
        <f>+F365*3.04%</f>
        <v>1064</v>
      </c>
      <c r="I365" s="90"/>
      <c r="J365" s="92">
        <v>25</v>
      </c>
      <c r="K365" s="120">
        <f>SUM(G365:J365)</f>
        <v>2093.5</v>
      </c>
      <c r="L365" s="86">
        <f>+F365-K365</f>
        <v>32906.5</v>
      </c>
      <c r="N365" s="56"/>
    </row>
    <row r="366" spans="1:14" s="42" customFormat="1" ht="27.75" customHeight="1" x14ac:dyDescent="0.25">
      <c r="A366" s="88">
        <f>+A365+1</f>
        <v>194</v>
      </c>
      <c r="B366" s="121" t="s">
        <v>359</v>
      </c>
      <c r="C366" s="39" t="s">
        <v>441</v>
      </c>
      <c r="D366" s="121" t="s">
        <v>358</v>
      </c>
      <c r="E366" s="121" t="s">
        <v>237</v>
      </c>
      <c r="F366" s="123">
        <v>35000</v>
      </c>
      <c r="G366" s="90">
        <f t="shared" ref="G366:G367" si="115">F366*2.87%</f>
        <v>1004.5</v>
      </c>
      <c r="H366" s="90">
        <f t="shared" ref="H366:H367" si="116">+F366*3.04%</f>
        <v>1064</v>
      </c>
      <c r="I366" s="90"/>
      <c r="J366" s="92">
        <v>3025</v>
      </c>
      <c r="K366" s="85">
        <f t="shared" ref="K366:K367" si="117">SUM(G366:J366)</f>
        <v>5093.5</v>
      </c>
      <c r="L366" s="92">
        <f t="shared" ref="L366:L367" si="118">+F366-K366</f>
        <v>29906.5</v>
      </c>
      <c r="N366" s="56"/>
    </row>
    <row r="367" spans="1:14" s="56" customFormat="1" ht="30" customHeight="1" x14ac:dyDescent="0.25">
      <c r="A367" s="88">
        <f>+A366+1</f>
        <v>195</v>
      </c>
      <c r="B367" s="121" t="s">
        <v>360</v>
      </c>
      <c r="C367" s="39" t="s">
        <v>441</v>
      </c>
      <c r="D367" s="121" t="s">
        <v>358</v>
      </c>
      <c r="E367" s="121" t="s">
        <v>237</v>
      </c>
      <c r="F367" s="123">
        <v>35000</v>
      </c>
      <c r="G367" s="90">
        <f t="shared" si="115"/>
        <v>1004.5</v>
      </c>
      <c r="H367" s="90">
        <f t="shared" si="116"/>
        <v>1064</v>
      </c>
      <c r="I367" s="90"/>
      <c r="J367" s="92">
        <v>25</v>
      </c>
      <c r="K367" s="85">
        <f t="shared" si="117"/>
        <v>2093.5</v>
      </c>
      <c r="L367" s="92">
        <f t="shared" si="118"/>
        <v>32906.5</v>
      </c>
      <c r="M367" s="42"/>
    </row>
    <row r="368" spans="1:14" s="42" customFormat="1" ht="30" customHeight="1" x14ac:dyDescent="0.25">
      <c r="A368" s="229" t="s">
        <v>128</v>
      </c>
      <c r="B368" s="230"/>
      <c r="C368" s="230"/>
      <c r="D368" s="230"/>
      <c r="E368" s="231"/>
      <c r="F368" s="40">
        <f t="shared" ref="F368:L368" si="119">SUM(F365:F367)</f>
        <v>105000</v>
      </c>
      <c r="G368" s="40">
        <f t="shared" si="119"/>
        <v>3013.5</v>
      </c>
      <c r="H368" s="40">
        <f t="shared" si="119"/>
        <v>3192</v>
      </c>
      <c r="I368" s="40">
        <f t="shared" si="119"/>
        <v>0</v>
      </c>
      <c r="J368" s="40">
        <f t="shared" si="119"/>
        <v>3075</v>
      </c>
      <c r="K368" s="40">
        <f t="shared" si="119"/>
        <v>9280.5</v>
      </c>
      <c r="L368" s="40">
        <f t="shared" si="119"/>
        <v>95719.5</v>
      </c>
      <c r="N368" s="56"/>
    </row>
    <row r="369" spans="1:14" s="42" customFormat="1" ht="30" customHeight="1" thickBot="1" x14ac:dyDescent="0.3">
      <c r="A369" s="53"/>
      <c r="B369" s="53"/>
      <c r="C369" s="53"/>
      <c r="D369" s="53"/>
      <c r="E369" s="53"/>
      <c r="F369" s="43"/>
      <c r="G369" s="43"/>
      <c r="H369" s="43"/>
      <c r="I369" s="43"/>
      <c r="J369" s="43"/>
      <c r="K369" s="43"/>
      <c r="L369" s="43"/>
      <c r="N369" s="56"/>
    </row>
    <row r="370" spans="1:14" s="42" customFormat="1" ht="27.75" customHeight="1" thickBot="1" x14ac:dyDescent="0.3">
      <c r="A370" s="251" t="s">
        <v>217</v>
      </c>
      <c r="B370" s="252"/>
      <c r="C370" s="252"/>
      <c r="D370" s="252"/>
      <c r="E370" s="252"/>
      <c r="F370" s="252"/>
      <c r="G370" s="252"/>
      <c r="H370" s="252"/>
      <c r="I370" s="252"/>
      <c r="J370" s="252"/>
      <c r="K370" s="252"/>
      <c r="L370" s="253"/>
      <c r="N370" s="56"/>
    </row>
    <row r="371" spans="1:14" s="42" customFormat="1" ht="30" customHeight="1" x14ac:dyDescent="0.25">
      <c r="A371" s="88">
        <f>+A367+1</f>
        <v>196</v>
      </c>
      <c r="B371" s="89" t="s">
        <v>216</v>
      </c>
      <c r="C371" s="88" t="s">
        <v>441</v>
      </c>
      <c r="D371" s="89" t="s">
        <v>218</v>
      </c>
      <c r="E371" s="89" t="s">
        <v>237</v>
      </c>
      <c r="F371" s="90">
        <v>25550</v>
      </c>
      <c r="G371" s="90">
        <f>F371*2.87%</f>
        <v>733.28499999999997</v>
      </c>
      <c r="H371" s="90">
        <f>+F371*3.04%</f>
        <v>776.72</v>
      </c>
      <c r="I371" s="90"/>
      <c r="J371" s="92">
        <v>25</v>
      </c>
      <c r="K371" s="85">
        <f t="shared" ref="K371" si="120">SUM(G371:J371)</f>
        <v>1535.0050000000001</v>
      </c>
      <c r="L371" s="92">
        <f>+F371-K371</f>
        <v>24014.994999999999</v>
      </c>
      <c r="N371" s="56"/>
    </row>
    <row r="372" spans="1:14" s="87" customFormat="1" ht="30" customHeight="1" x14ac:dyDescent="0.25">
      <c r="A372" s="174">
        <f>+A371+1</f>
        <v>197</v>
      </c>
      <c r="B372" s="127" t="s">
        <v>506</v>
      </c>
      <c r="C372" s="39" t="s">
        <v>441</v>
      </c>
      <c r="D372" s="121" t="s">
        <v>218</v>
      </c>
      <c r="E372" s="121" t="s">
        <v>237</v>
      </c>
      <c r="F372" s="123">
        <v>25550</v>
      </c>
      <c r="G372" s="90">
        <f>F372*2.87%</f>
        <v>733.28499999999997</v>
      </c>
      <c r="H372" s="90">
        <f>+F372*3.04%</f>
        <v>776.72</v>
      </c>
      <c r="I372" s="90"/>
      <c r="J372" s="92">
        <v>25</v>
      </c>
      <c r="K372" s="85">
        <f t="shared" ref="K372" si="121">SUM(G372:J372)</f>
        <v>1535.0050000000001</v>
      </c>
      <c r="L372" s="92">
        <f>+F372-K372</f>
        <v>24014.994999999999</v>
      </c>
      <c r="M372" s="35"/>
    </row>
    <row r="373" spans="1:14" s="87" customFormat="1" ht="30" customHeight="1" x14ac:dyDescent="0.25">
      <c r="A373" s="229" t="s">
        <v>128</v>
      </c>
      <c r="B373" s="230"/>
      <c r="C373" s="230"/>
      <c r="D373" s="230"/>
      <c r="E373" s="231"/>
      <c r="F373" s="40">
        <f>SUM(F371:F372)</f>
        <v>51100</v>
      </c>
      <c r="G373" s="40">
        <f t="shared" ref="G373:L373" si="122">SUM(G371:G372)</f>
        <v>1466.57</v>
      </c>
      <c r="H373" s="40">
        <f t="shared" si="122"/>
        <v>1553.44</v>
      </c>
      <c r="I373" s="40">
        <f t="shared" si="122"/>
        <v>0</v>
      </c>
      <c r="J373" s="40">
        <f t="shared" si="122"/>
        <v>50</v>
      </c>
      <c r="K373" s="40">
        <f t="shared" si="122"/>
        <v>3070.01</v>
      </c>
      <c r="L373" s="40">
        <f t="shared" si="122"/>
        <v>48029.99</v>
      </c>
      <c r="M373" s="35"/>
    </row>
    <row r="374" spans="1:14" s="87" customFormat="1" ht="30" customHeight="1" thickBot="1" x14ac:dyDescent="0.3">
      <c r="A374" s="53"/>
      <c r="B374" s="53"/>
      <c r="C374" s="53"/>
      <c r="D374" s="53"/>
      <c r="E374" s="53"/>
      <c r="F374" s="43"/>
      <c r="G374" s="43"/>
      <c r="H374" s="43"/>
      <c r="I374" s="43"/>
      <c r="J374" s="43"/>
      <c r="K374" s="43"/>
      <c r="L374" s="43"/>
      <c r="M374" s="35"/>
    </row>
    <row r="375" spans="1:14" s="56" customFormat="1" ht="30" customHeight="1" thickBot="1" x14ac:dyDescent="0.3">
      <c r="A375" s="232" t="s">
        <v>183</v>
      </c>
      <c r="B375" s="233"/>
      <c r="C375" s="233"/>
      <c r="D375" s="233"/>
      <c r="E375" s="233"/>
      <c r="F375" s="233"/>
      <c r="G375" s="233"/>
      <c r="H375" s="233"/>
      <c r="I375" s="233"/>
      <c r="J375" s="233"/>
      <c r="K375" s="233"/>
      <c r="L375" s="234"/>
      <c r="M375" s="42"/>
    </row>
    <row r="376" spans="1:14" s="56" customFormat="1" ht="30" customHeight="1" x14ac:dyDescent="0.25">
      <c r="A376" s="83">
        <f>+A372+1</f>
        <v>198</v>
      </c>
      <c r="B376" s="126" t="s">
        <v>361</v>
      </c>
      <c r="C376" s="136" t="s">
        <v>442</v>
      </c>
      <c r="D376" s="137" t="s">
        <v>111</v>
      </c>
      <c r="E376" s="121" t="s">
        <v>125</v>
      </c>
      <c r="F376" s="120">
        <v>77000</v>
      </c>
      <c r="G376" s="85">
        <f t="shared" ref="G376:G394" si="123">F376*2.87%</f>
        <v>2209.9</v>
      </c>
      <c r="H376" s="85">
        <f>+F376*3.04%</f>
        <v>2340.8000000000002</v>
      </c>
      <c r="I376" s="85">
        <v>6695.2622916666687</v>
      </c>
      <c r="J376" s="92">
        <v>125</v>
      </c>
      <c r="K376" s="120">
        <f>SUM(G376:J376)</f>
        <v>11370.96229166667</v>
      </c>
      <c r="L376" s="92">
        <f t="shared" ref="L376:L394" si="124">+F376-K376</f>
        <v>65629.03770833333</v>
      </c>
      <c r="M376" s="42"/>
    </row>
    <row r="377" spans="1:14" s="42" customFormat="1" ht="30" customHeight="1" x14ac:dyDescent="0.25">
      <c r="A377" s="83">
        <f t="shared" ref="A377:A394" si="125">+A376+1</f>
        <v>199</v>
      </c>
      <c r="B377" s="121" t="s">
        <v>45</v>
      </c>
      <c r="C377" s="39" t="s">
        <v>442</v>
      </c>
      <c r="D377" s="140" t="s">
        <v>240</v>
      </c>
      <c r="E377" s="121" t="s">
        <v>125</v>
      </c>
      <c r="F377" s="123">
        <v>50000</v>
      </c>
      <c r="G377" s="90">
        <f t="shared" si="123"/>
        <v>1435</v>
      </c>
      <c r="H377" s="85">
        <f t="shared" ref="H377:H394" si="126">+F377*3.04%</f>
        <v>1520</v>
      </c>
      <c r="I377" s="90">
        <v>1854</v>
      </c>
      <c r="J377" s="92">
        <f>4541.53+25+100</f>
        <v>4666.53</v>
      </c>
      <c r="K377" s="120">
        <f t="shared" ref="K377" si="127">SUM(G377:J377)</f>
        <v>9475.5299999999988</v>
      </c>
      <c r="L377" s="92">
        <f t="shared" si="124"/>
        <v>40524.47</v>
      </c>
      <c r="N377" s="56"/>
    </row>
    <row r="378" spans="1:14" s="56" customFormat="1" ht="30" customHeight="1" x14ac:dyDescent="0.25">
      <c r="A378" s="83">
        <f>+A377+1</f>
        <v>200</v>
      </c>
      <c r="B378" s="121" t="s">
        <v>363</v>
      </c>
      <c r="C378" s="39" t="s">
        <v>441</v>
      </c>
      <c r="D378" s="121" t="s">
        <v>364</v>
      </c>
      <c r="E378" s="121" t="s">
        <v>125</v>
      </c>
      <c r="F378" s="123">
        <v>45000</v>
      </c>
      <c r="G378" s="90">
        <f t="shared" si="123"/>
        <v>1291.5</v>
      </c>
      <c r="H378" s="85">
        <f t="shared" si="126"/>
        <v>1368</v>
      </c>
      <c r="I378" s="90">
        <v>1148.3248749999998</v>
      </c>
      <c r="J378" s="92">
        <v>4715.26</v>
      </c>
      <c r="K378" s="120">
        <f>SUM(G378:J378)</f>
        <v>8523.0848750000005</v>
      </c>
      <c r="L378" s="92">
        <f t="shared" si="124"/>
        <v>36476.915125</v>
      </c>
      <c r="M378" s="42"/>
    </row>
    <row r="379" spans="1:14" s="87" customFormat="1" ht="30" customHeight="1" x14ac:dyDescent="0.25">
      <c r="A379" s="83">
        <f t="shared" si="125"/>
        <v>201</v>
      </c>
      <c r="B379" s="121" t="s">
        <v>365</v>
      </c>
      <c r="C379" s="39" t="s">
        <v>441</v>
      </c>
      <c r="D379" s="121" t="s">
        <v>364</v>
      </c>
      <c r="E379" s="121" t="s">
        <v>125</v>
      </c>
      <c r="F379" s="123">
        <v>45000</v>
      </c>
      <c r="G379" s="90">
        <f t="shared" si="123"/>
        <v>1291.5</v>
      </c>
      <c r="H379" s="85">
        <f t="shared" si="126"/>
        <v>1368</v>
      </c>
      <c r="I379" s="90">
        <v>921.4573750000003</v>
      </c>
      <c r="J379" s="92">
        <f>3199.8+25+100+1512.45</f>
        <v>4837.25</v>
      </c>
      <c r="K379" s="120">
        <f>SUM(G379:J379)</f>
        <v>8418.207375</v>
      </c>
      <c r="L379" s="92">
        <f t="shared" si="124"/>
        <v>36581.792625000002</v>
      </c>
      <c r="M379" s="35"/>
    </row>
    <row r="380" spans="1:14" s="87" customFormat="1" ht="30" customHeight="1" x14ac:dyDescent="0.25">
      <c r="A380" s="83">
        <f t="shared" si="125"/>
        <v>202</v>
      </c>
      <c r="B380" s="121" t="s">
        <v>8</v>
      </c>
      <c r="C380" s="39" t="s">
        <v>442</v>
      </c>
      <c r="D380" s="121" t="s">
        <v>366</v>
      </c>
      <c r="E380" s="121" t="s">
        <v>125</v>
      </c>
      <c r="F380" s="123">
        <v>45000</v>
      </c>
      <c r="G380" s="90">
        <f t="shared" si="123"/>
        <v>1291.5</v>
      </c>
      <c r="H380" s="85">
        <f t="shared" si="126"/>
        <v>1368</v>
      </c>
      <c r="I380" s="90">
        <v>921.46</v>
      </c>
      <c r="J380" s="86">
        <v>1637.45</v>
      </c>
      <c r="K380" s="120">
        <f>SUM(G380:J380)</f>
        <v>5218.41</v>
      </c>
      <c r="L380" s="92">
        <f t="shared" si="124"/>
        <v>39781.589999999997</v>
      </c>
      <c r="M380" s="35"/>
    </row>
    <row r="381" spans="1:14" s="87" customFormat="1" ht="30" customHeight="1" x14ac:dyDescent="0.25">
      <c r="A381" s="83">
        <f t="shared" si="125"/>
        <v>203</v>
      </c>
      <c r="B381" s="121" t="s">
        <v>44</v>
      </c>
      <c r="C381" s="39" t="s">
        <v>442</v>
      </c>
      <c r="D381" s="121" t="s">
        <v>366</v>
      </c>
      <c r="E381" s="121" t="s">
        <v>125</v>
      </c>
      <c r="F381" s="123">
        <v>45000</v>
      </c>
      <c r="G381" s="90">
        <f>F381*2.87%</f>
        <v>1291.5</v>
      </c>
      <c r="H381" s="85">
        <f t="shared" si="126"/>
        <v>1368</v>
      </c>
      <c r="I381" s="90">
        <v>1148.32</v>
      </c>
      <c r="J381" s="86">
        <v>125</v>
      </c>
      <c r="K381" s="120">
        <f t="shared" ref="K381" si="128">SUM(G381:J381)</f>
        <v>3932.8199999999997</v>
      </c>
      <c r="L381" s="92">
        <f t="shared" si="124"/>
        <v>41067.18</v>
      </c>
      <c r="M381" s="35"/>
    </row>
    <row r="382" spans="1:14" s="87" customFormat="1" ht="30" customHeight="1" x14ac:dyDescent="0.25">
      <c r="A382" s="83">
        <f>+A381+1</f>
        <v>204</v>
      </c>
      <c r="B382" s="121" t="s">
        <v>373</v>
      </c>
      <c r="C382" s="39" t="s">
        <v>442</v>
      </c>
      <c r="D382" s="121" t="s">
        <v>364</v>
      </c>
      <c r="E382" s="121" t="s">
        <v>125</v>
      </c>
      <c r="F382" s="123">
        <v>45000</v>
      </c>
      <c r="G382" s="90">
        <f>F382*2.87%</f>
        <v>1291.5</v>
      </c>
      <c r="H382" s="85">
        <f t="shared" si="126"/>
        <v>1368</v>
      </c>
      <c r="I382" s="85">
        <v>1148.3248749999998</v>
      </c>
      <c r="J382" s="92">
        <v>125</v>
      </c>
      <c r="K382" s="85">
        <f>SUM(G382:J382)</f>
        <v>3932.8248749999998</v>
      </c>
      <c r="L382" s="92">
        <f>+F382-K382</f>
        <v>41067.175125000002</v>
      </c>
      <c r="M382" s="35"/>
    </row>
    <row r="383" spans="1:14" s="87" customFormat="1" ht="30" customHeight="1" x14ac:dyDescent="0.25">
      <c r="A383" s="83">
        <f t="shared" si="125"/>
        <v>205</v>
      </c>
      <c r="B383" s="121" t="s">
        <v>367</v>
      </c>
      <c r="C383" s="39" t="s">
        <v>441</v>
      </c>
      <c r="D383" s="121" t="s">
        <v>364</v>
      </c>
      <c r="E383" s="121" t="s">
        <v>125</v>
      </c>
      <c r="F383" s="123">
        <v>45000</v>
      </c>
      <c r="G383" s="90">
        <f t="shared" si="123"/>
        <v>1291.5</v>
      </c>
      <c r="H383" s="85">
        <f t="shared" si="126"/>
        <v>1368</v>
      </c>
      <c r="I383" s="90">
        <v>1148.3248749999998</v>
      </c>
      <c r="J383" s="92">
        <f>10180.83+25+100</f>
        <v>10305.83</v>
      </c>
      <c r="K383" s="120">
        <f>SUM(G383:J383)</f>
        <v>14113.654875</v>
      </c>
      <c r="L383" s="92">
        <f t="shared" si="124"/>
        <v>30886.345125</v>
      </c>
      <c r="M383" s="35"/>
    </row>
    <row r="384" spans="1:14" s="56" customFormat="1" ht="30" customHeight="1" x14ac:dyDescent="0.25">
      <c r="A384" s="83">
        <f t="shared" si="125"/>
        <v>206</v>
      </c>
      <c r="B384" s="126" t="s">
        <v>369</v>
      </c>
      <c r="C384" s="136" t="s">
        <v>442</v>
      </c>
      <c r="D384" s="126" t="s">
        <v>364</v>
      </c>
      <c r="E384" s="126" t="s">
        <v>125</v>
      </c>
      <c r="F384" s="120">
        <v>45000</v>
      </c>
      <c r="G384" s="90">
        <f>F384*2.87%</f>
        <v>1291.5</v>
      </c>
      <c r="H384" s="85">
        <f t="shared" si="126"/>
        <v>1368</v>
      </c>
      <c r="I384" s="90">
        <v>694.59</v>
      </c>
      <c r="J384" s="86">
        <v>4149.8999999999996</v>
      </c>
      <c r="K384" s="85">
        <f>SUM(G384:J384)</f>
        <v>7503.99</v>
      </c>
      <c r="L384" s="92">
        <f>+F384-K384</f>
        <v>37496.01</v>
      </c>
      <c r="M384" s="42"/>
    </row>
    <row r="385" spans="1:14" s="35" customFormat="1" ht="25.5" customHeight="1" x14ac:dyDescent="0.25">
      <c r="A385" s="83">
        <f t="shared" si="125"/>
        <v>207</v>
      </c>
      <c r="B385" s="121" t="s">
        <v>370</v>
      </c>
      <c r="C385" s="39" t="s">
        <v>442</v>
      </c>
      <c r="D385" s="121" t="s">
        <v>364</v>
      </c>
      <c r="E385" s="121" t="s">
        <v>125</v>
      </c>
      <c r="F385" s="123">
        <v>45000</v>
      </c>
      <c r="G385" s="90">
        <f>F385*2.87%</f>
        <v>1291.5</v>
      </c>
      <c r="H385" s="85">
        <f t="shared" si="126"/>
        <v>1368</v>
      </c>
      <c r="I385" s="90">
        <v>921.45</v>
      </c>
      <c r="J385" s="92">
        <v>1637.45</v>
      </c>
      <c r="K385" s="85">
        <f t="shared" ref="K385" si="129">SUM(G385:J385)</f>
        <v>5218.3999999999996</v>
      </c>
      <c r="L385" s="92">
        <f>+F385-K385</f>
        <v>39781.599999999999</v>
      </c>
      <c r="N385" s="87"/>
    </row>
    <row r="386" spans="1:14" s="87" customFormat="1" ht="30" customHeight="1" x14ac:dyDescent="0.25">
      <c r="A386" s="83">
        <f t="shared" si="125"/>
        <v>208</v>
      </c>
      <c r="B386" s="121" t="s">
        <v>371</v>
      </c>
      <c r="C386" s="39" t="s">
        <v>442</v>
      </c>
      <c r="D386" s="121" t="s">
        <v>364</v>
      </c>
      <c r="E386" s="121" t="s">
        <v>125</v>
      </c>
      <c r="F386" s="123">
        <v>45000</v>
      </c>
      <c r="G386" s="90">
        <f>F386*2.87%</f>
        <v>1291.5</v>
      </c>
      <c r="H386" s="85">
        <f t="shared" si="126"/>
        <v>1368</v>
      </c>
      <c r="I386" s="90">
        <v>1148.3248749999998</v>
      </c>
      <c r="J386" s="92">
        <v>1991.65</v>
      </c>
      <c r="K386" s="85">
        <f>SUM(G386:J386)</f>
        <v>5799.4748749999999</v>
      </c>
      <c r="L386" s="92">
        <f>+F386-K386</f>
        <v>39200.525125</v>
      </c>
      <c r="M386" s="35"/>
    </row>
    <row r="387" spans="1:14" s="87" customFormat="1" ht="30" customHeight="1" x14ac:dyDescent="0.25">
      <c r="A387" s="83">
        <f t="shared" si="125"/>
        <v>209</v>
      </c>
      <c r="B387" s="121" t="s">
        <v>43</v>
      </c>
      <c r="C387" s="39" t="s">
        <v>442</v>
      </c>
      <c r="D387" s="121" t="s">
        <v>364</v>
      </c>
      <c r="E387" s="121" t="s">
        <v>125</v>
      </c>
      <c r="F387" s="123">
        <v>45000</v>
      </c>
      <c r="G387" s="90">
        <f>F387*2.87%</f>
        <v>1291.5</v>
      </c>
      <c r="H387" s="85">
        <f t="shared" si="126"/>
        <v>1368</v>
      </c>
      <c r="I387" s="90">
        <v>1148.32</v>
      </c>
      <c r="J387" s="92">
        <v>125</v>
      </c>
      <c r="K387" s="85">
        <f>SUM(G387:J387)</f>
        <v>3932.8199999999997</v>
      </c>
      <c r="L387" s="92">
        <f>+F387-K387</f>
        <v>41067.18</v>
      </c>
      <c r="M387" s="35"/>
    </row>
    <row r="388" spans="1:14" s="87" customFormat="1" ht="30" customHeight="1" x14ac:dyDescent="0.25">
      <c r="A388" s="83">
        <f t="shared" si="125"/>
        <v>210</v>
      </c>
      <c r="B388" s="121" t="s">
        <v>24</v>
      </c>
      <c r="C388" s="39" t="s">
        <v>442</v>
      </c>
      <c r="D388" s="121" t="s">
        <v>364</v>
      </c>
      <c r="E388" s="121" t="s">
        <v>124</v>
      </c>
      <c r="F388" s="123">
        <v>40000</v>
      </c>
      <c r="G388" s="90">
        <f>F388*2.87%</f>
        <v>1148</v>
      </c>
      <c r="H388" s="85">
        <f t="shared" si="126"/>
        <v>1216</v>
      </c>
      <c r="I388" s="90">
        <v>215.78</v>
      </c>
      <c r="J388" s="92">
        <f>11959.56+25+100+1512.45</f>
        <v>13597.01</v>
      </c>
      <c r="K388" s="85">
        <f>SUM(G388:J388)</f>
        <v>16176.79</v>
      </c>
      <c r="L388" s="92">
        <f>+F388-K388</f>
        <v>23823.21</v>
      </c>
      <c r="M388" s="35"/>
    </row>
    <row r="389" spans="1:14" s="87" customFormat="1" ht="30" customHeight="1" x14ac:dyDescent="0.25">
      <c r="A389" s="83">
        <f>+A388+1</f>
        <v>211</v>
      </c>
      <c r="B389" s="121" t="s">
        <v>47</v>
      </c>
      <c r="C389" s="39" t="s">
        <v>442</v>
      </c>
      <c r="D389" s="121" t="s">
        <v>368</v>
      </c>
      <c r="E389" s="121" t="s">
        <v>125</v>
      </c>
      <c r="F389" s="139">
        <v>35000</v>
      </c>
      <c r="G389" s="90">
        <f t="shared" si="123"/>
        <v>1004.5</v>
      </c>
      <c r="H389" s="85">
        <f t="shared" si="126"/>
        <v>1064</v>
      </c>
      <c r="I389" s="90"/>
      <c r="J389" s="86">
        <f>500+25+100+1512.45</f>
        <v>2137.4499999999998</v>
      </c>
      <c r="K389" s="85">
        <f>SUM(G389:J389)</f>
        <v>4205.95</v>
      </c>
      <c r="L389" s="92">
        <f t="shared" si="124"/>
        <v>30794.05</v>
      </c>
      <c r="M389" s="35"/>
    </row>
    <row r="390" spans="1:14" s="87" customFormat="1" ht="30" customHeight="1" x14ac:dyDescent="0.25">
      <c r="A390" s="83">
        <f t="shared" si="125"/>
        <v>212</v>
      </c>
      <c r="B390" s="121" t="s">
        <v>372</v>
      </c>
      <c r="C390" s="39" t="s">
        <v>442</v>
      </c>
      <c r="D390" s="121" t="s">
        <v>27</v>
      </c>
      <c r="E390" s="121" t="s">
        <v>125</v>
      </c>
      <c r="F390" s="123">
        <v>35000</v>
      </c>
      <c r="G390" s="90">
        <f t="shared" si="123"/>
        <v>1004.5</v>
      </c>
      <c r="H390" s="85">
        <f t="shared" si="126"/>
        <v>1064</v>
      </c>
      <c r="I390" s="90"/>
      <c r="J390" s="92">
        <v>1637.45</v>
      </c>
      <c r="K390" s="85">
        <f t="shared" ref="K390:K394" si="130">SUM(G390:J390)</f>
        <v>3705.95</v>
      </c>
      <c r="L390" s="92">
        <f t="shared" si="124"/>
        <v>31294.05</v>
      </c>
      <c r="M390" s="35"/>
    </row>
    <row r="391" spans="1:14" s="87" customFormat="1" ht="30" customHeight="1" x14ac:dyDescent="0.25">
      <c r="A391" s="83">
        <f t="shared" si="125"/>
        <v>213</v>
      </c>
      <c r="B391" s="127" t="s">
        <v>205</v>
      </c>
      <c r="C391" s="193" t="s">
        <v>441</v>
      </c>
      <c r="D391" s="121" t="s">
        <v>206</v>
      </c>
      <c r="E391" s="121" t="s">
        <v>237</v>
      </c>
      <c r="F391" s="123">
        <v>26000</v>
      </c>
      <c r="G391" s="90">
        <f>F391*2.87%</f>
        <v>746.2</v>
      </c>
      <c r="H391" s="85">
        <f t="shared" si="126"/>
        <v>790.4</v>
      </c>
      <c r="I391" s="101"/>
      <c r="J391" s="92">
        <v>25</v>
      </c>
      <c r="K391" s="85">
        <f>SUM(G391:J391)</f>
        <v>1561.6</v>
      </c>
      <c r="L391" s="92">
        <f>+F391-K391</f>
        <v>24438.400000000001</v>
      </c>
      <c r="M391" s="35"/>
    </row>
    <row r="392" spans="1:14" s="35" customFormat="1" ht="30" customHeight="1" x14ac:dyDescent="0.25">
      <c r="A392" s="83">
        <f t="shared" si="125"/>
        <v>214</v>
      </c>
      <c r="B392" s="121" t="s">
        <v>374</v>
      </c>
      <c r="C392" s="39" t="s">
        <v>441</v>
      </c>
      <c r="D392" s="121" t="s">
        <v>102</v>
      </c>
      <c r="E392" s="121" t="s">
        <v>237</v>
      </c>
      <c r="F392" s="123">
        <v>23908.5</v>
      </c>
      <c r="G392" s="90">
        <f t="shared" si="123"/>
        <v>686.17394999999999</v>
      </c>
      <c r="H392" s="85">
        <f t="shared" si="126"/>
        <v>726.8184</v>
      </c>
      <c r="I392" s="90"/>
      <c r="J392" s="92">
        <f>1000+25+100</f>
        <v>1125</v>
      </c>
      <c r="K392" s="85">
        <f t="shared" si="130"/>
        <v>2537.99235</v>
      </c>
      <c r="L392" s="92">
        <f t="shared" si="124"/>
        <v>21370.50765</v>
      </c>
      <c r="N392" s="87"/>
    </row>
    <row r="393" spans="1:14" s="35" customFormat="1" ht="30" customHeight="1" x14ac:dyDescent="0.25">
      <c r="A393" s="83">
        <f t="shared" si="125"/>
        <v>215</v>
      </c>
      <c r="B393" s="121" t="s">
        <v>46</v>
      </c>
      <c r="C393" s="39" t="s">
        <v>441</v>
      </c>
      <c r="D393" s="121" t="s">
        <v>102</v>
      </c>
      <c r="E393" s="121" t="s">
        <v>125</v>
      </c>
      <c r="F393" s="123">
        <v>23835</v>
      </c>
      <c r="G393" s="90">
        <f t="shared" si="123"/>
        <v>684.06449999999995</v>
      </c>
      <c r="H393" s="85">
        <f t="shared" si="126"/>
        <v>724.58399999999995</v>
      </c>
      <c r="I393" s="90"/>
      <c r="J393" s="92">
        <v>25</v>
      </c>
      <c r="K393" s="85">
        <f t="shared" si="130"/>
        <v>1433.6484999999998</v>
      </c>
      <c r="L393" s="92">
        <f t="shared" si="124"/>
        <v>22401.351500000001</v>
      </c>
      <c r="N393" s="87"/>
    </row>
    <row r="394" spans="1:14" ht="36" customHeight="1" x14ac:dyDescent="0.25">
      <c r="A394" s="83">
        <f t="shared" si="125"/>
        <v>216</v>
      </c>
      <c r="B394" s="121" t="s">
        <v>375</v>
      </c>
      <c r="C394" s="39" t="s">
        <v>441</v>
      </c>
      <c r="D394" s="121" t="s">
        <v>102</v>
      </c>
      <c r="E394" s="121" t="s">
        <v>125</v>
      </c>
      <c r="F394" s="123">
        <v>30000</v>
      </c>
      <c r="G394" s="90">
        <f t="shared" si="123"/>
        <v>861</v>
      </c>
      <c r="H394" s="85">
        <f t="shared" si="126"/>
        <v>912</v>
      </c>
      <c r="I394" s="101"/>
      <c r="J394" s="92">
        <v>125</v>
      </c>
      <c r="K394" s="85">
        <f t="shared" si="130"/>
        <v>1898</v>
      </c>
      <c r="L394" s="92">
        <f t="shared" si="124"/>
        <v>28102</v>
      </c>
    </row>
    <row r="395" spans="1:14" ht="30" customHeight="1" x14ac:dyDescent="0.25">
      <c r="A395" s="229" t="s">
        <v>128</v>
      </c>
      <c r="B395" s="230"/>
      <c r="C395" s="230"/>
      <c r="D395" s="230"/>
      <c r="E395" s="231"/>
      <c r="F395" s="40">
        <f t="shared" ref="F395:L395" si="131">SUM(F376:F394)</f>
        <v>790743.5</v>
      </c>
      <c r="G395" s="40">
        <f t="shared" si="131"/>
        <v>22694.338450000003</v>
      </c>
      <c r="H395" s="40">
        <f t="shared" si="131"/>
        <v>24038.6024</v>
      </c>
      <c r="I395" s="40">
        <f t="shared" si="131"/>
        <v>19113.939166666667</v>
      </c>
      <c r="J395" s="40">
        <f t="shared" si="131"/>
        <v>53113.229999999996</v>
      </c>
      <c r="K395" s="40">
        <f t="shared" si="131"/>
        <v>118960.11001666667</v>
      </c>
      <c r="L395" s="40">
        <f t="shared" si="131"/>
        <v>671783.38998333341</v>
      </c>
    </row>
    <row r="396" spans="1:14" ht="30" customHeight="1" thickBot="1" x14ac:dyDescent="0.3">
      <c r="A396" s="44"/>
      <c r="B396" s="51"/>
      <c r="C396" s="155"/>
      <c r="D396" s="51"/>
      <c r="E396" s="51"/>
      <c r="F396" s="52"/>
      <c r="G396" s="42"/>
      <c r="H396" s="42"/>
      <c r="I396" s="42"/>
      <c r="J396" s="42"/>
      <c r="K396" s="42"/>
      <c r="L396" s="42"/>
    </row>
    <row r="397" spans="1:14" ht="30" customHeight="1" thickBot="1" x14ac:dyDescent="0.3">
      <c r="A397" s="57"/>
      <c r="B397" s="58" t="s">
        <v>434</v>
      </c>
      <c r="C397" s="156"/>
      <c r="D397" s="59"/>
      <c r="E397" s="60"/>
      <c r="F397" s="61">
        <f t="shared" ref="F397:L397" si="132">+F16+F20+F24+F30+F37+F44+F49+F57+F63+F72+F76+F82+F88+F95+F99+F103+F107+F115+F120+F127+F133+F142+F147+F155+F160+F168+F174+F178+F182+F190+F199+F207+F212+F216+F225+F230+F242+F249+F254+F258+F263+F268+F283+F311+F341+F350+F368+F395+F373+F358+F354+F320+F238+F234+F203+F278+F274+F220+F345+F363</f>
        <v>15304335.16</v>
      </c>
      <c r="G397" s="61">
        <f t="shared" si="132"/>
        <v>439234.41909199988</v>
      </c>
      <c r="H397" s="61">
        <f t="shared" si="132"/>
        <v>460300.38886399998</v>
      </c>
      <c r="I397" s="61">
        <f t="shared" si="132"/>
        <v>1447932.7994999993</v>
      </c>
      <c r="J397" s="61">
        <f t="shared" si="132"/>
        <v>724054.14999999967</v>
      </c>
      <c r="K397" s="61">
        <f t="shared" si="132"/>
        <v>3071521.7574560014</v>
      </c>
      <c r="L397" s="61">
        <f t="shared" si="132"/>
        <v>12232813.402544007</v>
      </c>
    </row>
    <row r="398" spans="1:14" ht="15" x14ac:dyDescent="0.25">
      <c r="A398" s="31"/>
      <c r="B398" s="30"/>
      <c r="C398" s="31"/>
      <c r="D398" s="30"/>
      <c r="E398" s="30"/>
      <c r="F398" s="18"/>
      <c r="G398" s="19"/>
      <c r="H398" s="19"/>
      <c r="I398" s="19"/>
      <c r="J398" s="19"/>
      <c r="K398" s="19"/>
      <c r="L398" s="19"/>
    </row>
    <row r="399" spans="1:14" ht="15" x14ac:dyDescent="0.25">
      <c r="A399" s="31"/>
      <c r="B399" s="30"/>
      <c r="C399" s="31"/>
      <c r="D399" s="30"/>
      <c r="E399" s="30"/>
      <c r="F399" s="18"/>
      <c r="G399" s="19"/>
      <c r="H399" s="19"/>
      <c r="I399" s="19"/>
      <c r="J399" s="19"/>
      <c r="K399" s="19"/>
      <c r="L399" s="19"/>
    </row>
    <row r="400" spans="1:14" ht="15.75" x14ac:dyDescent="0.25">
      <c r="B400" s="21"/>
      <c r="C400" s="157"/>
      <c r="D400" s="22"/>
      <c r="E400" s="21"/>
      <c r="F400" s="1"/>
      <c r="L400" s="7"/>
    </row>
    <row r="401" spans="2:12" ht="15.75" x14ac:dyDescent="0.25">
      <c r="B401" s="23" t="s">
        <v>207</v>
      </c>
      <c r="C401" s="158"/>
      <c r="D401" s="22"/>
      <c r="E401" s="23" t="s">
        <v>515</v>
      </c>
      <c r="F401" s="1"/>
      <c r="L401" s="175"/>
    </row>
    <row r="402" spans="2:12" ht="15.75" x14ac:dyDescent="0.25">
      <c r="B402" s="23" t="s">
        <v>516</v>
      </c>
      <c r="C402" s="158"/>
      <c r="D402" s="22"/>
      <c r="E402" s="23" t="s">
        <v>517</v>
      </c>
      <c r="F402" s="1"/>
    </row>
    <row r="403" spans="2:12" x14ac:dyDescent="0.2">
      <c r="L403" s="7"/>
    </row>
    <row r="16883" spans="2:14" s="4" customFormat="1" x14ac:dyDescent="0.2">
      <c r="B16883" s="25"/>
      <c r="D16883" s="25"/>
      <c r="E16883" s="25"/>
      <c r="F16883" s="2"/>
      <c r="G16883" s="1"/>
      <c r="H16883" s="1"/>
      <c r="I16883" s="1"/>
      <c r="J16883" s="1"/>
      <c r="K16883" s="1"/>
      <c r="L16883" s="1"/>
      <c r="N16883" s="142"/>
    </row>
    <row r="16885" spans="2:14" s="4" customFormat="1" x14ac:dyDescent="0.2">
      <c r="B16885" s="25"/>
      <c r="D16885" s="25"/>
      <c r="E16885" s="25"/>
      <c r="F16885" s="2"/>
      <c r="G16885" s="1"/>
      <c r="H16885" s="1"/>
      <c r="I16885" s="1"/>
      <c r="J16885" s="1"/>
      <c r="K16885" s="1"/>
      <c r="L16885" s="1"/>
      <c r="N16885" s="142"/>
    </row>
    <row r="16904" spans="7:8" x14ac:dyDescent="0.2">
      <c r="G16904" s="4"/>
      <c r="H16904" s="4"/>
    </row>
    <row r="16906" spans="7:8" x14ac:dyDescent="0.2">
      <c r="G16906" s="4"/>
      <c r="H16906" s="4"/>
    </row>
    <row r="16916" spans="2:12" x14ac:dyDescent="0.2">
      <c r="J16916" s="4"/>
      <c r="K16916" s="4"/>
      <c r="L16916" s="4"/>
    </row>
    <row r="16918" spans="2:12" x14ac:dyDescent="0.2">
      <c r="J16918" s="4"/>
      <c r="K16918" s="4"/>
      <c r="L16918" s="4"/>
    </row>
    <row r="16919" spans="2:12" x14ac:dyDescent="0.2">
      <c r="I16919" s="4"/>
    </row>
    <row r="16920" spans="2:12" x14ac:dyDescent="0.2">
      <c r="B16920" s="25">
        <f>SUM(B6:B16919)</f>
        <v>0</v>
      </c>
    </row>
    <row r="16921" spans="2:12" x14ac:dyDescent="0.2">
      <c r="I16921" s="4"/>
    </row>
    <row r="16922" spans="2:12" x14ac:dyDescent="0.2">
      <c r="B16922" s="25">
        <f>SUM(B16920)</f>
        <v>0</v>
      </c>
    </row>
    <row r="1000245" spans="11:11" x14ac:dyDescent="0.2">
      <c r="K1000245" s="11" t="e">
        <f>SUM(#REF!)</f>
        <v>#REF!</v>
      </c>
    </row>
  </sheetData>
  <mergeCells count="126">
    <mergeCell ref="A360:L360"/>
    <mergeCell ref="A363:E363"/>
    <mergeCell ref="A375:L375"/>
    <mergeCell ref="A370:L370"/>
    <mergeCell ref="A373:E373"/>
    <mergeCell ref="A343:L343"/>
    <mergeCell ref="A345:E345"/>
    <mergeCell ref="A358:E358"/>
    <mergeCell ref="A208:L208"/>
    <mergeCell ref="A256:L256"/>
    <mergeCell ref="A254:E254"/>
    <mergeCell ref="A251:L251"/>
    <mergeCell ref="A249:E249"/>
    <mergeCell ref="A205:L205"/>
    <mergeCell ref="A199:E199"/>
    <mergeCell ref="A207:E207"/>
    <mergeCell ref="A178:E178"/>
    <mergeCell ref="A182:E182"/>
    <mergeCell ref="A100:L100"/>
    <mergeCell ref="A105:L105"/>
    <mergeCell ref="A395:E395"/>
    <mergeCell ref="A350:E350"/>
    <mergeCell ref="A280:L280"/>
    <mergeCell ref="A284:L284"/>
    <mergeCell ref="A364:L364"/>
    <mergeCell ref="A321:L321"/>
    <mergeCell ref="A347:L347"/>
    <mergeCell ref="A283:E283"/>
    <mergeCell ref="A311:E311"/>
    <mergeCell ref="A368:E368"/>
    <mergeCell ref="A341:E341"/>
    <mergeCell ref="A313:L313"/>
    <mergeCell ref="A320:E320"/>
    <mergeCell ref="A352:L352"/>
    <mergeCell ref="A354:E354"/>
    <mergeCell ref="A356:L356"/>
    <mergeCell ref="A203:E203"/>
    <mergeCell ref="A127:E127"/>
    <mergeCell ref="A78:L78"/>
    <mergeCell ref="A84:L84"/>
    <mergeCell ref="A109:L109"/>
    <mergeCell ref="A170:L170"/>
    <mergeCell ref="A168:E168"/>
    <mergeCell ref="A103:E103"/>
    <mergeCell ref="A120:E120"/>
    <mergeCell ref="D115:E115"/>
    <mergeCell ref="A99:E99"/>
    <mergeCell ref="A133:E133"/>
    <mergeCell ref="A142:E142"/>
    <mergeCell ref="A147:E147"/>
    <mergeCell ref="A155:E155"/>
    <mergeCell ref="A157:L157"/>
    <mergeCell ref="A149:L149"/>
    <mergeCell ref="A162:L162"/>
    <mergeCell ref="A184:L184"/>
    <mergeCell ref="A179:L179"/>
    <mergeCell ref="A276:L276"/>
    <mergeCell ref="A218:L218"/>
    <mergeCell ref="A220:E220"/>
    <mergeCell ref="A270:L270"/>
    <mergeCell ref="A274:E274"/>
    <mergeCell ref="A278:E278"/>
    <mergeCell ref="A244:L244"/>
    <mergeCell ref="A242:E242"/>
    <mergeCell ref="A240:L240"/>
    <mergeCell ref="A238:E238"/>
    <mergeCell ref="A236:L236"/>
    <mergeCell ref="A234:E234"/>
    <mergeCell ref="A232:L232"/>
    <mergeCell ref="A230:E230"/>
    <mergeCell ref="A268:E268"/>
    <mergeCell ref="A227:L227"/>
    <mergeCell ref="A225:E225"/>
    <mergeCell ref="A222:L222"/>
    <mergeCell ref="A265:L265"/>
    <mergeCell ref="A263:E263"/>
    <mergeCell ref="A260:L260"/>
    <mergeCell ref="A258:E258"/>
    <mergeCell ref="A192:L192"/>
    <mergeCell ref="A176:L176"/>
    <mergeCell ref="A190:E190"/>
    <mergeCell ref="A128:L128"/>
    <mergeCell ref="A214:L214"/>
    <mergeCell ref="A212:E212"/>
    <mergeCell ref="A216:E216"/>
    <mergeCell ref="A201:L201"/>
    <mergeCell ref="A1:L1"/>
    <mergeCell ref="A2:L2"/>
    <mergeCell ref="A3:L3"/>
    <mergeCell ref="A4:B4"/>
    <mergeCell ref="A7:L7"/>
    <mergeCell ref="G5:H5"/>
    <mergeCell ref="A26:L26"/>
    <mergeCell ref="A32:L32"/>
    <mergeCell ref="A18:L18"/>
    <mergeCell ref="A20:E20"/>
    <mergeCell ref="A22:L22"/>
    <mergeCell ref="A24:E24"/>
    <mergeCell ref="A16:E16"/>
    <mergeCell ref="A30:E30"/>
    <mergeCell ref="A37:E37"/>
    <mergeCell ref="A38:L38"/>
    <mergeCell ref="A44:E44"/>
    <mergeCell ref="A171:L171"/>
    <mergeCell ref="A46:L46"/>
    <mergeCell ref="A51:L51"/>
    <mergeCell ref="A135:L135"/>
    <mergeCell ref="A174:E174"/>
    <mergeCell ref="A107:E107"/>
    <mergeCell ref="A49:E49"/>
    <mergeCell ref="A90:L90"/>
    <mergeCell ref="A97:L97"/>
    <mergeCell ref="A57:E57"/>
    <mergeCell ref="A63:E63"/>
    <mergeCell ref="A72:E72"/>
    <mergeCell ref="A88:E88"/>
    <mergeCell ref="A95:E95"/>
    <mergeCell ref="A59:L59"/>
    <mergeCell ref="A65:L65"/>
    <mergeCell ref="A73:L73"/>
    <mergeCell ref="A76:E76"/>
    <mergeCell ref="A82:E82"/>
    <mergeCell ref="A160:E160"/>
    <mergeCell ref="A144:L144"/>
    <mergeCell ref="A117:L117"/>
    <mergeCell ref="A122:L122"/>
  </mergeCells>
  <pageMargins left="0.23622047244094488" right="0.23622047244094488" top="0.74803149606299213" bottom="0.74803149606299213" header="0.31496062992125984" footer="0.31496062992125984"/>
  <pageSetup scale="50" fitToHeight="0" orientation="landscape" r:id="rId1"/>
  <rowBreaks count="15" manualBreakCount="15">
    <brk id="37" max="11" man="1"/>
    <brk id="63" max="11" man="1"/>
    <brk id="88" max="11" man="1"/>
    <brk id="115" max="11" man="1"/>
    <brk id="142" max="11" man="1"/>
    <brk id="168" max="11" man="1"/>
    <brk id="193" max="11" man="1"/>
    <brk id="220" max="11" man="1"/>
    <brk id="249" max="11" man="1"/>
    <brk id="278" max="11" man="1"/>
    <brk id="304" max="11" man="1"/>
    <brk id="333" max="11" man="1"/>
    <brk id="363" max="11" man="1"/>
    <brk id="390" max="11" man="1"/>
    <brk id="403" max="11" man="1"/>
  </rowBreaks>
  <ignoredErrors>
    <ignoredError sqref="K74 K158 K101 K286:K287 K66 K229 K47 K132 K180 K219" formulaRange="1"/>
    <ignoredError sqref="H16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9"/>
  <sheetViews>
    <sheetView showGridLines="0" zoomScale="97" zoomScaleNormal="97" zoomScaleSheetLayoutView="100" workbookViewId="0">
      <pane xSplit="3" ySplit="6" topLeftCell="D125" activePane="bottomRight" state="frozen"/>
      <selection pane="topRight" activeCell="C1" sqref="C1"/>
      <selection pane="bottomLeft" activeCell="A9" sqref="A9"/>
      <selection pane="bottomRight" activeCell="B4" sqref="B4:C4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41" t="s">
        <v>429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</row>
    <row r="2" spans="2:13" ht="21" x14ac:dyDescent="0.35">
      <c r="B2" s="242" t="s">
        <v>448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</row>
    <row r="3" spans="2:13" ht="18.75" x14ac:dyDescent="0.3">
      <c r="B3" s="243" t="s">
        <v>663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24"/>
    </row>
    <row r="4" spans="2:13" ht="19.5" thickBot="1" x14ac:dyDescent="0.35">
      <c r="B4" s="243"/>
      <c r="C4" s="243"/>
      <c r="D4" s="17"/>
      <c r="E4" s="24"/>
      <c r="F4" s="24"/>
      <c r="G4" s="17"/>
    </row>
    <row r="5" spans="2:13" ht="25.5" customHeight="1" thickBot="1" x14ac:dyDescent="0.3">
      <c r="B5" s="32"/>
      <c r="C5" s="33"/>
      <c r="D5" s="32"/>
      <c r="E5" s="33"/>
      <c r="F5" s="33"/>
      <c r="G5" s="34"/>
      <c r="H5" s="244" t="s">
        <v>123</v>
      </c>
      <c r="I5" s="245"/>
      <c r="J5" s="35"/>
      <c r="K5" s="35"/>
      <c r="L5" s="35"/>
    </row>
    <row r="6" spans="2:13" s="18" customFormat="1" ht="30" customHeight="1" x14ac:dyDescent="0.25">
      <c r="B6" s="36" t="s">
        <v>0</v>
      </c>
      <c r="C6" s="36" t="s">
        <v>376</v>
      </c>
      <c r="D6" s="36" t="s">
        <v>443</v>
      </c>
      <c r="E6" s="36" t="s">
        <v>130</v>
      </c>
      <c r="F6" s="36" t="s">
        <v>117</v>
      </c>
      <c r="G6" s="36" t="s">
        <v>127</v>
      </c>
      <c r="H6" s="37" t="s">
        <v>1</v>
      </c>
      <c r="I6" s="37" t="s">
        <v>2</v>
      </c>
      <c r="J6" s="38" t="s">
        <v>118</v>
      </c>
      <c r="K6" s="38" t="s">
        <v>3</v>
      </c>
      <c r="L6" s="38" t="s">
        <v>119</v>
      </c>
    </row>
    <row r="7" spans="2:13" s="43" customFormat="1" ht="16.5" customHeight="1" x14ac:dyDescent="0.25">
      <c r="B7" s="53"/>
      <c r="C7" s="53"/>
      <c r="D7" s="53"/>
      <c r="E7" s="53"/>
      <c r="F7" s="53"/>
      <c r="M7" s="41"/>
    </row>
    <row r="8" spans="2:13" s="42" customFormat="1" ht="22.5" customHeight="1" thickBot="1" x14ac:dyDescent="0.3">
      <c r="B8" s="53"/>
      <c r="C8" s="53"/>
      <c r="D8" s="53"/>
      <c r="E8" s="53"/>
      <c r="F8" s="53"/>
      <c r="G8" s="43"/>
      <c r="H8" s="43"/>
      <c r="I8" s="43"/>
      <c r="J8" s="43"/>
      <c r="K8" s="43"/>
      <c r="L8" s="43"/>
    </row>
    <row r="9" spans="2:13" s="42" customFormat="1" ht="30" customHeight="1" thickBot="1" x14ac:dyDescent="0.3">
      <c r="B9" s="232" t="s">
        <v>184</v>
      </c>
      <c r="C9" s="233"/>
      <c r="D9" s="233"/>
      <c r="E9" s="233"/>
      <c r="F9" s="233"/>
      <c r="G9" s="233"/>
      <c r="H9" s="233"/>
      <c r="I9" s="233"/>
      <c r="J9" s="233"/>
      <c r="K9" s="233"/>
      <c r="L9" s="234"/>
    </row>
    <row r="10" spans="2:13" s="42" customFormat="1" ht="30" customHeight="1" x14ac:dyDescent="0.25">
      <c r="B10" s="39">
        <f>1</f>
        <v>1</v>
      </c>
      <c r="C10" s="121" t="s">
        <v>143</v>
      </c>
      <c r="D10" s="39" t="s">
        <v>442</v>
      </c>
      <c r="E10" s="122" t="s">
        <v>487</v>
      </c>
      <c r="F10" s="121" t="s">
        <v>124</v>
      </c>
      <c r="G10" s="123">
        <v>19500</v>
      </c>
      <c r="H10" s="123">
        <v>559.64999999999964</v>
      </c>
      <c r="I10" s="120">
        <v>0</v>
      </c>
      <c r="J10" s="123">
        <v>4735.09</v>
      </c>
      <c r="K10" s="120">
        <f>SUM(H10:J10)</f>
        <v>5294.74</v>
      </c>
      <c r="L10" s="124">
        <f>+G10-K10</f>
        <v>14205.26</v>
      </c>
      <c r="M10" s="225"/>
    </row>
    <row r="11" spans="2:13" s="42" customFormat="1" ht="30" customHeight="1" x14ac:dyDescent="0.25">
      <c r="B11" s="229" t="s">
        <v>128</v>
      </c>
      <c r="C11" s="230"/>
      <c r="D11" s="230"/>
      <c r="E11" s="230"/>
      <c r="F11" s="230"/>
      <c r="G11" s="40">
        <f>SUM(G10)</f>
        <v>19500</v>
      </c>
      <c r="H11" s="40">
        <f t="shared" ref="H11:J11" si="0">SUM(H10)</f>
        <v>559.64999999999964</v>
      </c>
      <c r="I11" s="40">
        <f t="shared" si="0"/>
        <v>0</v>
      </c>
      <c r="J11" s="40">
        <f t="shared" si="0"/>
        <v>4735.09</v>
      </c>
      <c r="K11" s="40">
        <f>SUM(K10)</f>
        <v>5294.74</v>
      </c>
      <c r="L11" s="40">
        <f>SUM(L10)</f>
        <v>14205.26</v>
      </c>
      <c r="M11" s="225"/>
    </row>
    <row r="12" spans="2:13" s="43" customFormat="1" ht="30" customHeight="1" thickBot="1" x14ac:dyDescent="0.3">
      <c r="B12" s="53"/>
      <c r="C12" s="53"/>
      <c r="D12" s="53"/>
      <c r="E12" s="53"/>
      <c r="F12" s="53"/>
      <c r="M12" s="41"/>
    </row>
    <row r="13" spans="2:13" s="77" customFormat="1" ht="30" customHeight="1" thickBot="1" x14ac:dyDescent="0.3">
      <c r="B13" s="232" t="s">
        <v>159</v>
      </c>
      <c r="C13" s="233"/>
      <c r="D13" s="233"/>
      <c r="E13" s="233"/>
      <c r="F13" s="233"/>
      <c r="G13" s="233"/>
      <c r="H13" s="233"/>
      <c r="I13" s="233"/>
      <c r="J13" s="233"/>
      <c r="K13" s="233"/>
      <c r="L13" s="234"/>
    </row>
    <row r="14" spans="2:13" s="42" customFormat="1" ht="46.5" customHeight="1" x14ac:dyDescent="0.25">
      <c r="B14" s="88">
        <f>+B10+1</f>
        <v>2</v>
      </c>
      <c r="C14" s="121" t="s">
        <v>259</v>
      </c>
      <c r="D14" s="39" t="s">
        <v>442</v>
      </c>
      <c r="E14" s="122" t="s">
        <v>521</v>
      </c>
      <c r="F14" s="121" t="s">
        <v>125</v>
      </c>
      <c r="G14" s="123">
        <v>31000</v>
      </c>
      <c r="H14" s="90">
        <f>G14*2.87%</f>
        <v>889.7</v>
      </c>
      <c r="I14" s="90">
        <f>+G14*3.04%</f>
        <v>942.4</v>
      </c>
      <c r="J14" s="90">
        <v>7291.9699999999993</v>
      </c>
      <c r="K14" s="120">
        <f>SUM(H14:J14)</f>
        <v>9124.07</v>
      </c>
      <c r="L14" s="124">
        <f>+G14-K14</f>
        <v>21875.93</v>
      </c>
      <c r="M14" s="225"/>
    </row>
    <row r="15" spans="2:13" s="42" customFormat="1" ht="27" customHeight="1" x14ac:dyDescent="0.25">
      <c r="B15" s="229" t="s">
        <v>128</v>
      </c>
      <c r="C15" s="230"/>
      <c r="D15" s="230"/>
      <c r="E15" s="230"/>
      <c r="F15" s="231"/>
      <c r="G15" s="40">
        <f>SUM(G14)</f>
        <v>31000</v>
      </c>
      <c r="H15" s="40">
        <f t="shared" ref="H15:L15" si="1">SUM(H14)</f>
        <v>889.7</v>
      </c>
      <c r="I15" s="40">
        <f t="shared" si="1"/>
        <v>942.4</v>
      </c>
      <c r="J15" s="40">
        <f t="shared" si="1"/>
        <v>7291.9699999999993</v>
      </c>
      <c r="K15" s="40">
        <f t="shared" si="1"/>
        <v>9124.07</v>
      </c>
      <c r="L15" s="40">
        <f t="shared" si="1"/>
        <v>21875.93</v>
      </c>
    </row>
    <row r="16" spans="2:13" s="42" customFormat="1" ht="27" customHeight="1" thickBot="1" x14ac:dyDescent="0.3">
      <c r="B16" s="53"/>
      <c r="C16" s="53"/>
      <c r="D16" s="53"/>
      <c r="E16" s="53"/>
      <c r="F16" s="53"/>
      <c r="G16" s="94"/>
      <c r="H16" s="94"/>
      <c r="I16" s="94"/>
      <c r="J16" s="94"/>
      <c r="K16" s="94"/>
      <c r="L16" s="94"/>
    </row>
    <row r="17" spans="2:13" s="77" customFormat="1" ht="30" customHeight="1" thickBot="1" x14ac:dyDescent="0.3">
      <c r="B17" s="232" t="s">
        <v>161</v>
      </c>
      <c r="C17" s="233"/>
      <c r="D17" s="233"/>
      <c r="E17" s="233"/>
      <c r="F17" s="233"/>
      <c r="G17" s="233"/>
      <c r="H17" s="233"/>
      <c r="I17" s="233"/>
      <c r="J17" s="233"/>
      <c r="K17" s="233"/>
      <c r="L17" s="234"/>
    </row>
    <row r="18" spans="2:13" s="42" customFormat="1" ht="46.5" customHeight="1" x14ac:dyDescent="0.25">
      <c r="B18" s="88">
        <f>+B14+1</f>
        <v>3</v>
      </c>
      <c r="C18" s="89" t="s">
        <v>262</v>
      </c>
      <c r="D18" s="39" t="s">
        <v>442</v>
      </c>
      <c r="E18" s="93" t="s">
        <v>573</v>
      </c>
      <c r="F18" s="121" t="s">
        <v>204</v>
      </c>
      <c r="G18" s="123">
        <v>25000</v>
      </c>
      <c r="H18" s="90">
        <f>G18*2.87%</f>
        <v>717.5</v>
      </c>
      <c r="I18" s="90">
        <f>+G18*3.04%</f>
        <v>760</v>
      </c>
      <c r="J18" s="90">
        <v>5880.62</v>
      </c>
      <c r="K18" s="120">
        <f>SUM(H18:J18)</f>
        <v>7358.12</v>
      </c>
      <c r="L18" s="124">
        <f>+G18-K18</f>
        <v>17641.88</v>
      </c>
      <c r="M18" s="225"/>
    </row>
    <row r="19" spans="2:13" s="42" customFormat="1" ht="27" customHeight="1" x14ac:dyDescent="0.25">
      <c r="B19" s="229" t="s">
        <v>128</v>
      </c>
      <c r="C19" s="230"/>
      <c r="D19" s="230"/>
      <c r="E19" s="230"/>
      <c r="F19" s="231"/>
      <c r="G19" s="40">
        <f>SUM(G18)</f>
        <v>25000</v>
      </c>
      <c r="H19" s="40">
        <f t="shared" ref="H19:L19" si="2">SUM(H18)</f>
        <v>717.5</v>
      </c>
      <c r="I19" s="40">
        <f t="shared" si="2"/>
        <v>760</v>
      </c>
      <c r="J19" s="40">
        <f t="shared" si="2"/>
        <v>5880.62</v>
      </c>
      <c r="K19" s="40">
        <f>SUM(K18)</f>
        <v>7358.12</v>
      </c>
      <c r="L19" s="40">
        <f t="shared" si="2"/>
        <v>17641.88</v>
      </c>
    </row>
    <row r="20" spans="2:13" s="42" customFormat="1" ht="27" customHeight="1" thickBot="1" x14ac:dyDescent="0.3">
      <c r="B20" s="53"/>
      <c r="C20" s="53"/>
      <c r="D20" s="53"/>
      <c r="E20" s="53"/>
      <c r="F20" s="53"/>
      <c r="G20" s="43"/>
      <c r="H20" s="43"/>
      <c r="I20" s="43"/>
      <c r="J20" s="43"/>
      <c r="K20" s="43"/>
      <c r="L20" s="43"/>
    </row>
    <row r="21" spans="2:13" s="42" customFormat="1" ht="21" customHeight="1" thickBot="1" x14ac:dyDescent="0.3">
      <c r="B21" s="232" t="s">
        <v>252</v>
      </c>
      <c r="C21" s="233"/>
      <c r="D21" s="233"/>
      <c r="E21" s="233"/>
      <c r="F21" s="233"/>
      <c r="G21" s="233"/>
      <c r="H21" s="233"/>
      <c r="I21" s="233"/>
      <c r="J21" s="233"/>
      <c r="K21" s="233"/>
      <c r="L21" s="234"/>
    </row>
    <row r="22" spans="2:13" s="94" customFormat="1" ht="30" customHeight="1" x14ac:dyDescent="0.25">
      <c r="B22" s="83">
        <f>+B18+1</f>
        <v>4</v>
      </c>
      <c r="C22" s="126" t="s">
        <v>58</v>
      </c>
      <c r="D22" s="136" t="s">
        <v>442</v>
      </c>
      <c r="E22" s="137" t="s">
        <v>186</v>
      </c>
      <c r="F22" s="121" t="s">
        <v>125</v>
      </c>
      <c r="G22" s="120">
        <v>63500</v>
      </c>
      <c r="H22" s="85">
        <v>1822.4499999999998</v>
      </c>
      <c r="I22" s="85">
        <v>1098.2000000000003</v>
      </c>
      <c r="J22" s="120">
        <v>15144.840000000004</v>
      </c>
      <c r="K22" s="85">
        <f>SUM(H22:J22)</f>
        <v>18065.490000000005</v>
      </c>
      <c r="L22" s="124">
        <f>+G22-K22</f>
        <v>45434.509999999995</v>
      </c>
      <c r="M22" s="43"/>
    </row>
    <row r="23" spans="2:13" s="42" customFormat="1" ht="28.5" customHeight="1" x14ac:dyDescent="0.25">
      <c r="B23" s="229" t="s">
        <v>128</v>
      </c>
      <c r="C23" s="230"/>
      <c r="D23" s="230"/>
      <c r="E23" s="230"/>
      <c r="F23" s="231"/>
      <c r="G23" s="40">
        <f t="shared" ref="G23:L23" si="3">SUM(G22:G22)</f>
        <v>63500</v>
      </c>
      <c r="H23" s="40">
        <f t="shared" si="3"/>
        <v>1822.4499999999998</v>
      </c>
      <c r="I23" s="40">
        <f t="shared" si="3"/>
        <v>1098.2000000000003</v>
      </c>
      <c r="J23" s="40">
        <f t="shared" si="3"/>
        <v>15144.840000000004</v>
      </c>
      <c r="K23" s="40">
        <f t="shared" si="3"/>
        <v>18065.490000000005</v>
      </c>
      <c r="L23" s="40">
        <f t="shared" si="3"/>
        <v>45434.509999999995</v>
      </c>
    </row>
    <row r="24" spans="2:13" s="42" customFormat="1" ht="28.5" customHeight="1" thickBot="1" x14ac:dyDescent="0.3">
      <c r="B24" s="53"/>
      <c r="C24" s="53"/>
      <c r="D24" s="53"/>
      <c r="E24" s="53"/>
      <c r="F24" s="53"/>
      <c r="G24" s="43"/>
      <c r="H24" s="43"/>
      <c r="I24" s="43"/>
      <c r="J24" s="43"/>
      <c r="K24" s="43"/>
      <c r="L24" s="43"/>
    </row>
    <row r="25" spans="2:13" s="42" customFormat="1" ht="28.5" customHeight="1" thickBot="1" x14ac:dyDescent="0.3">
      <c r="B25" s="232" t="s">
        <v>163</v>
      </c>
      <c r="C25" s="233"/>
      <c r="D25" s="233"/>
      <c r="E25" s="233"/>
      <c r="F25" s="233"/>
      <c r="G25" s="233"/>
      <c r="H25" s="233"/>
      <c r="I25" s="233"/>
      <c r="J25" s="233"/>
      <c r="K25" s="233"/>
      <c r="L25" s="234"/>
    </row>
    <row r="26" spans="2:13" s="42" customFormat="1" ht="28.5" customHeight="1" x14ac:dyDescent="0.25">
      <c r="B26" s="83">
        <f>+B22+1</f>
        <v>5</v>
      </c>
      <c r="C26" s="126" t="s">
        <v>49</v>
      </c>
      <c r="D26" s="136" t="s">
        <v>442</v>
      </c>
      <c r="E26" s="137" t="s">
        <v>483</v>
      </c>
      <c r="F26" s="121" t="s">
        <v>125</v>
      </c>
      <c r="G26" s="85">
        <v>33000</v>
      </c>
      <c r="H26" s="85">
        <v>947.09999999999991</v>
      </c>
      <c r="I26" s="85">
        <v>1003.1999999999998</v>
      </c>
      <c r="J26" s="120">
        <v>7762.4199999999983</v>
      </c>
      <c r="K26" s="85">
        <f>SUM(H26:J26)</f>
        <v>9712.7199999999975</v>
      </c>
      <c r="L26" s="124">
        <f>+G26-K26</f>
        <v>23287.280000000002</v>
      </c>
    </row>
    <row r="27" spans="2:13" s="42" customFormat="1" ht="28.5" customHeight="1" x14ac:dyDescent="0.25">
      <c r="B27" s="229" t="s">
        <v>128</v>
      </c>
      <c r="C27" s="230"/>
      <c r="D27" s="230"/>
      <c r="E27" s="230"/>
      <c r="F27" s="231"/>
      <c r="G27" s="40">
        <f t="shared" ref="G27:L27" si="4">SUM(G26:G26)</f>
        <v>33000</v>
      </c>
      <c r="H27" s="40">
        <f t="shared" si="4"/>
        <v>947.09999999999991</v>
      </c>
      <c r="I27" s="40">
        <f t="shared" si="4"/>
        <v>1003.1999999999998</v>
      </c>
      <c r="J27" s="40">
        <f t="shared" si="4"/>
        <v>7762.4199999999983</v>
      </c>
      <c r="K27" s="40">
        <f t="shared" si="4"/>
        <v>9712.7199999999975</v>
      </c>
      <c r="L27" s="40">
        <f t="shared" si="4"/>
        <v>23287.280000000002</v>
      </c>
    </row>
    <row r="28" spans="2:13" s="43" customFormat="1" ht="25.5" customHeight="1" thickBot="1" x14ac:dyDescent="0.3">
      <c r="B28" s="47"/>
      <c r="C28" s="45"/>
      <c r="D28" s="47"/>
      <c r="E28" s="46"/>
      <c r="F28" s="45"/>
      <c r="G28" s="42"/>
      <c r="H28" s="42"/>
      <c r="I28" s="42"/>
      <c r="J28" s="42"/>
      <c r="K28" s="42"/>
      <c r="L28" s="41"/>
    </row>
    <row r="29" spans="2:13" s="42" customFormat="1" ht="22.5" customHeight="1" thickBot="1" x14ac:dyDescent="0.3">
      <c r="B29" s="235" t="s">
        <v>190</v>
      </c>
      <c r="C29" s="236"/>
      <c r="D29" s="236"/>
      <c r="E29" s="236"/>
      <c r="F29" s="236"/>
      <c r="G29" s="236"/>
      <c r="H29" s="236"/>
      <c r="I29" s="236"/>
      <c r="J29" s="236"/>
      <c r="K29" s="236"/>
      <c r="L29" s="237"/>
    </row>
    <row r="30" spans="2:13" s="95" customFormat="1" ht="33.75" customHeight="1" x14ac:dyDescent="0.25">
      <c r="B30" s="83">
        <f>+B26+1</f>
        <v>6</v>
      </c>
      <c r="C30" s="126" t="s">
        <v>256</v>
      </c>
      <c r="D30" s="136" t="s">
        <v>442</v>
      </c>
      <c r="E30" s="122" t="s">
        <v>257</v>
      </c>
      <c r="F30" s="121" t="s">
        <v>125</v>
      </c>
      <c r="G30" s="120">
        <v>28500</v>
      </c>
      <c r="H30" s="120">
        <v>817.94999999999982</v>
      </c>
      <c r="I30" s="92">
        <v>866.40000000000009</v>
      </c>
      <c r="J30" s="85">
        <v>6703.91</v>
      </c>
      <c r="K30" s="85">
        <f>SUM(H30:J30)</f>
        <v>8388.26</v>
      </c>
      <c r="L30" s="86">
        <f>+G30-K30</f>
        <v>20111.739999999998</v>
      </c>
      <c r="M30" s="50"/>
    </row>
    <row r="31" spans="2:13" s="42" customFormat="1" ht="25.5" customHeight="1" x14ac:dyDescent="0.25">
      <c r="B31" s="229" t="s">
        <v>128</v>
      </c>
      <c r="C31" s="230"/>
      <c r="D31" s="230"/>
      <c r="E31" s="230"/>
      <c r="F31" s="231"/>
      <c r="G31" s="40">
        <f t="shared" ref="G31:L31" si="5">SUM(G30:G30)</f>
        <v>28500</v>
      </c>
      <c r="H31" s="40">
        <f t="shared" si="5"/>
        <v>817.94999999999982</v>
      </c>
      <c r="I31" s="40">
        <f t="shared" si="5"/>
        <v>866.40000000000009</v>
      </c>
      <c r="J31" s="40">
        <f t="shared" si="5"/>
        <v>6703.91</v>
      </c>
      <c r="K31" s="40">
        <f t="shared" si="5"/>
        <v>8388.26</v>
      </c>
      <c r="L31" s="40">
        <f t="shared" si="5"/>
        <v>20111.739999999998</v>
      </c>
    </row>
    <row r="32" spans="2:13" s="42" customFormat="1" ht="25.5" customHeight="1" thickBot="1" x14ac:dyDescent="0.3">
      <c r="B32" s="53"/>
      <c r="C32" s="53"/>
      <c r="D32" s="53"/>
      <c r="E32" s="53"/>
      <c r="F32" s="53"/>
      <c r="G32" s="43"/>
      <c r="H32" s="43"/>
      <c r="I32" s="43"/>
      <c r="J32" s="43"/>
      <c r="K32" s="43"/>
      <c r="L32" s="43"/>
    </row>
    <row r="33" spans="2:13" s="42" customFormat="1" ht="30" customHeight="1" thickBot="1" x14ac:dyDescent="0.3">
      <c r="B33" s="235" t="s">
        <v>164</v>
      </c>
      <c r="C33" s="236"/>
      <c r="D33" s="236"/>
      <c r="E33" s="236"/>
      <c r="F33" s="236"/>
      <c r="G33" s="236"/>
      <c r="H33" s="236"/>
      <c r="I33" s="236"/>
      <c r="J33" s="236"/>
      <c r="K33" s="236"/>
      <c r="L33" s="237"/>
    </row>
    <row r="34" spans="2:13" s="56" customFormat="1" ht="30" customHeight="1" x14ac:dyDescent="0.25">
      <c r="B34" s="83">
        <f>+B30+1</f>
        <v>7</v>
      </c>
      <c r="C34" s="126" t="s">
        <v>64</v>
      </c>
      <c r="D34" s="136" t="s">
        <v>442</v>
      </c>
      <c r="E34" s="122" t="s">
        <v>191</v>
      </c>
      <c r="F34" s="121" t="s">
        <v>125</v>
      </c>
      <c r="G34" s="120">
        <v>52000</v>
      </c>
      <c r="H34" s="85">
        <v>1492.4</v>
      </c>
      <c r="I34" s="85">
        <v>748.6</v>
      </c>
      <c r="J34" s="120">
        <v>12439.750000000004</v>
      </c>
      <c r="K34" s="120">
        <f>SUM(H34:J34)</f>
        <v>14680.750000000004</v>
      </c>
      <c r="L34" s="124">
        <f>+G34-K34</f>
        <v>37319.25</v>
      </c>
      <c r="M34" s="42"/>
    </row>
    <row r="35" spans="2:13" s="42" customFormat="1" ht="30" customHeight="1" x14ac:dyDescent="0.25">
      <c r="B35" s="229" t="s">
        <v>128</v>
      </c>
      <c r="C35" s="230"/>
      <c r="D35" s="230"/>
      <c r="E35" s="230"/>
      <c r="F35" s="231"/>
      <c r="G35" s="40">
        <f t="shared" ref="G35:L35" si="6">SUM(G34:G34)</f>
        <v>52000</v>
      </c>
      <c r="H35" s="40">
        <f t="shared" si="6"/>
        <v>1492.4</v>
      </c>
      <c r="I35" s="40">
        <f t="shared" si="6"/>
        <v>748.6</v>
      </c>
      <c r="J35" s="40">
        <f t="shared" si="6"/>
        <v>12439.750000000004</v>
      </c>
      <c r="K35" s="40">
        <f t="shared" si="6"/>
        <v>14680.750000000004</v>
      </c>
      <c r="L35" s="40">
        <f t="shared" si="6"/>
        <v>37319.25</v>
      </c>
    </row>
    <row r="36" spans="2:13" s="42" customFormat="1" ht="25.5" customHeight="1" thickBot="1" x14ac:dyDescent="0.3">
      <c r="B36" s="47"/>
      <c r="C36" s="45"/>
      <c r="D36" s="47"/>
      <c r="E36" s="46"/>
      <c r="F36" s="45"/>
      <c r="L36" s="41"/>
    </row>
    <row r="37" spans="2:13" ht="30" customHeight="1" thickBot="1" x14ac:dyDescent="0.3">
      <c r="B37" s="235" t="s">
        <v>165</v>
      </c>
      <c r="C37" s="236"/>
      <c r="D37" s="236"/>
      <c r="E37" s="236"/>
      <c r="F37" s="236"/>
      <c r="G37" s="236"/>
      <c r="H37" s="236"/>
      <c r="I37" s="236"/>
      <c r="J37" s="236"/>
      <c r="K37" s="236"/>
      <c r="L37" s="237"/>
    </row>
    <row r="38" spans="2:13" ht="46.5" customHeight="1" x14ac:dyDescent="0.25">
      <c r="B38" s="88">
        <f>+B34+1</f>
        <v>8</v>
      </c>
      <c r="C38" s="195" t="s">
        <v>587</v>
      </c>
      <c r="D38" s="196" t="s">
        <v>442</v>
      </c>
      <c r="E38" s="122" t="s">
        <v>588</v>
      </c>
      <c r="F38" s="195" t="s">
        <v>124</v>
      </c>
      <c r="G38" s="197">
        <v>45000</v>
      </c>
      <c r="H38" s="170">
        <v>1291.5</v>
      </c>
      <c r="I38" s="170">
        <v>1368</v>
      </c>
      <c r="J38" s="170">
        <v>10585.12</v>
      </c>
      <c r="K38" s="171">
        <f>SUM(H38:J38)</f>
        <v>13244.62</v>
      </c>
      <c r="L38" s="172">
        <f>+G38-K38</f>
        <v>31755.379999999997</v>
      </c>
    </row>
    <row r="39" spans="2:13" ht="30" customHeight="1" x14ac:dyDescent="0.25">
      <c r="B39" s="229" t="s">
        <v>128</v>
      </c>
      <c r="C39" s="230"/>
      <c r="D39" s="230"/>
      <c r="E39" s="230"/>
      <c r="F39" s="231"/>
      <c r="G39" s="40">
        <f t="shared" ref="G39:L39" si="7">SUM(G38:G38)</f>
        <v>45000</v>
      </c>
      <c r="H39" s="40">
        <f t="shared" si="7"/>
        <v>1291.5</v>
      </c>
      <c r="I39" s="40">
        <f t="shared" si="7"/>
        <v>1368</v>
      </c>
      <c r="J39" s="40">
        <f t="shared" si="7"/>
        <v>10585.12</v>
      </c>
      <c r="K39" s="40">
        <f>SUM(K38:K38)</f>
        <v>13244.62</v>
      </c>
      <c r="L39" s="40">
        <f t="shared" si="7"/>
        <v>31755.379999999997</v>
      </c>
    </row>
    <row r="40" spans="2:13" s="42" customFormat="1" ht="32.25" customHeight="1" thickBot="1" x14ac:dyDescent="0.3">
      <c r="B40" s="47"/>
      <c r="C40" s="45"/>
      <c r="D40" s="47"/>
      <c r="E40" s="46"/>
      <c r="F40" s="45"/>
      <c r="L40" s="41"/>
    </row>
    <row r="41" spans="2:13" s="42" customFormat="1" ht="32.25" customHeight="1" thickBot="1" x14ac:dyDescent="0.3">
      <c r="B41" s="235" t="s">
        <v>168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7"/>
    </row>
    <row r="42" spans="2:13" s="95" customFormat="1" ht="30" customHeight="1" x14ac:dyDescent="0.25">
      <c r="B42" s="136">
        <f>+B38+1</f>
        <v>9</v>
      </c>
      <c r="C42" s="126" t="s">
        <v>609</v>
      </c>
      <c r="D42" s="136" t="s">
        <v>442</v>
      </c>
      <c r="E42" s="137" t="s">
        <v>192</v>
      </c>
      <c r="F42" s="121" t="s">
        <v>125</v>
      </c>
      <c r="G42" s="120">
        <v>50000</v>
      </c>
      <c r="H42" s="90">
        <v>1435</v>
      </c>
      <c r="I42" s="90">
        <v>1520</v>
      </c>
      <c r="J42" s="90">
        <v>11761.25</v>
      </c>
      <c r="K42" s="85">
        <f>SUM(H42:J42)</f>
        <v>14716.25</v>
      </c>
      <c r="L42" s="86">
        <f>+G42-K42</f>
        <v>35283.75</v>
      </c>
      <c r="M42" s="50"/>
    </row>
    <row r="43" spans="2:13" s="42" customFormat="1" ht="30" customHeight="1" x14ac:dyDescent="0.25">
      <c r="B43" s="229" t="s">
        <v>128</v>
      </c>
      <c r="C43" s="230"/>
      <c r="D43" s="230"/>
      <c r="E43" s="230"/>
      <c r="F43" s="231"/>
      <c r="G43" s="40">
        <f t="shared" ref="G43:L43" si="8">SUM(G42:G42)</f>
        <v>50000</v>
      </c>
      <c r="H43" s="40">
        <f t="shared" si="8"/>
        <v>1435</v>
      </c>
      <c r="I43" s="40">
        <f t="shared" si="8"/>
        <v>1520</v>
      </c>
      <c r="J43" s="40">
        <f t="shared" si="8"/>
        <v>11761.25</v>
      </c>
      <c r="K43" s="40">
        <f t="shared" si="8"/>
        <v>14716.25</v>
      </c>
      <c r="L43" s="40">
        <f t="shared" si="8"/>
        <v>35283.75</v>
      </c>
    </row>
    <row r="44" spans="2:13" ht="26.25" customHeight="1" thickBot="1" x14ac:dyDescent="0.25"/>
    <row r="45" spans="2:13" s="42" customFormat="1" ht="28.5" customHeight="1" thickBot="1" x14ac:dyDescent="0.3">
      <c r="B45" s="235" t="s">
        <v>170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7"/>
    </row>
    <row r="46" spans="2:13" s="56" customFormat="1" ht="30" customHeight="1" x14ac:dyDescent="0.25">
      <c r="B46" s="136">
        <f>+B42+1</f>
        <v>10</v>
      </c>
      <c r="C46" s="126" t="s">
        <v>67</v>
      </c>
      <c r="D46" s="136" t="s">
        <v>442</v>
      </c>
      <c r="E46" s="198" t="s">
        <v>193</v>
      </c>
      <c r="F46" s="121" t="s">
        <v>125</v>
      </c>
      <c r="G46" s="120">
        <v>34750</v>
      </c>
      <c r="H46" s="85">
        <v>997.32499999999982</v>
      </c>
      <c r="I46" s="85">
        <v>224.19999999999982</v>
      </c>
      <c r="J46" s="85">
        <v>8382.17</v>
      </c>
      <c r="K46" s="85">
        <f>SUM(H46:J46)</f>
        <v>9603.6949999999997</v>
      </c>
      <c r="L46" s="86">
        <f>+G46-K46</f>
        <v>25146.305</v>
      </c>
      <c r="M46" s="42"/>
    </row>
    <row r="47" spans="2:13" s="42" customFormat="1" ht="30" customHeight="1" x14ac:dyDescent="0.25">
      <c r="B47" s="229" t="s">
        <v>128</v>
      </c>
      <c r="C47" s="230"/>
      <c r="D47" s="230"/>
      <c r="E47" s="230"/>
      <c r="F47" s="231"/>
      <c r="G47" s="40">
        <f t="shared" ref="G47:L47" si="9">SUM(G46:G46)</f>
        <v>34750</v>
      </c>
      <c r="H47" s="40">
        <f t="shared" si="9"/>
        <v>997.32499999999982</v>
      </c>
      <c r="I47" s="40">
        <f t="shared" si="9"/>
        <v>224.19999999999982</v>
      </c>
      <c r="J47" s="40">
        <f t="shared" si="9"/>
        <v>8382.17</v>
      </c>
      <c r="K47" s="40">
        <f t="shared" si="9"/>
        <v>9603.6949999999997</v>
      </c>
      <c r="L47" s="40">
        <f t="shared" si="9"/>
        <v>25146.305</v>
      </c>
    </row>
    <row r="48" spans="2:13" customFormat="1" ht="33.75" customHeight="1" thickBot="1" x14ac:dyDescent="0.25">
      <c r="D48" s="152"/>
      <c r="M48" s="225"/>
    </row>
    <row r="49" spans="2:13" customFormat="1" ht="33.75" customHeight="1" thickBot="1" x14ac:dyDescent="0.3">
      <c r="B49" s="235" t="s">
        <v>174</v>
      </c>
      <c r="C49" s="236"/>
      <c r="D49" s="236"/>
      <c r="E49" s="236"/>
      <c r="F49" s="236"/>
      <c r="G49" s="236"/>
      <c r="H49" s="236"/>
      <c r="I49" s="236"/>
      <c r="J49" s="236"/>
      <c r="K49" s="236"/>
      <c r="L49" s="237"/>
      <c r="M49" s="225"/>
    </row>
    <row r="50" spans="2:13" customFormat="1" ht="33.75" customHeight="1" x14ac:dyDescent="0.25">
      <c r="B50" s="39">
        <f>+B46+1</f>
        <v>11</v>
      </c>
      <c r="C50" s="121" t="s">
        <v>507</v>
      </c>
      <c r="D50" s="39" t="s">
        <v>441</v>
      </c>
      <c r="E50" s="122" t="s">
        <v>508</v>
      </c>
      <c r="F50" s="121" t="s">
        <v>204</v>
      </c>
      <c r="G50" s="123">
        <v>55000</v>
      </c>
      <c r="H50" s="90">
        <v>1578.5</v>
      </c>
      <c r="I50" s="90">
        <v>1672</v>
      </c>
      <c r="J50" s="90">
        <v>12937.37</v>
      </c>
      <c r="K50" s="85">
        <f>SUM(H50:J50)</f>
        <v>16187.87</v>
      </c>
      <c r="L50" s="86">
        <f>+G50-K50</f>
        <v>38812.129999999997</v>
      </c>
      <c r="M50" s="225"/>
    </row>
    <row r="51" spans="2:13" customFormat="1" ht="33.75" customHeight="1" x14ac:dyDescent="0.25">
      <c r="B51" s="229" t="s">
        <v>128</v>
      </c>
      <c r="C51" s="230"/>
      <c r="D51" s="230"/>
      <c r="E51" s="230"/>
      <c r="F51" s="231"/>
      <c r="G51" s="40">
        <f t="shared" ref="G51:L51" si="10">SUM(G50:G50)</f>
        <v>55000</v>
      </c>
      <c r="H51" s="40">
        <f t="shared" si="10"/>
        <v>1578.5</v>
      </c>
      <c r="I51" s="40">
        <f t="shared" si="10"/>
        <v>1672</v>
      </c>
      <c r="J51" s="40">
        <f t="shared" si="10"/>
        <v>12937.37</v>
      </c>
      <c r="K51" s="40">
        <f t="shared" si="10"/>
        <v>16187.87</v>
      </c>
      <c r="L51" s="40">
        <f t="shared" si="10"/>
        <v>38812.129999999997</v>
      </c>
      <c r="M51" s="225"/>
    </row>
    <row r="52" spans="2:13" customFormat="1" ht="33.75" customHeight="1" thickBot="1" x14ac:dyDescent="0.25">
      <c r="D52" s="152"/>
      <c r="M52" s="225"/>
    </row>
    <row r="53" spans="2:13" s="42" customFormat="1" ht="30" customHeight="1" thickBot="1" x14ac:dyDescent="0.3">
      <c r="B53" s="235" t="s">
        <v>175</v>
      </c>
      <c r="C53" s="236"/>
      <c r="D53" s="236"/>
      <c r="E53" s="236"/>
      <c r="F53" s="236"/>
      <c r="G53" s="236"/>
      <c r="H53" s="236"/>
      <c r="I53" s="236"/>
      <c r="J53" s="236"/>
      <c r="K53" s="236"/>
      <c r="L53" s="237"/>
    </row>
    <row r="54" spans="2:13" s="56" customFormat="1" ht="30" customHeight="1" x14ac:dyDescent="0.25">
      <c r="B54" s="39">
        <f>+B50+1</f>
        <v>12</v>
      </c>
      <c r="C54" s="121" t="s">
        <v>202</v>
      </c>
      <c r="D54" s="39" t="s">
        <v>441</v>
      </c>
      <c r="E54" s="122" t="s">
        <v>273</v>
      </c>
      <c r="F54" s="121" t="s">
        <v>125</v>
      </c>
      <c r="G54" s="123">
        <v>55000</v>
      </c>
      <c r="H54" s="90">
        <v>1578.5</v>
      </c>
      <c r="I54" s="90">
        <v>1672</v>
      </c>
      <c r="J54" s="90">
        <v>12937.370000000003</v>
      </c>
      <c r="K54" s="85">
        <f>SUM(H54:J54)</f>
        <v>16187.870000000003</v>
      </c>
      <c r="L54" s="86">
        <f>+G54-K54</f>
        <v>38812.129999999997</v>
      </c>
      <c r="M54" s="42"/>
    </row>
    <row r="55" spans="2:13" s="50" customFormat="1" ht="30" customHeight="1" x14ac:dyDescent="0.25">
      <c r="B55" s="229" t="s">
        <v>128</v>
      </c>
      <c r="C55" s="230"/>
      <c r="D55" s="230"/>
      <c r="E55" s="230"/>
      <c r="F55" s="231"/>
      <c r="G55" s="40">
        <f t="shared" ref="G55:L55" si="11">SUM(G54:G54)</f>
        <v>55000</v>
      </c>
      <c r="H55" s="40">
        <f t="shared" si="11"/>
        <v>1578.5</v>
      </c>
      <c r="I55" s="40">
        <f t="shared" si="11"/>
        <v>1672</v>
      </c>
      <c r="J55" s="40">
        <f t="shared" si="11"/>
        <v>12937.370000000003</v>
      </c>
      <c r="K55" s="40">
        <f t="shared" si="11"/>
        <v>16187.870000000003</v>
      </c>
      <c r="L55" s="40">
        <f t="shared" si="11"/>
        <v>38812.129999999997</v>
      </c>
    </row>
    <row r="56" spans="2:13" s="42" customFormat="1" ht="31.5" customHeight="1" thickBot="1" x14ac:dyDescent="0.3">
      <c r="B56" s="4"/>
      <c r="C56" s="25"/>
      <c r="D56" s="4"/>
      <c r="E56" s="25"/>
      <c r="F56" s="25"/>
      <c r="G56" s="2"/>
      <c r="H56" s="1"/>
      <c r="I56" s="1"/>
      <c r="J56" s="1"/>
      <c r="K56" s="1"/>
      <c r="L56" s="1"/>
    </row>
    <row r="57" spans="2:13" s="42" customFormat="1" ht="31.5" customHeight="1" thickBot="1" x14ac:dyDescent="0.3">
      <c r="B57" s="235" t="s">
        <v>589</v>
      </c>
      <c r="C57" s="236"/>
      <c r="D57" s="236"/>
      <c r="E57" s="236"/>
      <c r="F57" s="236"/>
      <c r="G57" s="236"/>
      <c r="H57" s="236"/>
      <c r="I57" s="236"/>
      <c r="J57" s="236"/>
      <c r="K57" s="236"/>
      <c r="L57" s="237"/>
    </row>
    <row r="58" spans="2:13" s="42" customFormat="1" ht="31.5" customHeight="1" x14ac:dyDescent="0.25">
      <c r="B58" s="39">
        <f>+B54+1</f>
        <v>13</v>
      </c>
      <c r="C58" s="121" t="s">
        <v>105</v>
      </c>
      <c r="D58" s="39" t="s">
        <v>442</v>
      </c>
      <c r="E58" s="122" t="s">
        <v>590</v>
      </c>
      <c r="F58" s="89" t="s">
        <v>204</v>
      </c>
      <c r="G58" s="123">
        <v>45000</v>
      </c>
      <c r="H58" s="90">
        <v>1291.5</v>
      </c>
      <c r="I58" s="90">
        <v>1368</v>
      </c>
      <c r="J58" s="90">
        <v>10585.12</v>
      </c>
      <c r="K58" s="85">
        <f>SUM(H58:J58)</f>
        <v>13244.62</v>
      </c>
      <c r="L58" s="86">
        <f>+G58-K58</f>
        <v>31755.379999999997</v>
      </c>
    </row>
    <row r="59" spans="2:13" s="42" customFormat="1" ht="31.5" customHeight="1" x14ac:dyDescent="0.25">
      <c r="B59" s="229" t="s">
        <v>128</v>
      </c>
      <c r="C59" s="230"/>
      <c r="D59" s="230"/>
      <c r="E59" s="230"/>
      <c r="F59" s="231"/>
      <c r="G59" s="40">
        <f t="shared" ref="G59:L59" si="12">SUM(G58:G58)</f>
        <v>45000</v>
      </c>
      <c r="H59" s="40">
        <f t="shared" si="12"/>
        <v>1291.5</v>
      </c>
      <c r="I59" s="40">
        <f t="shared" si="12"/>
        <v>1368</v>
      </c>
      <c r="J59" s="40">
        <f t="shared" si="12"/>
        <v>10585.12</v>
      </c>
      <c r="K59" s="40">
        <f t="shared" si="12"/>
        <v>13244.62</v>
      </c>
      <c r="L59" s="40">
        <f t="shared" si="12"/>
        <v>31755.379999999997</v>
      </c>
    </row>
    <row r="60" spans="2:13" s="42" customFormat="1" ht="31.5" customHeight="1" thickBot="1" x14ac:dyDescent="0.3">
      <c r="B60" s="4"/>
      <c r="C60" s="25"/>
      <c r="D60" s="4"/>
      <c r="E60" s="25"/>
      <c r="F60" s="25"/>
      <c r="G60" s="2"/>
      <c r="H60" s="1"/>
      <c r="I60" s="1"/>
      <c r="J60" s="1"/>
      <c r="K60" s="1"/>
      <c r="L60" s="1"/>
    </row>
    <row r="61" spans="2:13" s="56" customFormat="1" ht="28.5" customHeight="1" thickBot="1" x14ac:dyDescent="0.3">
      <c r="B61" s="235" t="s">
        <v>178</v>
      </c>
      <c r="C61" s="236"/>
      <c r="D61" s="236"/>
      <c r="E61" s="236"/>
      <c r="F61" s="236"/>
      <c r="G61" s="236"/>
      <c r="H61" s="236"/>
      <c r="I61" s="236"/>
      <c r="J61" s="236"/>
      <c r="K61" s="236"/>
      <c r="L61" s="237"/>
      <c r="M61" s="42"/>
    </row>
    <row r="62" spans="2:13" s="56" customFormat="1" ht="30" customHeight="1" x14ac:dyDescent="0.25">
      <c r="B62" s="83">
        <f>B58+1</f>
        <v>14</v>
      </c>
      <c r="C62" s="126" t="s">
        <v>281</v>
      </c>
      <c r="D62" s="136" t="s">
        <v>441</v>
      </c>
      <c r="E62" s="137" t="s">
        <v>282</v>
      </c>
      <c r="F62" s="121" t="s">
        <v>125</v>
      </c>
      <c r="G62" s="120">
        <v>28500</v>
      </c>
      <c r="H62" s="90">
        <v>817.94999999999982</v>
      </c>
      <c r="I62" s="90">
        <v>866.40000000000009</v>
      </c>
      <c r="J62" s="90">
        <v>6703.91</v>
      </c>
      <c r="K62" s="85">
        <f>SUM(H62:J62)</f>
        <v>8388.26</v>
      </c>
      <c r="L62" s="86">
        <f>+G62-K62</f>
        <v>20111.739999999998</v>
      </c>
      <c r="M62" s="42"/>
    </row>
    <row r="63" spans="2:13" ht="29.25" customHeight="1" x14ac:dyDescent="0.25">
      <c r="B63" s="229" t="s">
        <v>128</v>
      </c>
      <c r="C63" s="230"/>
      <c r="D63" s="230"/>
      <c r="E63" s="230"/>
      <c r="F63" s="231"/>
      <c r="G63" s="40">
        <f t="shared" ref="G63:L63" si="13">SUM(G62:G62)</f>
        <v>28500</v>
      </c>
      <c r="H63" s="40">
        <f t="shared" si="13"/>
        <v>817.94999999999982</v>
      </c>
      <c r="I63" s="40">
        <f t="shared" si="13"/>
        <v>866.40000000000009</v>
      </c>
      <c r="J63" s="40">
        <f t="shared" si="13"/>
        <v>6703.91</v>
      </c>
      <c r="K63" s="40">
        <f t="shared" si="13"/>
        <v>8388.26</v>
      </c>
      <c r="L63" s="40">
        <f t="shared" si="13"/>
        <v>20111.739999999998</v>
      </c>
    </row>
    <row r="64" spans="2:13" ht="29.25" customHeight="1" thickBot="1" x14ac:dyDescent="0.3">
      <c r="B64" s="53"/>
      <c r="C64" s="53"/>
      <c r="D64" s="53"/>
      <c r="E64" s="53"/>
      <c r="F64" s="53"/>
      <c r="G64" s="43"/>
      <c r="H64" s="43"/>
      <c r="I64" s="43"/>
      <c r="J64" s="43"/>
      <c r="K64" s="43"/>
      <c r="L64" s="43"/>
    </row>
    <row r="65" spans="2:13" s="56" customFormat="1" ht="30" customHeight="1" thickBot="1" x14ac:dyDescent="0.3">
      <c r="B65" s="232" t="s">
        <v>179</v>
      </c>
      <c r="C65" s="233"/>
      <c r="D65" s="233"/>
      <c r="E65" s="233"/>
      <c r="F65" s="233"/>
      <c r="G65" s="233"/>
      <c r="H65" s="233"/>
      <c r="I65" s="233"/>
      <c r="J65" s="233"/>
      <c r="K65" s="233"/>
      <c r="L65" s="234"/>
      <c r="M65" s="42"/>
    </row>
    <row r="66" spans="2:13" s="50" customFormat="1" ht="37.5" customHeight="1" x14ac:dyDescent="0.25">
      <c r="B66" s="88">
        <f>+B62+1</f>
        <v>15</v>
      </c>
      <c r="C66" s="121" t="s">
        <v>74</v>
      </c>
      <c r="D66" s="39" t="s">
        <v>442</v>
      </c>
      <c r="E66" s="122" t="s">
        <v>208</v>
      </c>
      <c r="F66" s="121" t="s">
        <v>125</v>
      </c>
      <c r="G66" s="123">
        <v>41500</v>
      </c>
      <c r="H66" s="90">
        <v>1191.0500000000002</v>
      </c>
      <c r="I66" s="90">
        <v>429.40000000000055</v>
      </c>
      <c r="J66" s="90">
        <v>9969.89</v>
      </c>
      <c r="K66" s="85">
        <f>SUM(H66:J66)</f>
        <v>11590.34</v>
      </c>
      <c r="L66" s="92">
        <f>+G66-K66</f>
        <v>29909.66</v>
      </c>
    </row>
    <row r="67" spans="2:13" customFormat="1" ht="27" customHeight="1" x14ac:dyDescent="0.25">
      <c r="B67" s="229" t="s">
        <v>128</v>
      </c>
      <c r="C67" s="230"/>
      <c r="D67" s="230"/>
      <c r="E67" s="230"/>
      <c r="F67" s="231"/>
      <c r="G67" s="40">
        <f>SUM(G66)</f>
        <v>41500</v>
      </c>
      <c r="H67" s="40">
        <f t="shared" ref="H67:L67" si="14">SUM(H65:H66)</f>
        <v>1191.0500000000002</v>
      </c>
      <c r="I67" s="40">
        <f t="shared" si="14"/>
        <v>429.40000000000055</v>
      </c>
      <c r="J67" s="40">
        <f t="shared" si="14"/>
        <v>9969.89</v>
      </c>
      <c r="K67" s="40">
        <f t="shared" si="14"/>
        <v>11590.34</v>
      </c>
      <c r="L67" s="40">
        <f t="shared" si="14"/>
        <v>29909.66</v>
      </c>
      <c r="M67" s="225"/>
    </row>
    <row r="68" spans="2:13" customFormat="1" ht="27" customHeight="1" thickBot="1" x14ac:dyDescent="0.3">
      <c r="B68" s="53"/>
      <c r="C68" s="53"/>
      <c r="D68" s="53"/>
      <c r="E68" s="53"/>
      <c r="F68" s="53"/>
      <c r="G68" s="94"/>
      <c r="H68" s="94"/>
      <c r="I68" s="94"/>
      <c r="J68" s="94"/>
      <c r="K68" s="94"/>
      <c r="L68" s="94"/>
      <c r="M68" s="225"/>
    </row>
    <row r="69" spans="2:13" customFormat="1" ht="27" customHeight="1" thickBot="1" x14ac:dyDescent="0.3">
      <c r="B69" s="232" t="s">
        <v>163</v>
      </c>
      <c r="C69" s="233"/>
      <c r="D69" s="233"/>
      <c r="E69" s="233"/>
      <c r="F69" s="233"/>
      <c r="G69" s="233"/>
      <c r="H69" s="233"/>
      <c r="I69" s="233"/>
      <c r="J69" s="233"/>
      <c r="K69" s="233"/>
      <c r="L69" s="234"/>
      <c r="M69" s="225"/>
    </row>
    <row r="70" spans="2:13" customFormat="1" ht="75" customHeight="1" x14ac:dyDescent="0.25">
      <c r="B70" s="83">
        <f>+B66+1</f>
        <v>16</v>
      </c>
      <c r="C70" s="126" t="s">
        <v>54</v>
      </c>
      <c r="D70" s="136" t="s">
        <v>442</v>
      </c>
      <c r="E70" s="137" t="s">
        <v>580</v>
      </c>
      <c r="F70" s="121" t="s">
        <v>125</v>
      </c>
      <c r="G70" s="85">
        <v>33000</v>
      </c>
      <c r="H70" s="85">
        <v>947.09999999999991</v>
      </c>
      <c r="I70" s="85">
        <v>1003.1999999999998</v>
      </c>
      <c r="J70" s="120">
        <v>7762.4199999999983</v>
      </c>
      <c r="K70" s="85">
        <f>SUM(H70:J70)</f>
        <v>9712.7199999999975</v>
      </c>
      <c r="L70" s="124">
        <f>+G70-K70</f>
        <v>23287.280000000002</v>
      </c>
      <c r="M70" s="225"/>
    </row>
    <row r="71" spans="2:13" s="42" customFormat="1" ht="30" customHeight="1" x14ac:dyDescent="0.25">
      <c r="B71" s="229" t="s">
        <v>128</v>
      </c>
      <c r="C71" s="230"/>
      <c r="D71" s="230"/>
      <c r="E71" s="230"/>
      <c r="F71" s="231"/>
      <c r="G71" s="40">
        <f t="shared" ref="G71:L71" si="15">SUM(G70:G70)</f>
        <v>33000</v>
      </c>
      <c r="H71" s="40">
        <f t="shared" si="15"/>
        <v>947.09999999999991</v>
      </c>
      <c r="I71" s="40">
        <f t="shared" si="15"/>
        <v>1003.1999999999998</v>
      </c>
      <c r="J71" s="40">
        <f t="shared" si="15"/>
        <v>7762.4199999999983</v>
      </c>
      <c r="K71" s="40">
        <f t="shared" si="15"/>
        <v>9712.7199999999975</v>
      </c>
      <c r="L71" s="40">
        <f t="shared" si="15"/>
        <v>23287.280000000002</v>
      </c>
    </row>
    <row r="72" spans="2:13" s="42" customFormat="1" ht="30" customHeight="1" thickBot="1" x14ac:dyDescent="0.3">
      <c r="B72" s="53"/>
      <c r="C72" s="53"/>
      <c r="D72" s="53"/>
      <c r="E72" s="53"/>
      <c r="F72" s="53"/>
      <c r="G72" s="43"/>
      <c r="H72" s="43"/>
      <c r="I72" s="43"/>
      <c r="J72" s="43"/>
      <c r="K72" s="43"/>
      <c r="L72" s="43"/>
    </row>
    <row r="73" spans="2:13" s="56" customFormat="1" ht="27" customHeight="1" thickBot="1" x14ac:dyDescent="0.3">
      <c r="B73" s="232" t="s">
        <v>94</v>
      </c>
      <c r="C73" s="233"/>
      <c r="D73" s="233"/>
      <c r="E73" s="233"/>
      <c r="F73" s="233"/>
      <c r="G73" s="233"/>
      <c r="H73" s="233"/>
      <c r="I73" s="233"/>
      <c r="J73" s="233"/>
      <c r="K73" s="233"/>
      <c r="L73" s="234"/>
      <c r="M73" s="42"/>
    </row>
    <row r="74" spans="2:13" s="56" customFormat="1" ht="30" customHeight="1" x14ac:dyDescent="0.25">
      <c r="B74" s="83">
        <f>+B70+1</f>
        <v>17</v>
      </c>
      <c r="C74" s="126" t="s">
        <v>290</v>
      </c>
      <c r="D74" s="136" t="s">
        <v>442</v>
      </c>
      <c r="E74" s="137" t="s">
        <v>291</v>
      </c>
      <c r="F74" s="121" t="s">
        <v>125</v>
      </c>
      <c r="G74" s="120">
        <v>29500</v>
      </c>
      <c r="H74" s="90">
        <v>846.64999999999964</v>
      </c>
      <c r="I74" s="85">
        <v>0</v>
      </c>
      <c r="J74" s="90">
        <v>7163.3400000000038</v>
      </c>
      <c r="K74" s="85">
        <f>SUM(H74:J74)</f>
        <v>8009.9900000000034</v>
      </c>
      <c r="L74" s="92">
        <f>+G74-K74</f>
        <v>21490.009999999995</v>
      </c>
      <c r="M74" s="42"/>
    </row>
    <row r="75" spans="2:13" s="56" customFormat="1" ht="31.5" x14ac:dyDescent="0.25">
      <c r="B75" s="39">
        <f>+B74+1</f>
        <v>18</v>
      </c>
      <c r="C75" s="121" t="s">
        <v>14</v>
      </c>
      <c r="D75" s="39" t="s">
        <v>442</v>
      </c>
      <c r="E75" s="122" t="s">
        <v>562</v>
      </c>
      <c r="F75" s="121" t="s">
        <v>204</v>
      </c>
      <c r="G75" s="123">
        <v>5000</v>
      </c>
      <c r="H75" s="90">
        <v>143.5</v>
      </c>
      <c r="I75" s="90">
        <v>152</v>
      </c>
      <c r="J75" s="90">
        <v>1176.130000000001</v>
      </c>
      <c r="K75" s="85">
        <f>SUM(H75:J75)</f>
        <v>1471.630000000001</v>
      </c>
      <c r="L75" s="86">
        <f>+G75-K75</f>
        <v>3528.369999999999</v>
      </c>
      <c r="M75" s="42"/>
    </row>
    <row r="76" spans="2:13" s="42" customFormat="1" ht="25.5" customHeight="1" x14ac:dyDescent="0.25">
      <c r="B76" s="229" t="s">
        <v>128</v>
      </c>
      <c r="C76" s="230"/>
      <c r="D76" s="230"/>
      <c r="E76" s="230"/>
      <c r="F76" s="231"/>
      <c r="G76" s="40">
        <f>SUM(G74:G75)</f>
        <v>34500</v>
      </c>
      <c r="H76" s="40">
        <f t="shared" ref="H76:L76" si="16">SUM(H74:H75)</f>
        <v>990.14999999999964</v>
      </c>
      <c r="I76" s="40">
        <f t="shared" si="16"/>
        <v>152</v>
      </c>
      <c r="J76" s="40">
        <f t="shared" si="16"/>
        <v>8339.4700000000048</v>
      </c>
      <c r="K76" s="40">
        <f t="shared" si="16"/>
        <v>9481.6200000000044</v>
      </c>
      <c r="L76" s="40">
        <f t="shared" si="16"/>
        <v>25018.379999999994</v>
      </c>
    </row>
    <row r="77" spans="2:13" s="42" customFormat="1" ht="25.5" customHeight="1" thickBot="1" x14ac:dyDescent="0.3">
      <c r="B77" s="53"/>
      <c r="C77" s="53"/>
      <c r="D77" s="53"/>
      <c r="E77" s="53"/>
      <c r="F77" s="53"/>
      <c r="G77" s="43"/>
      <c r="H77" s="43"/>
      <c r="I77" s="43"/>
      <c r="J77" s="43"/>
      <c r="K77" s="43"/>
      <c r="L77" s="43"/>
    </row>
    <row r="78" spans="2:13" s="42" customFormat="1" ht="25.5" customHeight="1" thickBot="1" x14ac:dyDescent="0.3">
      <c r="B78" s="235" t="s">
        <v>591</v>
      </c>
      <c r="C78" s="236"/>
      <c r="D78" s="236"/>
      <c r="E78" s="236"/>
      <c r="F78" s="236"/>
      <c r="G78" s="236"/>
      <c r="H78" s="236"/>
      <c r="I78" s="236"/>
      <c r="J78" s="236"/>
      <c r="K78" s="236"/>
      <c r="L78" s="237"/>
    </row>
    <row r="79" spans="2:13" s="42" customFormat="1" ht="30" customHeight="1" x14ac:dyDescent="0.25">
      <c r="B79" s="39">
        <f>B75+1</f>
        <v>19</v>
      </c>
      <c r="C79" s="121" t="s">
        <v>592</v>
      </c>
      <c r="D79" s="39" t="s">
        <v>442</v>
      </c>
      <c r="E79" s="122" t="s">
        <v>593</v>
      </c>
      <c r="F79" s="121" t="s">
        <v>204</v>
      </c>
      <c r="G79" s="90">
        <v>85000</v>
      </c>
      <c r="H79" s="90">
        <v>2439.5</v>
      </c>
      <c r="I79" s="90">
        <v>2359.8000000000002</v>
      </c>
      <c r="J79" s="213">
        <v>20050.18</v>
      </c>
      <c r="K79" s="85">
        <f>SUM(H79:J79)</f>
        <v>24849.48</v>
      </c>
      <c r="L79" s="86">
        <f>+G79-K79</f>
        <v>60150.520000000004</v>
      </c>
    </row>
    <row r="80" spans="2:13" s="42" customFormat="1" ht="30" customHeight="1" x14ac:dyDescent="0.25">
      <c r="B80" s="39">
        <f>+B79+1</f>
        <v>20</v>
      </c>
      <c r="C80" s="121" t="s">
        <v>640</v>
      </c>
      <c r="D80" s="39" t="s">
        <v>442</v>
      </c>
      <c r="E80" s="122" t="s">
        <v>641</v>
      </c>
      <c r="F80" s="121" t="s">
        <v>204</v>
      </c>
      <c r="G80" s="90">
        <v>20000</v>
      </c>
      <c r="H80" s="90">
        <v>574</v>
      </c>
      <c r="I80" s="90">
        <v>608</v>
      </c>
      <c r="J80" s="213">
        <v>3438.83</v>
      </c>
      <c r="K80" s="85">
        <f>SUM(H80:J80)</f>
        <v>4620.83</v>
      </c>
      <c r="L80" s="86">
        <f>+G80-K80</f>
        <v>15379.17</v>
      </c>
    </row>
    <row r="81" spans="2:13" s="42" customFormat="1" ht="25.5" customHeight="1" x14ac:dyDescent="0.25">
      <c r="B81" s="229" t="s">
        <v>128</v>
      </c>
      <c r="C81" s="230"/>
      <c r="D81" s="230"/>
      <c r="E81" s="230"/>
      <c r="F81" s="231"/>
      <c r="G81" s="40">
        <f>SUM(G79:G80)</f>
        <v>105000</v>
      </c>
      <c r="H81" s="40">
        <f t="shared" ref="H81:L81" si="17">SUM(H79:H80)</f>
        <v>3013.5</v>
      </c>
      <c r="I81" s="40">
        <f t="shared" si="17"/>
        <v>2967.8</v>
      </c>
      <c r="J81" s="40">
        <f t="shared" si="17"/>
        <v>23489.010000000002</v>
      </c>
      <c r="K81" s="40">
        <f t="shared" si="17"/>
        <v>29470.309999999998</v>
      </c>
      <c r="L81" s="40">
        <f t="shared" si="17"/>
        <v>75529.69</v>
      </c>
    </row>
    <row r="82" spans="2:13" s="42" customFormat="1" ht="25.5" customHeight="1" thickBot="1" x14ac:dyDescent="0.3">
      <c r="B82" s="53"/>
      <c r="C82" s="53"/>
      <c r="D82" s="53"/>
      <c r="E82" s="53"/>
      <c r="F82" s="53"/>
      <c r="G82" s="43"/>
      <c r="H82" s="43"/>
      <c r="I82" s="43"/>
      <c r="J82" s="43"/>
      <c r="K82" s="43"/>
      <c r="L82" s="43"/>
    </row>
    <row r="83" spans="2:13" s="42" customFormat="1" ht="25.5" customHeight="1" thickBot="1" x14ac:dyDescent="0.3">
      <c r="B83" s="235" t="s">
        <v>95</v>
      </c>
      <c r="C83" s="236"/>
      <c r="D83" s="236"/>
      <c r="E83" s="236"/>
      <c r="F83" s="236"/>
      <c r="G83" s="236"/>
      <c r="H83" s="236"/>
      <c r="I83" s="236"/>
      <c r="J83" s="236"/>
      <c r="K83" s="236"/>
      <c r="L83" s="237"/>
    </row>
    <row r="84" spans="2:13" s="42" customFormat="1" ht="31.5" customHeight="1" x14ac:dyDescent="0.25">
      <c r="B84" s="39">
        <f>+B80+1</f>
        <v>21</v>
      </c>
      <c r="C84" s="121" t="s">
        <v>511</v>
      </c>
      <c r="D84" s="39" t="s">
        <v>442</v>
      </c>
      <c r="E84" s="122" t="s">
        <v>512</v>
      </c>
      <c r="F84" s="121" t="s">
        <v>204</v>
      </c>
      <c r="G84" s="123">
        <v>90000</v>
      </c>
      <c r="H84" s="90">
        <v>2583</v>
      </c>
      <c r="I84" s="90">
        <v>2511.8000000000002</v>
      </c>
      <c r="J84" s="176">
        <v>21226.3</v>
      </c>
      <c r="K84" s="85">
        <f>SUM(H84:J84)</f>
        <v>26321.1</v>
      </c>
      <c r="L84" s="86">
        <f>+G84-K84</f>
        <v>63678.9</v>
      </c>
    </row>
    <row r="85" spans="2:13" s="42" customFormat="1" ht="30" customHeight="1" x14ac:dyDescent="0.25">
      <c r="B85" s="39">
        <f>+B84+1</f>
        <v>22</v>
      </c>
      <c r="C85" s="121" t="s">
        <v>141</v>
      </c>
      <c r="D85" s="39" t="s">
        <v>442</v>
      </c>
      <c r="E85" s="122" t="s">
        <v>642</v>
      </c>
      <c r="F85" s="121" t="s">
        <v>124</v>
      </c>
      <c r="G85" s="123">
        <v>25000</v>
      </c>
      <c r="H85" s="123">
        <v>717.5</v>
      </c>
      <c r="I85" s="123">
        <v>760</v>
      </c>
      <c r="J85" s="123">
        <v>4220.12</v>
      </c>
      <c r="K85" s="120">
        <f>SUM(H85:J85)</f>
        <v>5697.62</v>
      </c>
      <c r="L85" s="124">
        <f>+G85-K85</f>
        <v>19302.38</v>
      </c>
      <c r="M85" s="41"/>
    </row>
    <row r="86" spans="2:13" s="42" customFormat="1" ht="25.5" customHeight="1" x14ac:dyDescent="0.25">
      <c r="B86" s="229" t="s">
        <v>128</v>
      </c>
      <c r="C86" s="230"/>
      <c r="D86" s="230"/>
      <c r="E86" s="230"/>
      <c r="F86" s="231"/>
      <c r="G86" s="40">
        <f>SUM(G84:G85)</f>
        <v>115000</v>
      </c>
      <c r="H86" s="40">
        <f t="shared" ref="H86:L86" si="18">SUM(H84:H85)</f>
        <v>3300.5</v>
      </c>
      <c r="I86" s="40">
        <f t="shared" si="18"/>
        <v>3271.8</v>
      </c>
      <c r="J86" s="40">
        <f t="shared" si="18"/>
        <v>25446.42</v>
      </c>
      <c r="K86" s="40">
        <f t="shared" si="18"/>
        <v>32018.719999999998</v>
      </c>
      <c r="L86" s="40">
        <f t="shared" si="18"/>
        <v>82981.279999999999</v>
      </c>
    </row>
    <row r="87" spans="2:13" s="42" customFormat="1" ht="25.5" customHeight="1" thickBot="1" x14ac:dyDescent="0.3">
      <c r="B87" s="53"/>
      <c r="C87" s="53"/>
      <c r="D87" s="53"/>
      <c r="E87" s="53"/>
      <c r="F87" s="53"/>
      <c r="G87" s="43"/>
      <c r="H87" s="43"/>
      <c r="I87" s="43"/>
      <c r="J87" s="43"/>
      <c r="K87" s="43"/>
      <c r="L87" s="43"/>
    </row>
    <row r="88" spans="2:13" s="42" customFormat="1" ht="25.5" customHeight="1" thickBot="1" x14ac:dyDescent="0.3">
      <c r="B88" s="232" t="s">
        <v>525</v>
      </c>
      <c r="C88" s="233"/>
      <c r="D88" s="233"/>
      <c r="E88" s="233"/>
      <c r="F88" s="233"/>
      <c r="G88" s="233"/>
      <c r="H88" s="233"/>
      <c r="I88" s="233"/>
      <c r="J88" s="233"/>
      <c r="K88" s="233"/>
      <c r="L88" s="234"/>
    </row>
    <row r="89" spans="2:13" s="42" customFormat="1" ht="25.5" customHeight="1" x14ac:dyDescent="0.25">
      <c r="B89" s="88">
        <f>+B85+1</f>
        <v>23</v>
      </c>
      <c r="C89" s="121" t="s">
        <v>524</v>
      </c>
      <c r="D89" s="39" t="s">
        <v>442</v>
      </c>
      <c r="E89" s="121" t="s">
        <v>111</v>
      </c>
      <c r="F89" s="121" t="s">
        <v>204</v>
      </c>
      <c r="G89" s="123">
        <v>25000</v>
      </c>
      <c r="H89" s="90">
        <v>717.5</v>
      </c>
      <c r="I89" s="90">
        <v>760</v>
      </c>
      <c r="J89" s="90">
        <v>4220.12</v>
      </c>
      <c r="K89" s="85">
        <f>SUM(H89:J89)</f>
        <v>5697.62</v>
      </c>
      <c r="L89" s="85">
        <f>+G89-K89</f>
        <v>19302.38</v>
      </c>
    </row>
    <row r="90" spans="2:13" s="42" customFormat="1" ht="25.5" customHeight="1" x14ac:dyDescent="0.25">
      <c r="B90" s="229" t="s">
        <v>128</v>
      </c>
      <c r="C90" s="230"/>
      <c r="D90" s="230"/>
      <c r="E90" s="230"/>
      <c r="F90" s="231"/>
      <c r="G90" s="40">
        <f t="shared" ref="G90:L90" si="19">SUM(G89:G89)</f>
        <v>25000</v>
      </c>
      <c r="H90" s="40">
        <f t="shared" si="19"/>
        <v>717.5</v>
      </c>
      <c r="I90" s="40">
        <f t="shared" si="19"/>
        <v>760</v>
      </c>
      <c r="J90" s="40">
        <f t="shared" si="19"/>
        <v>4220.12</v>
      </c>
      <c r="K90" s="40">
        <f>SUM(K89:K89)</f>
        <v>5697.62</v>
      </c>
      <c r="L90" s="40">
        <f t="shared" si="19"/>
        <v>19302.38</v>
      </c>
    </row>
    <row r="91" spans="2:13" s="42" customFormat="1" ht="27" customHeight="1" thickBot="1" x14ac:dyDescent="0.3">
      <c r="B91" s="53"/>
      <c r="C91" s="53"/>
      <c r="D91" s="53"/>
      <c r="E91" s="53"/>
      <c r="F91" s="53"/>
      <c r="G91"/>
      <c r="H91"/>
      <c r="I91"/>
      <c r="J91"/>
      <c r="K91"/>
      <c r="L91"/>
    </row>
    <row r="92" spans="2:13" s="56" customFormat="1" ht="30" customHeight="1" thickBot="1" x14ac:dyDescent="0.3">
      <c r="B92" s="238" t="s">
        <v>305</v>
      </c>
      <c r="C92" s="239"/>
      <c r="D92" s="239"/>
      <c r="E92" s="239"/>
      <c r="F92" s="239"/>
      <c r="G92" s="239"/>
      <c r="H92" s="239"/>
      <c r="I92" s="239"/>
      <c r="J92" s="239"/>
      <c r="K92" s="239"/>
      <c r="L92" s="240"/>
      <c r="M92" s="42"/>
    </row>
    <row r="93" spans="2:13" s="95" customFormat="1" ht="30" customHeight="1" x14ac:dyDescent="0.25">
      <c r="B93" s="88">
        <f>+B89+1</f>
        <v>24</v>
      </c>
      <c r="C93" s="121" t="s">
        <v>637</v>
      </c>
      <c r="D93" s="39" t="s">
        <v>441</v>
      </c>
      <c r="E93" s="140" t="s">
        <v>449</v>
      </c>
      <c r="F93" s="121" t="s">
        <v>204</v>
      </c>
      <c r="G93" s="123">
        <v>35000</v>
      </c>
      <c r="H93" s="90">
        <v>1004.5</v>
      </c>
      <c r="I93" s="90">
        <v>1064</v>
      </c>
      <c r="J93" s="85">
        <v>8232.8799999999992</v>
      </c>
      <c r="K93" s="85">
        <f>SUM(H93:J93)</f>
        <v>10301.379999999999</v>
      </c>
      <c r="L93" s="86">
        <f>+G93-K93</f>
        <v>24698.620000000003</v>
      </c>
      <c r="M93" s="50"/>
    </row>
    <row r="94" spans="2:13" s="42" customFormat="1" ht="30" customHeight="1" x14ac:dyDescent="0.25">
      <c r="B94" s="229" t="s">
        <v>128</v>
      </c>
      <c r="C94" s="230"/>
      <c r="D94" s="230"/>
      <c r="E94" s="230"/>
      <c r="F94" s="231"/>
      <c r="G94" s="40">
        <f t="shared" ref="G94:J94" si="20">SUM(G93:G93)</f>
        <v>35000</v>
      </c>
      <c r="H94" s="40">
        <f t="shared" si="20"/>
        <v>1004.5</v>
      </c>
      <c r="I94" s="40">
        <f t="shared" si="20"/>
        <v>1064</v>
      </c>
      <c r="J94" s="40">
        <f t="shared" si="20"/>
        <v>8232.8799999999992</v>
      </c>
      <c r="K94" s="40">
        <f>SUM(K93:K93)</f>
        <v>10301.379999999999</v>
      </c>
      <c r="L94" s="40">
        <f t="shared" ref="L94" si="21">SUM(L93:L93)</f>
        <v>24698.620000000003</v>
      </c>
    </row>
    <row r="95" spans="2:13" s="42" customFormat="1" ht="30" customHeight="1" thickBot="1" x14ac:dyDescent="0.3">
      <c r="B95" s="53"/>
      <c r="C95" s="53"/>
      <c r="D95" s="53"/>
      <c r="E95" s="53"/>
      <c r="F95" s="53"/>
      <c r="G95"/>
      <c r="H95"/>
      <c r="I95"/>
      <c r="J95"/>
      <c r="K95"/>
      <c r="L95"/>
    </row>
    <row r="96" spans="2:13" s="56" customFormat="1" ht="30" customHeight="1" thickBot="1" x14ac:dyDescent="0.3">
      <c r="B96" s="238" t="s">
        <v>472</v>
      </c>
      <c r="C96" s="239"/>
      <c r="D96" s="239"/>
      <c r="E96" s="239"/>
      <c r="F96" s="239"/>
      <c r="G96" s="239"/>
      <c r="H96" s="239"/>
      <c r="I96" s="239"/>
      <c r="J96" s="239"/>
      <c r="K96" s="239"/>
      <c r="L96" s="240"/>
      <c r="M96" s="42"/>
    </row>
    <row r="97" spans="2:13" s="95" customFormat="1" ht="30" customHeight="1" x14ac:dyDescent="0.25">
      <c r="B97" s="88">
        <f>+B93+1</f>
        <v>25</v>
      </c>
      <c r="C97" s="121" t="s">
        <v>13</v>
      </c>
      <c r="D97" s="39" t="s">
        <v>441</v>
      </c>
      <c r="E97" s="140" t="s">
        <v>449</v>
      </c>
      <c r="F97" s="121" t="s">
        <v>204</v>
      </c>
      <c r="G97" s="123">
        <v>50000</v>
      </c>
      <c r="H97" s="90">
        <v>1435</v>
      </c>
      <c r="I97" s="90">
        <v>1520</v>
      </c>
      <c r="J97" s="85">
        <v>11761.250000000002</v>
      </c>
      <c r="K97" s="85">
        <f>SUM(H97:J97)</f>
        <v>14716.250000000002</v>
      </c>
      <c r="L97" s="86">
        <f>+G97-K97</f>
        <v>35283.75</v>
      </c>
      <c r="M97" s="50"/>
    </row>
    <row r="98" spans="2:13" s="42" customFormat="1" ht="30" customHeight="1" x14ac:dyDescent="0.25">
      <c r="B98" s="229" t="s">
        <v>128</v>
      </c>
      <c r="C98" s="230"/>
      <c r="D98" s="230"/>
      <c r="E98" s="230"/>
      <c r="F98" s="231"/>
      <c r="G98" s="40">
        <f t="shared" ref="G98:L98" si="22">SUM(G97:G97)</f>
        <v>50000</v>
      </c>
      <c r="H98" s="40">
        <f t="shared" si="22"/>
        <v>1435</v>
      </c>
      <c r="I98" s="40">
        <f t="shared" si="22"/>
        <v>1520</v>
      </c>
      <c r="J98" s="40">
        <f t="shared" si="22"/>
        <v>11761.250000000002</v>
      </c>
      <c r="K98" s="40">
        <f>SUM(K97:K97)</f>
        <v>14716.250000000002</v>
      </c>
      <c r="L98" s="40">
        <f t="shared" si="22"/>
        <v>35283.75</v>
      </c>
    </row>
    <row r="99" spans="2:13" s="42" customFormat="1" ht="30" customHeight="1" thickBot="1" x14ac:dyDescent="0.3">
      <c r="B99" s="53"/>
      <c r="C99" s="53"/>
      <c r="D99" s="53"/>
      <c r="E99" s="53"/>
      <c r="F99" s="53"/>
      <c r="G99"/>
      <c r="H99"/>
      <c r="I99"/>
      <c r="J99"/>
      <c r="K99"/>
      <c r="L99"/>
    </row>
    <row r="100" spans="2:13" s="56" customFormat="1" ht="30" customHeight="1" thickBot="1" x14ac:dyDescent="0.3">
      <c r="B100" s="232" t="s">
        <v>312</v>
      </c>
      <c r="C100" s="233"/>
      <c r="D100" s="233"/>
      <c r="E100" s="233"/>
      <c r="F100" s="233"/>
      <c r="G100" s="233"/>
      <c r="H100" s="233"/>
      <c r="I100" s="233"/>
      <c r="J100" s="233"/>
      <c r="K100" s="233"/>
      <c r="L100" s="234"/>
      <c r="M100" s="42"/>
    </row>
    <row r="101" spans="2:13" s="99" customFormat="1" ht="30" customHeight="1" x14ac:dyDescent="0.25">
      <c r="B101" s="88">
        <f>+B97+1</f>
        <v>26</v>
      </c>
      <c r="C101" s="121" t="s">
        <v>313</v>
      </c>
      <c r="D101" s="39" t="s">
        <v>441</v>
      </c>
      <c r="E101" s="121" t="s">
        <v>445</v>
      </c>
      <c r="F101" s="121" t="s">
        <v>204</v>
      </c>
      <c r="G101" s="123">
        <v>20000</v>
      </c>
      <c r="H101" s="90">
        <v>574</v>
      </c>
      <c r="I101" s="90">
        <v>608</v>
      </c>
      <c r="J101" s="90">
        <v>2559.6748749999997</v>
      </c>
      <c r="K101" s="85">
        <f>SUM(H101:J101)</f>
        <v>3741.6748749999997</v>
      </c>
      <c r="L101" s="85">
        <f>+G101-K101</f>
        <v>16258.325124999999</v>
      </c>
      <c r="M101" s="226"/>
    </row>
    <row r="102" spans="2:13" s="42" customFormat="1" ht="23.25" customHeight="1" x14ac:dyDescent="0.25">
      <c r="B102" s="229" t="s">
        <v>128</v>
      </c>
      <c r="C102" s="230"/>
      <c r="D102" s="230"/>
      <c r="E102" s="230"/>
      <c r="F102" s="231"/>
      <c r="G102" s="40">
        <f t="shared" ref="G102:L102" si="23">SUM(G101:G101)</f>
        <v>20000</v>
      </c>
      <c r="H102" s="40">
        <f t="shared" si="23"/>
        <v>574</v>
      </c>
      <c r="I102" s="40">
        <f t="shared" si="23"/>
        <v>608</v>
      </c>
      <c r="J102" s="40">
        <f t="shared" si="23"/>
        <v>2559.6748749999997</v>
      </c>
      <c r="K102" s="40">
        <f t="shared" si="23"/>
        <v>3741.6748749999997</v>
      </c>
      <c r="L102" s="40">
        <f t="shared" si="23"/>
        <v>16258.325124999999</v>
      </c>
    </row>
    <row r="103" spans="2:13" s="42" customFormat="1" ht="23.25" customHeight="1" thickBot="1" x14ac:dyDescent="0.3">
      <c r="B103" s="53"/>
      <c r="C103" s="53"/>
      <c r="D103" s="53"/>
      <c r="E103" s="53"/>
      <c r="F103" s="53"/>
      <c r="G103" s="43"/>
      <c r="H103" s="43"/>
      <c r="I103" s="43"/>
      <c r="J103" s="43"/>
      <c r="K103" s="43"/>
      <c r="L103" s="43"/>
    </row>
    <row r="104" spans="2:13" s="42" customFormat="1" ht="23.25" customHeight="1" thickBot="1" x14ac:dyDescent="0.3">
      <c r="B104" s="238" t="s">
        <v>182</v>
      </c>
      <c r="C104" s="239"/>
      <c r="D104" s="239"/>
      <c r="E104" s="239"/>
      <c r="F104" s="239"/>
      <c r="G104" s="239"/>
      <c r="H104" s="239"/>
      <c r="I104" s="239"/>
      <c r="J104" s="239"/>
      <c r="K104" s="239"/>
      <c r="L104" s="240"/>
    </row>
    <row r="105" spans="2:13" s="42" customFormat="1" ht="30.75" customHeight="1" x14ac:dyDescent="0.25">
      <c r="B105" s="39">
        <f>+B101+1</f>
        <v>27</v>
      </c>
      <c r="C105" s="121" t="s">
        <v>509</v>
      </c>
      <c r="D105" s="39" t="s">
        <v>441</v>
      </c>
      <c r="E105" s="140" t="s">
        <v>510</v>
      </c>
      <c r="F105" s="121" t="s">
        <v>204</v>
      </c>
      <c r="G105" s="123">
        <v>75000</v>
      </c>
      <c r="H105" s="90">
        <v>2152.5</v>
      </c>
      <c r="I105" s="90">
        <v>2280</v>
      </c>
      <c r="J105" s="85">
        <v>16851.560000000001</v>
      </c>
      <c r="K105" s="85">
        <f>SUM(H105:J105)</f>
        <v>21284.06</v>
      </c>
      <c r="L105" s="86">
        <f>+G105-K105</f>
        <v>53715.94</v>
      </c>
    </row>
    <row r="106" spans="2:13" s="42" customFormat="1" ht="23.25" customHeight="1" x14ac:dyDescent="0.25">
      <c r="B106" s="229" t="s">
        <v>128</v>
      </c>
      <c r="C106" s="230"/>
      <c r="D106" s="230"/>
      <c r="E106" s="230"/>
      <c r="F106" s="231"/>
      <c r="G106" s="40">
        <f t="shared" ref="G106:L106" si="24">SUM(G105:G105)</f>
        <v>75000</v>
      </c>
      <c r="H106" s="40">
        <f t="shared" si="24"/>
        <v>2152.5</v>
      </c>
      <c r="I106" s="40">
        <f t="shared" si="24"/>
        <v>2280</v>
      </c>
      <c r="J106" s="40">
        <f t="shared" si="24"/>
        <v>16851.560000000001</v>
      </c>
      <c r="K106" s="40">
        <f t="shared" si="24"/>
        <v>21284.06</v>
      </c>
      <c r="L106" s="40">
        <f t="shared" si="24"/>
        <v>53715.94</v>
      </c>
    </row>
    <row r="107" spans="2:13" s="42" customFormat="1" ht="23.25" customHeight="1" thickBot="1" x14ac:dyDescent="0.3">
      <c r="B107" s="53"/>
      <c r="C107" s="53"/>
      <c r="D107" s="53"/>
      <c r="E107" s="53"/>
      <c r="F107" s="53"/>
      <c r="G107" s="43"/>
      <c r="H107" s="43"/>
      <c r="I107" s="43"/>
      <c r="J107" s="43"/>
      <c r="K107" s="43"/>
      <c r="L107" s="43"/>
    </row>
    <row r="108" spans="2:13" s="87" customFormat="1" ht="30" customHeight="1" thickBot="1" x14ac:dyDescent="0.3">
      <c r="B108" s="232" t="s">
        <v>327</v>
      </c>
      <c r="C108" s="233"/>
      <c r="D108" s="233"/>
      <c r="E108" s="233"/>
      <c r="F108" s="233"/>
      <c r="G108" s="233"/>
      <c r="H108" s="233"/>
      <c r="I108" s="233"/>
      <c r="J108" s="233"/>
      <c r="K108" s="233"/>
      <c r="L108" s="234"/>
      <c r="M108" s="35"/>
    </row>
    <row r="109" spans="2:13" s="87" customFormat="1" ht="25.5" customHeight="1" x14ac:dyDescent="0.25">
      <c r="B109" s="88">
        <f>+B105+1</f>
        <v>28</v>
      </c>
      <c r="C109" s="121" t="s">
        <v>155</v>
      </c>
      <c r="D109" s="39" t="s">
        <v>441</v>
      </c>
      <c r="E109" s="121" t="s">
        <v>446</v>
      </c>
      <c r="F109" s="121" t="s">
        <v>124</v>
      </c>
      <c r="G109" s="123">
        <v>25000</v>
      </c>
      <c r="H109" s="123">
        <v>717.5</v>
      </c>
      <c r="I109" s="90">
        <v>760</v>
      </c>
      <c r="J109" s="90">
        <v>3486.6498333333329</v>
      </c>
      <c r="K109" s="120">
        <f>SUM(H109:J109)</f>
        <v>4964.1498333333329</v>
      </c>
      <c r="L109" s="86">
        <f>+G109-K109</f>
        <v>20035.850166666667</v>
      </c>
      <c r="M109" s="35"/>
    </row>
    <row r="110" spans="2:13" s="42" customFormat="1" ht="33.75" customHeight="1" x14ac:dyDescent="0.25">
      <c r="B110" s="229" t="s">
        <v>128</v>
      </c>
      <c r="C110" s="230"/>
      <c r="D110" s="230"/>
      <c r="E110" s="230"/>
      <c r="F110" s="231"/>
      <c r="G110" s="40">
        <f t="shared" ref="G110:J110" si="25">SUM(G109:G109)</f>
        <v>25000</v>
      </c>
      <c r="H110" s="40">
        <f t="shared" si="25"/>
        <v>717.5</v>
      </c>
      <c r="I110" s="40">
        <f t="shared" si="25"/>
        <v>760</v>
      </c>
      <c r="J110" s="40">
        <f t="shared" si="25"/>
        <v>3486.6498333333329</v>
      </c>
      <c r="K110" s="40">
        <f>SUM(K109:K109)</f>
        <v>4964.1498333333329</v>
      </c>
      <c r="L110" s="40">
        <f>SUM(L109:L109)</f>
        <v>20035.850166666667</v>
      </c>
    </row>
    <row r="111" spans="2:13" s="42" customFormat="1" ht="24.95" customHeight="1" thickBot="1" x14ac:dyDescent="0.3">
      <c r="B111" s="53"/>
      <c r="C111" s="53"/>
      <c r="D111" s="53"/>
      <c r="E111" s="53"/>
      <c r="F111" s="53"/>
      <c r="G111" s="43"/>
      <c r="H111" s="43"/>
      <c r="I111" s="43"/>
      <c r="J111" s="43"/>
      <c r="K111" s="43"/>
      <c r="L111" s="43"/>
    </row>
    <row r="112" spans="2:13" s="42" customFormat="1" ht="24.95" customHeight="1" thickBot="1" x14ac:dyDescent="0.3">
      <c r="B112" s="254" t="s">
        <v>594</v>
      </c>
      <c r="C112" s="255"/>
      <c r="D112" s="255"/>
      <c r="E112" s="255"/>
      <c r="F112" s="255"/>
      <c r="G112" s="255"/>
      <c r="H112" s="255"/>
      <c r="I112" s="255"/>
      <c r="J112" s="255"/>
      <c r="K112" s="255"/>
      <c r="L112" s="256"/>
    </row>
    <row r="113" spans="2:13" s="42" customFormat="1" ht="24.95" customHeight="1" x14ac:dyDescent="0.25">
      <c r="B113" s="88">
        <f>+B109+1</f>
        <v>29</v>
      </c>
      <c r="C113" s="121" t="s">
        <v>344</v>
      </c>
      <c r="D113" s="39" t="s">
        <v>441</v>
      </c>
      <c r="E113" s="89" t="s">
        <v>135</v>
      </c>
      <c r="F113" s="121" t="s">
        <v>124</v>
      </c>
      <c r="G113" s="123">
        <v>15000</v>
      </c>
      <c r="H113" s="123">
        <v>430.5</v>
      </c>
      <c r="I113" s="90">
        <v>456</v>
      </c>
      <c r="J113" s="90">
        <v>1627.13</v>
      </c>
      <c r="K113" s="120">
        <f>SUM(H113:J113)</f>
        <v>2513.63</v>
      </c>
      <c r="L113" s="86">
        <f>+G113-K113</f>
        <v>12486.369999999999</v>
      </c>
    </row>
    <row r="114" spans="2:13" s="42" customFormat="1" ht="24.95" customHeight="1" x14ac:dyDescent="0.25">
      <c r="B114" s="229" t="s">
        <v>128</v>
      </c>
      <c r="C114" s="230"/>
      <c r="D114" s="230"/>
      <c r="E114" s="230"/>
      <c r="F114" s="231"/>
      <c r="G114" s="40">
        <f t="shared" ref="G114:L114" si="26">SUM(G113:G113)</f>
        <v>15000</v>
      </c>
      <c r="H114" s="40">
        <f t="shared" si="26"/>
        <v>430.5</v>
      </c>
      <c r="I114" s="40">
        <f t="shared" si="26"/>
        <v>456</v>
      </c>
      <c r="J114" s="40">
        <f t="shared" si="26"/>
        <v>1627.13</v>
      </c>
      <c r="K114" s="40">
        <f t="shared" si="26"/>
        <v>2513.63</v>
      </c>
      <c r="L114" s="40">
        <f t="shared" si="26"/>
        <v>12486.369999999999</v>
      </c>
    </row>
    <row r="115" spans="2:13" s="42" customFormat="1" ht="24.95" customHeight="1" thickBot="1" x14ac:dyDescent="0.3">
      <c r="B115" s="53"/>
      <c r="C115" s="53"/>
      <c r="D115" s="53"/>
      <c r="E115" s="53"/>
      <c r="F115" s="53"/>
      <c r="G115" s="43"/>
      <c r="H115" s="43"/>
      <c r="I115" s="43"/>
      <c r="J115" s="43"/>
      <c r="K115" s="43"/>
      <c r="L115" s="43"/>
    </row>
    <row r="116" spans="2:13" s="56" customFormat="1" ht="30" customHeight="1" thickBot="1" x14ac:dyDescent="0.3">
      <c r="B116" s="232" t="s">
        <v>215</v>
      </c>
      <c r="C116" s="233"/>
      <c r="D116" s="233"/>
      <c r="E116" s="233"/>
      <c r="F116" s="233"/>
      <c r="G116" s="233"/>
      <c r="H116" s="233"/>
      <c r="I116" s="233"/>
      <c r="J116" s="233"/>
      <c r="K116" s="233"/>
      <c r="L116" s="234"/>
      <c r="M116" s="42"/>
    </row>
    <row r="117" spans="2:13" s="56" customFormat="1" ht="30" customHeight="1" x14ac:dyDescent="0.25">
      <c r="B117" s="83">
        <f>B113+1</f>
        <v>30</v>
      </c>
      <c r="C117" s="178" t="s">
        <v>86</v>
      </c>
      <c r="D117" s="179" t="s">
        <v>441</v>
      </c>
      <c r="E117" s="180" t="s">
        <v>639</v>
      </c>
      <c r="F117" s="126" t="s">
        <v>124</v>
      </c>
      <c r="G117" s="120">
        <v>30000</v>
      </c>
      <c r="H117" s="177">
        <v>861</v>
      </c>
      <c r="I117" s="177">
        <v>912</v>
      </c>
      <c r="J117" s="85">
        <v>6190.9149583333328</v>
      </c>
      <c r="K117" s="120">
        <f>SUM(H117:J117)</f>
        <v>7963.9149583333328</v>
      </c>
      <c r="L117" s="86">
        <f>+G117-K117</f>
        <v>22036.085041666665</v>
      </c>
      <c r="M117" s="42"/>
    </row>
    <row r="118" spans="2:13" s="56" customFormat="1" ht="30" customHeight="1" x14ac:dyDescent="0.25">
      <c r="B118" s="83">
        <f>+B117+1</f>
        <v>31</v>
      </c>
      <c r="C118" s="126" t="s">
        <v>334</v>
      </c>
      <c r="D118" s="136" t="s">
        <v>442</v>
      </c>
      <c r="E118" s="126" t="s">
        <v>447</v>
      </c>
      <c r="F118" s="126" t="s">
        <v>124</v>
      </c>
      <c r="G118" s="120">
        <v>25800</v>
      </c>
      <c r="H118" s="177">
        <v>740.46</v>
      </c>
      <c r="I118" s="177">
        <v>784.32</v>
      </c>
      <c r="J118" s="85">
        <v>1148.32</v>
      </c>
      <c r="K118" s="120">
        <f>SUM(H118:J118)</f>
        <v>2673.1000000000004</v>
      </c>
      <c r="L118" s="86">
        <f>+G118-K118</f>
        <v>23126.9</v>
      </c>
      <c r="M118" s="42"/>
    </row>
    <row r="119" spans="2:13" s="42" customFormat="1" ht="22.5" customHeight="1" x14ac:dyDescent="0.25">
      <c r="B119" s="229" t="s">
        <v>128</v>
      </c>
      <c r="C119" s="230"/>
      <c r="D119" s="230"/>
      <c r="E119" s="230"/>
      <c r="F119" s="231"/>
      <c r="G119" s="40">
        <f>SUM(G117:G118)</f>
        <v>55800</v>
      </c>
      <c r="H119" s="40">
        <f t="shared" ref="H119:L119" si="27">SUM(H117:H118)</f>
        <v>1601.46</v>
      </c>
      <c r="I119" s="40">
        <f t="shared" si="27"/>
        <v>1696.3200000000002</v>
      </c>
      <c r="J119" s="40">
        <f t="shared" si="27"/>
        <v>7339.2349583333325</v>
      </c>
      <c r="K119" s="40">
        <f t="shared" si="27"/>
        <v>10637.014958333333</v>
      </c>
      <c r="L119" s="40">
        <f t="shared" si="27"/>
        <v>45162.985041666667</v>
      </c>
    </row>
    <row r="120" spans="2:13" s="42" customFormat="1" ht="24.95" customHeight="1" thickBot="1" x14ac:dyDescent="0.3">
      <c r="B120" s="53"/>
      <c r="C120" s="53"/>
      <c r="D120" s="53"/>
      <c r="E120" s="53"/>
      <c r="F120" s="53"/>
      <c r="G120" s="43"/>
      <c r="H120" s="43"/>
      <c r="I120" s="43"/>
      <c r="J120" s="43"/>
      <c r="K120" s="43"/>
      <c r="L120" s="43"/>
    </row>
    <row r="121" spans="2:13" s="87" customFormat="1" ht="30" customHeight="1" thickBot="1" x14ac:dyDescent="0.3">
      <c r="B121" s="232" t="s">
        <v>327</v>
      </c>
      <c r="C121" s="233"/>
      <c r="D121" s="233"/>
      <c r="E121" s="233"/>
      <c r="F121" s="233"/>
      <c r="G121" s="233"/>
      <c r="H121" s="233"/>
      <c r="I121" s="233"/>
      <c r="J121" s="233"/>
      <c r="K121" s="233"/>
      <c r="L121" s="234"/>
      <c r="M121" s="35"/>
    </row>
    <row r="122" spans="2:13" s="87" customFormat="1" ht="25.5" customHeight="1" x14ac:dyDescent="0.25">
      <c r="B122" s="88">
        <f>+B118+1</f>
        <v>32</v>
      </c>
      <c r="C122" s="121" t="s">
        <v>638</v>
      </c>
      <c r="D122" s="39" t="s">
        <v>441</v>
      </c>
      <c r="E122" s="121" t="s">
        <v>446</v>
      </c>
      <c r="F122" s="121" t="s">
        <v>124</v>
      </c>
      <c r="G122" s="123">
        <v>15000</v>
      </c>
      <c r="H122" s="123">
        <v>430.5</v>
      </c>
      <c r="I122" s="90">
        <v>456</v>
      </c>
      <c r="J122" s="90">
        <v>2117.0300000000002</v>
      </c>
      <c r="K122" s="120">
        <f>SUM(H122:J122)</f>
        <v>3003.53</v>
      </c>
      <c r="L122" s="86">
        <f>+G122-K122</f>
        <v>11996.47</v>
      </c>
      <c r="M122" s="35"/>
    </row>
    <row r="123" spans="2:13" s="42" customFormat="1" ht="33.75" customHeight="1" x14ac:dyDescent="0.25">
      <c r="B123" s="229" t="s">
        <v>128</v>
      </c>
      <c r="C123" s="230"/>
      <c r="D123" s="230"/>
      <c r="E123" s="230"/>
      <c r="F123" s="231"/>
      <c r="G123" s="40">
        <f t="shared" ref="G123:J123" si="28">SUM(G122:G122)</f>
        <v>15000</v>
      </c>
      <c r="H123" s="40">
        <f t="shared" si="28"/>
        <v>430.5</v>
      </c>
      <c r="I123" s="40">
        <f t="shared" si="28"/>
        <v>456</v>
      </c>
      <c r="J123" s="40">
        <f t="shared" si="28"/>
        <v>2117.0300000000002</v>
      </c>
      <c r="K123" s="40">
        <f>SUM(K122:K122)</f>
        <v>3003.53</v>
      </c>
      <c r="L123" s="40">
        <f>SUM(L122:L122)</f>
        <v>11996.47</v>
      </c>
    </row>
    <row r="124" spans="2:13" s="42" customFormat="1" ht="24.95" customHeight="1" thickBot="1" x14ac:dyDescent="0.3">
      <c r="B124" s="53"/>
      <c r="C124" s="53"/>
      <c r="D124" s="53"/>
      <c r="E124" s="53"/>
      <c r="F124" s="53"/>
      <c r="G124" s="43"/>
      <c r="H124" s="43"/>
      <c r="I124" s="43"/>
      <c r="J124" s="43"/>
      <c r="K124" s="43"/>
      <c r="L124" s="43"/>
    </row>
    <row r="125" spans="2:13" s="42" customFormat="1" ht="24.95" customHeight="1" thickBot="1" x14ac:dyDescent="0.3">
      <c r="B125" s="232" t="s">
        <v>183</v>
      </c>
      <c r="C125" s="233"/>
      <c r="D125" s="233"/>
      <c r="E125" s="233"/>
      <c r="F125" s="233"/>
      <c r="G125" s="233"/>
      <c r="H125" s="233"/>
      <c r="I125" s="233"/>
      <c r="J125" s="233"/>
      <c r="K125" s="233"/>
      <c r="L125" s="234"/>
    </row>
    <row r="126" spans="2:13" s="42" customFormat="1" ht="24.95" customHeight="1" x14ac:dyDescent="0.25">
      <c r="B126" s="88">
        <f>+B122+1</f>
        <v>33</v>
      </c>
      <c r="C126" s="121" t="s">
        <v>522</v>
      </c>
      <c r="D126" s="39" t="s">
        <v>441</v>
      </c>
      <c r="E126" s="121" t="s">
        <v>523</v>
      </c>
      <c r="F126" s="121" t="s">
        <v>124</v>
      </c>
      <c r="G126" s="123">
        <v>35000</v>
      </c>
      <c r="H126" s="123">
        <v>1004.5</v>
      </c>
      <c r="I126" s="90">
        <v>1064</v>
      </c>
      <c r="J126" s="90">
        <v>6101.37</v>
      </c>
      <c r="K126" s="120">
        <f>SUM(H126:J126)</f>
        <v>8169.87</v>
      </c>
      <c r="L126" s="86">
        <f>+G126-K126</f>
        <v>26830.13</v>
      </c>
    </row>
    <row r="127" spans="2:13" s="42" customFormat="1" ht="24.95" customHeight="1" x14ac:dyDescent="0.25">
      <c r="B127" s="88">
        <f>+B126+1</f>
        <v>34</v>
      </c>
      <c r="C127" s="121" t="s">
        <v>24</v>
      </c>
      <c r="D127" s="39"/>
      <c r="E127" s="42" t="s">
        <v>151</v>
      </c>
      <c r="F127" s="121" t="s">
        <v>124</v>
      </c>
      <c r="G127" s="123">
        <v>30000</v>
      </c>
      <c r="H127" s="123">
        <v>861</v>
      </c>
      <c r="I127" s="90">
        <v>912</v>
      </c>
      <c r="J127" s="90">
        <v>4850.18</v>
      </c>
      <c r="K127" s="120">
        <f>SUM(H127:J127)</f>
        <v>6623.18</v>
      </c>
      <c r="L127" s="86">
        <f>+G127-K127</f>
        <v>23376.82</v>
      </c>
    </row>
    <row r="128" spans="2:13" s="42" customFormat="1" ht="24.95" customHeight="1" x14ac:dyDescent="0.25">
      <c r="B128" s="229" t="s">
        <v>128</v>
      </c>
      <c r="C128" s="230"/>
      <c r="D128" s="230"/>
      <c r="E128" s="230"/>
      <c r="F128" s="231"/>
      <c r="G128" s="40">
        <f>SUM(G126:G127)</f>
        <v>65000</v>
      </c>
      <c r="H128" s="40">
        <f t="shared" ref="H128:L128" si="29">SUM(H126:H127)</f>
        <v>1865.5</v>
      </c>
      <c r="I128" s="40">
        <f t="shared" si="29"/>
        <v>1976</v>
      </c>
      <c r="J128" s="40">
        <f t="shared" si="29"/>
        <v>10951.55</v>
      </c>
      <c r="K128" s="40">
        <f t="shared" si="29"/>
        <v>14793.05</v>
      </c>
      <c r="L128" s="40">
        <f t="shared" si="29"/>
        <v>50206.95</v>
      </c>
    </row>
    <row r="129" spans="2:13" s="35" customFormat="1" ht="30" customHeight="1" thickBot="1" x14ac:dyDescent="0.3">
      <c r="B129" s="44"/>
      <c r="C129" s="51"/>
      <c r="D129" s="155"/>
      <c r="E129" s="51"/>
      <c r="F129" s="51"/>
      <c r="G129" s="52"/>
      <c r="H129" s="42"/>
      <c r="I129" s="42"/>
      <c r="J129" s="42"/>
      <c r="K129" s="42"/>
      <c r="L129" s="42"/>
    </row>
    <row r="130" spans="2:13" ht="36" customHeight="1" thickBot="1" x14ac:dyDescent="0.3">
      <c r="B130" s="57"/>
      <c r="C130" s="58" t="s">
        <v>450</v>
      </c>
      <c r="D130" s="156"/>
      <c r="E130" s="59"/>
      <c r="F130" s="60"/>
      <c r="G130" s="61">
        <f>G15+G23+G31+G35+G43+G47+G55+G63+G67+G98+G102+G119+G110+G76+G39+G51+G106+G86+G128+G27+G11+G90+G19+G71+G59+G81+G114+G123+G94</f>
        <v>1275550</v>
      </c>
      <c r="H130" s="61">
        <f t="shared" ref="H130:L130" si="30">H15+H23+H31+H35+H43+H47+H55+H63+H67+H98+H102+H119+H110+H76+H39+H51+H106+H86+H128+H27+H11+H90+H19+H71+H59+H81+H114+H123+H94</f>
        <v>36608.284999999996</v>
      </c>
      <c r="I130" s="61">
        <f t="shared" si="30"/>
        <v>33509.919999999998</v>
      </c>
      <c r="J130" s="61">
        <f t="shared" si="30"/>
        <v>278005.19966666668</v>
      </c>
      <c r="K130" s="61">
        <f t="shared" si="30"/>
        <v>348123.40466666664</v>
      </c>
      <c r="L130" s="61">
        <f t="shared" si="30"/>
        <v>927426.59533333336</v>
      </c>
      <c r="M130" s="225"/>
    </row>
    <row r="131" spans="2:13" ht="15" x14ac:dyDescent="0.25">
      <c r="B131" s="31"/>
      <c r="C131" s="30"/>
      <c r="D131" s="31"/>
      <c r="E131" s="30"/>
      <c r="F131" s="30"/>
      <c r="G131" s="18"/>
      <c r="H131" s="19"/>
      <c r="I131" s="19"/>
      <c r="J131" s="19"/>
      <c r="K131" s="19"/>
      <c r="L131" s="19"/>
    </row>
    <row r="132" spans="2:13" ht="15" x14ac:dyDescent="0.25">
      <c r="B132" s="31"/>
      <c r="C132" s="30"/>
      <c r="D132" s="31"/>
      <c r="E132" s="30"/>
      <c r="F132" s="30"/>
      <c r="G132" s="18"/>
      <c r="H132" s="19"/>
      <c r="I132" s="19"/>
      <c r="J132" s="19"/>
      <c r="K132" s="19"/>
      <c r="L132" s="19"/>
    </row>
    <row r="133" spans="2:13" ht="15.75" x14ac:dyDescent="0.25">
      <c r="C133" s="1"/>
      <c r="E133" s="1"/>
      <c r="F133" s="20"/>
      <c r="G133" s="67"/>
    </row>
    <row r="134" spans="2:13" ht="15.75" x14ac:dyDescent="0.25">
      <c r="C134" s="21"/>
      <c r="D134" s="157"/>
      <c r="E134" s="22"/>
      <c r="F134" s="21"/>
      <c r="G134" s="1"/>
      <c r="L134" s="7"/>
    </row>
    <row r="135" spans="2:13" ht="15.75" x14ac:dyDescent="0.25">
      <c r="C135" s="23" t="s">
        <v>207</v>
      </c>
      <c r="D135" s="158"/>
      <c r="E135" s="22"/>
      <c r="F135" s="23" t="s">
        <v>515</v>
      </c>
      <c r="G135" s="1"/>
    </row>
    <row r="136" spans="2:13" ht="15.75" x14ac:dyDescent="0.25">
      <c r="C136" s="23" t="s">
        <v>516</v>
      </c>
      <c r="D136" s="158"/>
      <c r="E136" s="22"/>
      <c r="F136" s="23" t="s">
        <v>517</v>
      </c>
      <c r="G136" s="1"/>
    </row>
    <row r="16620" spans="3:12" s="4" customFormat="1" x14ac:dyDescent="0.2">
      <c r="C16620" s="25"/>
      <c r="E16620" s="25"/>
      <c r="F16620" s="25"/>
      <c r="G16620" s="2"/>
      <c r="H16620" s="1"/>
      <c r="I16620" s="1"/>
      <c r="J16620" s="1"/>
      <c r="K16620" s="1"/>
      <c r="L16620" s="1"/>
    </row>
    <row r="16622" spans="3:12" s="4" customFormat="1" x14ac:dyDescent="0.2">
      <c r="C16622" s="25"/>
      <c r="E16622" s="25"/>
      <c r="F16622" s="25"/>
      <c r="G16622" s="2"/>
      <c r="H16622" s="1"/>
      <c r="I16622" s="1"/>
      <c r="J16622" s="1"/>
      <c r="K16622" s="1"/>
      <c r="L16622" s="1"/>
    </row>
    <row r="16638" spans="8:9" x14ac:dyDescent="0.2">
      <c r="H16638" s="4"/>
      <c r="I16638" s="4"/>
    </row>
    <row r="16640" spans="8:9" x14ac:dyDescent="0.2">
      <c r="H16640" s="4"/>
      <c r="I16640" s="4"/>
    </row>
    <row r="16650" spans="3:12" x14ac:dyDescent="0.2">
      <c r="K16650" s="4"/>
      <c r="L16650" s="4"/>
    </row>
    <row r="16652" spans="3:12" x14ac:dyDescent="0.2">
      <c r="K16652" s="4"/>
      <c r="L16652" s="4"/>
    </row>
    <row r="16653" spans="3:12" x14ac:dyDescent="0.2">
      <c r="J16653" s="4"/>
    </row>
    <row r="16654" spans="3:12" x14ac:dyDescent="0.2">
      <c r="C16654" s="25">
        <f>SUM(C6:C16653)</f>
        <v>0</v>
      </c>
    </row>
    <row r="16655" spans="3:12" x14ac:dyDescent="0.2">
      <c r="J16655" s="4"/>
    </row>
    <row r="16656" spans="3:12" x14ac:dyDescent="0.2">
      <c r="C16656" s="25">
        <f>SUM(C16654)</f>
        <v>0</v>
      </c>
    </row>
    <row r="999979" spans="11:11" x14ac:dyDescent="0.2">
      <c r="K999979" s="11" t="e">
        <f>SUM(#REF!)</f>
        <v>#REF!</v>
      </c>
    </row>
  </sheetData>
  <mergeCells count="63">
    <mergeCell ref="B121:L121"/>
    <mergeCell ref="B123:F123"/>
    <mergeCell ref="B81:F81"/>
    <mergeCell ref="B57:L57"/>
    <mergeCell ref="B59:F59"/>
    <mergeCell ref="B78:L78"/>
    <mergeCell ref="B116:L116"/>
    <mergeCell ref="B96:L96"/>
    <mergeCell ref="B98:F98"/>
    <mergeCell ref="B76:F76"/>
    <mergeCell ref="B92:L92"/>
    <mergeCell ref="B94:F94"/>
    <mergeCell ref="B119:F119"/>
    <mergeCell ref="B108:L108"/>
    <mergeCell ref="B110:F110"/>
    <mergeCell ref="B100:L100"/>
    <mergeCell ref="B102:F102"/>
    <mergeCell ref="B112:L112"/>
    <mergeCell ref="B114:F114"/>
    <mergeCell ref="B9:L9"/>
    <mergeCell ref="B11:F11"/>
    <mergeCell ref="B47:F47"/>
    <mergeCell ref="B41:L41"/>
    <mergeCell ref="B43:F43"/>
    <mergeCell ref="B45:L45"/>
    <mergeCell ref="B37:L37"/>
    <mergeCell ref="B39:F39"/>
    <mergeCell ref="B31:F31"/>
    <mergeCell ref="B33:L33"/>
    <mergeCell ref="B35:F35"/>
    <mergeCell ref="B23:F23"/>
    <mergeCell ref="B29:L29"/>
    <mergeCell ref="B13:L13"/>
    <mergeCell ref="B1:L1"/>
    <mergeCell ref="B2:L2"/>
    <mergeCell ref="B3:L3"/>
    <mergeCell ref="B4:C4"/>
    <mergeCell ref="H5:I5"/>
    <mergeCell ref="B15:F15"/>
    <mergeCell ref="B21:L21"/>
    <mergeCell ref="B25:L25"/>
    <mergeCell ref="B27:F27"/>
    <mergeCell ref="B73:L73"/>
    <mergeCell ref="B17:L17"/>
    <mergeCell ref="B19:F19"/>
    <mergeCell ref="B69:L69"/>
    <mergeCell ref="B71:F71"/>
    <mergeCell ref="B125:L125"/>
    <mergeCell ref="B128:F128"/>
    <mergeCell ref="B88:L88"/>
    <mergeCell ref="B90:F90"/>
    <mergeCell ref="B49:L49"/>
    <mergeCell ref="B51:F51"/>
    <mergeCell ref="B104:L104"/>
    <mergeCell ref="B106:F106"/>
    <mergeCell ref="B83:L83"/>
    <mergeCell ref="B86:F86"/>
    <mergeCell ref="B55:F55"/>
    <mergeCell ref="B53:L53"/>
    <mergeCell ref="B67:F67"/>
    <mergeCell ref="B61:L61"/>
    <mergeCell ref="B63:F63"/>
    <mergeCell ref="B65:L65"/>
  </mergeCells>
  <pageMargins left="0.15748031496062992" right="0.15748031496062992" top="0.15748031496062992" bottom="0.15748031496062992" header="0.15748031496062992" footer="0.15748031496062992"/>
  <pageSetup scale="51" fitToHeight="0" orientation="landscape" r:id="rId1"/>
  <rowBreaks count="4" manualBreakCount="4">
    <brk id="28" min="1" max="11" man="1"/>
    <brk id="55" min="1" max="11" man="1"/>
    <brk id="82" min="1" max="11" man="1"/>
    <brk id="115" min="1" max="11" man="1"/>
  </rowBreaks>
  <ignoredErrors>
    <ignoredError sqref="K22:K23 K30 K34 K38 K42 K46 K62 K84 K101 K105 K118 K74:K75 K66 K117:L117 K10 K26 K97 K89 K54 K50 K7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048170"/>
  <sheetViews>
    <sheetView showGridLines="0" zoomScale="85" zoomScaleNormal="85" zoomScaleSheetLayoutView="130" workbookViewId="0">
      <pane xSplit="2" ySplit="8" topLeftCell="C219" activePane="bottomRight" state="frozen"/>
      <selection pane="topRight" activeCell="C1" sqref="C1"/>
      <selection pane="bottomLeft" activeCell="A9" sqref="A9"/>
      <selection pane="bottomRight" activeCell="I242" sqref="I242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9" style="1" bestFit="1" customWidth="1"/>
    <col min="13" max="13" width="20" style="1" customWidth="1"/>
    <col min="14" max="14" width="17" style="1" bestFit="1" customWidth="1"/>
    <col min="15" max="16384" width="11.42578125" style="1"/>
  </cols>
  <sheetData>
    <row r="1" spans="1:15" x14ac:dyDescent="0.2">
      <c r="B1" s="24"/>
      <c r="C1" s="152"/>
    </row>
    <row r="2" spans="1:15" ht="23.25" x14ac:dyDescent="0.35">
      <c r="A2" s="241" t="s">
        <v>429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</row>
    <row r="3" spans="1:15" ht="21" x14ac:dyDescent="0.35">
      <c r="A3" s="242" t="s">
        <v>432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</row>
    <row r="4" spans="1:15" ht="18.75" x14ac:dyDescent="0.3">
      <c r="A4" s="243" t="s">
        <v>663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5" ht="6.75" customHeight="1" thickBot="1" x14ac:dyDescent="0.35">
      <c r="A5" s="243"/>
      <c r="B5" s="243"/>
      <c r="C5" s="17"/>
      <c r="D5" s="24"/>
      <c r="E5" s="24"/>
      <c r="F5" s="24"/>
      <c r="G5" s="24"/>
      <c r="H5" s="17"/>
    </row>
    <row r="6" spans="1:15" ht="24.75" customHeight="1" thickBot="1" x14ac:dyDescent="0.3">
      <c r="A6" s="257"/>
      <c r="B6" s="257"/>
      <c r="C6" s="53"/>
      <c r="D6" s="45"/>
      <c r="E6" s="45"/>
      <c r="F6" s="45"/>
      <c r="G6" s="45"/>
      <c r="H6" s="42"/>
      <c r="I6" s="244" t="s">
        <v>123</v>
      </c>
      <c r="J6" s="245"/>
      <c r="K6" s="35"/>
      <c r="L6" s="35"/>
      <c r="M6" s="35"/>
      <c r="N6" s="35"/>
    </row>
    <row r="7" spans="1:15" s="2" customFormat="1" ht="28.5" customHeight="1" thickBot="1" x14ac:dyDescent="0.25">
      <c r="A7" s="36" t="s">
        <v>0</v>
      </c>
      <c r="B7" s="36" t="s">
        <v>438</v>
      </c>
      <c r="C7" s="36" t="s">
        <v>443</v>
      </c>
      <c r="D7" s="36" t="s">
        <v>464</v>
      </c>
      <c r="E7" s="36" t="s">
        <v>117</v>
      </c>
      <c r="F7" s="36" t="s">
        <v>121</v>
      </c>
      <c r="G7" s="36" t="s">
        <v>122</v>
      </c>
      <c r="H7" s="38" t="s">
        <v>127</v>
      </c>
      <c r="I7" s="36" t="s">
        <v>1</v>
      </c>
      <c r="J7" s="36" t="s">
        <v>2</v>
      </c>
      <c r="K7" s="38" t="s">
        <v>118</v>
      </c>
      <c r="L7" s="38" t="s">
        <v>120</v>
      </c>
      <c r="M7" s="38" t="s">
        <v>3</v>
      </c>
      <c r="N7" s="38" t="s">
        <v>119</v>
      </c>
    </row>
    <row r="8" spans="1:15" s="2" customFormat="1" ht="24.95" customHeight="1" thickBot="1" x14ac:dyDescent="0.25">
      <c r="A8" s="274" t="s">
        <v>382</v>
      </c>
      <c r="B8" s="275"/>
      <c r="C8" s="275"/>
      <c r="D8" s="275"/>
      <c r="E8" s="275"/>
      <c r="F8" s="275"/>
      <c r="G8" s="275"/>
      <c r="H8" s="275"/>
      <c r="I8" s="275"/>
      <c r="J8" s="275"/>
      <c r="K8" s="275"/>
      <c r="L8" s="275"/>
      <c r="M8" s="275"/>
      <c r="N8" s="276"/>
    </row>
    <row r="9" spans="1:15" s="71" customFormat="1" ht="24.95" customHeight="1" x14ac:dyDescent="0.2">
      <c r="A9" s="108">
        <v>1</v>
      </c>
      <c r="B9" s="62" t="s">
        <v>384</v>
      </c>
      <c r="C9" s="161" t="s">
        <v>441</v>
      </c>
      <c r="D9" s="129" t="s">
        <v>439</v>
      </c>
      <c r="E9" s="129" t="s">
        <v>221</v>
      </c>
      <c r="F9" s="215" t="s">
        <v>542</v>
      </c>
      <c r="G9" s="215" t="s">
        <v>597</v>
      </c>
      <c r="H9" s="181">
        <v>130000</v>
      </c>
      <c r="I9" s="8">
        <f>H9*2.87%</f>
        <v>3731</v>
      </c>
      <c r="J9" s="8">
        <f>+H9*3.04%</f>
        <v>3952</v>
      </c>
      <c r="K9" s="8">
        <v>19162.12</v>
      </c>
      <c r="L9" s="9">
        <v>25</v>
      </c>
      <c r="M9" s="8">
        <f>SUM(I9:L9)</f>
        <v>26870.12</v>
      </c>
      <c r="N9" s="9">
        <f>+H9-M9</f>
        <v>103129.88</v>
      </c>
      <c r="O9" s="2"/>
    </row>
    <row r="10" spans="1:15" s="71" customFormat="1" ht="24.95" customHeight="1" x14ac:dyDescent="0.2">
      <c r="A10" s="69">
        <v>2</v>
      </c>
      <c r="B10" s="212" t="s">
        <v>610</v>
      </c>
      <c r="C10" s="160" t="s">
        <v>441</v>
      </c>
      <c r="D10" s="132" t="s">
        <v>135</v>
      </c>
      <c r="E10" s="129" t="s">
        <v>221</v>
      </c>
      <c r="F10" s="205" t="s">
        <v>549</v>
      </c>
      <c r="G10" s="215" t="s">
        <v>598</v>
      </c>
      <c r="H10" s="10">
        <v>50000</v>
      </c>
      <c r="I10" s="5">
        <f>H10*2.87%</f>
        <v>1435</v>
      </c>
      <c r="J10" s="5">
        <f>+H10*3.04%</f>
        <v>1520</v>
      </c>
      <c r="K10" s="5">
        <v>1854</v>
      </c>
      <c r="L10" s="128">
        <v>25</v>
      </c>
      <c r="M10" s="5">
        <f>I10+J10+K10+L10</f>
        <v>4834</v>
      </c>
      <c r="N10" s="128">
        <f>H10-M10</f>
        <v>45166</v>
      </c>
      <c r="O10" s="2"/>
    </row>
    <row r="11" spans="1:15" s="71" customFormat="1" ht="24.95" customHeight="1" x14ac:dyDescent="0.2">
      <c r="A11" s="69">
        <v>3</v>
      </c>
      <c r="B11" s="212" t="s">
        <v>631</v>
      </c>
      <c r="C11" s="160" t="s">
        <v>441</v>
      </c>
      <c r="D11" s="132" t="s">
        <v>135</v>
      </c>
      <c r="E11" s="129" t="s">
        <v>221</v>
      </c>
      <c r="F11" s="205" t="s">
        <v>632</v>
      </c>
      <c r="G11" s="215" t="s">
        <v>633</v>
      </c>
      <c r="H11" s="10">
        <v>50000</v>
      </c>
      <c r="I11" s="5">
        <f>H11*2.87%</f>
        <v>1435</v>
      </c>
      <c r="J11" s="5">
        <f>+H11*3.04%</f>
        <v>1520</v>
      </c>
      <c r="K11" s="5">
        <v>1854</v>
      </c>
      <c r="L11" s="128">
        <v>25</v>
      </c>
      <c r="M11" s="5">
        <f>I11+J11+K11+L11</f>
        <v>4834</v>
      </c>
      <c r="N11" s="128">
        <f>H11-M11</f>
        <v>45166</v>
      </c>
      <c r="O11" s="2"/>
    </row>
    <row r="12" spans="1:15" s="2" customFormat="1" ht="20.25" customHeight="1" x14ac:dyDescent="0.2">
      <c r="A12" s="261">
        <v>3</v>
      </c>
      <c r="B12" s="261"/>
      <c r="C12" s="261"/>
      <c r="D12" s="261"/>
      <c r="E12" s="261"/>
      <c r="F12" s="261"/>
      <c r="G12" s="261"/>
      <c r="H12" s="16">
        <f>SUM(H9:H11)</f>
        <v>230000</v>
      </c>
      <c r="I12" s="16">
        <f t="shared" ref="I12:N12" si="0">SUM(I9:I11)</f>
        <v>6601</v>
      </c>
      <c r="J12" s="16">
        <f t="shared" si="0"/>
        <v>6992</v>
      </c>
      <c r="K12" s="16">
        <f t="shared" si="0"/>
        <v>22870.12</v>
      </c>
      <c r="L12" s="16">
        <f t="shared" si="0"/>
        <v>75</v>
      </c>
      <c r="M12" s="16">
        <f t="shared" si="0"/>
        <v>36538.119999999995</v>
      </c>
      <c r="N12" s="16">
        <f t="shared" si="0"/>
        <v>193461.88</v>
      </c>
    </row>
    <row r="13" spans="1:15" s="2" customFormat="1" ht="21" customHeight="1" thickBot="1" x14ac:dyDescent="0.25">
      <c r="A13"/>
      <c r="B13"/>
      <c r="C13" s="152"/>
      <c r="D13"/>
      <c r="E13"/>
      <c r="F13"/>
      <c r="G13"/>
      <c r="H13"/>
      <c r="I13"/>
      <c r="J13"/>
      <c r="K13"/>
      <c r="L13"/>
      <c r="M13"/>
      <c r="N13"/>
    </row>
    <row r="14" spans="1:15" s="29" customFormat="1" ht="24.95" customHeight="1" thickBot="1" x14ac:dyDescent="0.25">
      <c r="A14" s="281" t="s">
        <v>301</v>
      </c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3"/>
    </row>
    <row r="15" spans="1:15" s="82" customFormat="1" ht="24.95" customHeight="1" x14ac:dyDescent="0.2">
      <c r="A15" s="69">
        <f>+A11+1</f>
        <v>4</v>
      </c>
      <c r="B15" s="212" t="s">
        <v>386</v>
      </c>
      <c r="C15" s="160" t="s">
        <v>442</v>
      </c>
      <c r="D15" s="132" t="s">
        <v>222</v>
      </c>
      <c r="E15" s="129" t="s">
        <v>221</v>
      </c>
      <c r="F15" s="149" t="s">
        <v>513</v>
      </c>
      <c r="G15" s="2" t="s">
        <v>584</v>
      </c>
      <c r="H15" s="9">
        <v>70000</v>
      </c>
      <c r="I15" s="112">
        <f>H15*2.87%</f>
        <v>2009</v>
      </c>
      <c r="J15" s="112">
        <f>+H15*3.04%</f>
        <v>2128</v>
      </c>
      <c r="K15" s="112">
        <v>5368.45</v>
      </c>
      <c r="L15" s="111">
        <v>25</v>
      </c>
      <c r="M15" s="112">
        <f>SUM(I15:L15)</f>
        <v>9530.4500000000007</v>
      </c>
      <c r="N15" s="111">
        <f>+H15-M15</f>
        <v>60469.55</v>
      </c>
      <c r="O15" s="6"/>
    </row>
    <row r="16" spans="1:15" s="71" customFormat="1" ht="24.95" customHeight="1" x14ac:dyDescent="0.2">
      <c r="A16" s="69">
        <f>+A15+1</f>
        <v>5</v>
      </c>
      <c r="B16" s="212" t="s">
        <v>658</v>
      </c>
      <c r="C16" s="160" t="s">
        <v>441</v>
      </c>
      <c r="D16" s="132" t="s">
        <v>634</v>
      </c>
      <c r="E16" s="129" t="s">
        <v>221</v>
      </c>
      <c r="F16" s="205" t="s">
        <v>632</v>
      </c>
      <c r="G16" s="215" t="s">
        <v>633</v>
      </c>
      <c r="H16" s="10">
        <v>70000</v>
      </c>
      <c r="I16" s="5">
        <f>H16*2.87%</f>
        <v>2009</v>
      </c>
      <c r="J16" s="5">
        <f>+H16*3.04%</f>
        <v>2128</v>
      </c>
      <c r="K16" s="5">
        <v>5368.45</v>
      </c>
      <c r="L16" s="128">
        <v>25</v>
      </c>
      <c r="M16" s="5">
        <f>I16+J16+K16+L16</f>
        <v>9530.4500000000007</v>
      </c>
      <c r="N16" s="128">
        <f>H16-M16</f>
        <v>60469.55</v>
      </c>
      <c r="O16" s="2"/>
    </row>
    <row r="17" spans="1:15" s="71" customFormat="1" ht="24.95" customHeight="1" x14ac:dyDescent="0.2">
      <c r="A17" s="69">
        <f>+A16+1</f>
        <v>6</v>
      </c>
      <c r="B17" s="212" t="s">
        <v>657</v>
      </c>
      <c r="C17" s="160"/>
      <c r="D17" s="132" t="s">
        <v>659</v>
      </c>
      <c r="E17" s="129" t="s">
        <v>221</v>
      </c>
      <c r="F17" s="205" t="s">
        <v>583</v>
      </c>
      <c r="G17" s="215" t="s">
        <v>660</v>
      </c>
      <c r="H17" s="10">
        <v>170000</v>
      </c>
      <c r="I17" s="5">
        <v>4879</v>
      </c>
      <c r="J17" s="5">
        <v>4943.8</v>
      </c>
      <c r="K17" s="5">
        <v>28627.24</v>
      </c>
      <c r="L17" s="128">
        <v>25</v>
      </c>
      <c r="M17" s="5">
        <f>I17+J17+K17+L17</f>
        <v>38475.040000000001</v>
      </c>
      <c r="N17" s="128">
        <f>H17-M17</f>
        <v>131524.96</v>
      </c>
      <c r="O17" s="2"/>
    </row>
    <row r="18" spans="1:15" s="2" customFormat="1" ht="24.95" customHeight="1" x14ac:dyDescent="0.2">
      <c r="A18" s="261" t="s">
        <v>128</v>
      </c>
      <c r="B18" s="261"/>
      <c r="C18" s="261"/>
      <c r="D18" s="261"/>
      <c r="E18" s="261"/>
      <c r="F18" s="261"/>
      <c r="G18" s="261"/>
      <c r="H18" s="16">
        <f>SUM(H15:H17)</f>
        <v>310000</v>
      </c>
      <c r="I18" s="16">
        <f t="shared" ref="I18:N18" si="1">SUM(I15:I17)</f>
        <v>8897</v>
      </c>
      <c r="J18" s="16">
        <f t="shared" si="1"/>
        <v>9199.7999999999993</v>
      </c>
      <c r="K18" s="16">
        <f t="shared" si="1"/>
        <v>39364.14</v>
      </c>
      <c r="L18" s="16">
        <f t="shared" si="1"/>
        <v>75</v>
      </c>
      <c r="M18" s="16">
        <f t="shared" si="1"/>
        <v>57535.94</v>
      </c>
      <c r="N18" s="16">
        <f t="shared" si="1"/>
        <v>252464.06</v>
      </c>
    </row>
    <row r="19" spans="1:15" s="2" customFormat="1" ht="20.25" customHeight="1" thickBot="1" x14ac:dyDescent="0.25">
      <c r="A19" s="65"/>
      <c r="B19" s="65"/>
      <c r="C19" s="65"/>
      <c r="D19" s="65"/>
      <c r="E19" s="65"/>
      <c r="F19" s="65"/>
      <c r="G19" s="65"/>
      <c r="H19"/>
      <c r="I19"/>
      <c r="J19"/>
      <c r="K19"/>
      <c r="L19"/>
      <c r="M19"/>
      <c r="N19"/>
    </row>
    <row r="20" spans="1:15" s="2" customFormat="1" ht="24.95" customHeight="1" thickBot="1" x14ac:dyDescent="0.25">
      <c r="A20" s="274" t="s">
        <v>93</v>
      </c>
      <c r="B20" s="275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6"/>
    </row>
    <row r="21" spans="1:15" s="82" customFormat="1" ht="24.95" customHeight="1" x14ac:dyDescent="0.2">
      <c r="A21" s="108">
        <f>+A17+1</f>
        <v>7</v>
      </c>
      <c r="B21" s="62" t="s">
        <v>385</v>
      </c>
      <c r="C21" s="161" t="s">
        <v>441</v>
      </c>
      <c r="D21" s="132" t="s">
        <v>574</v>
      </c>
      <c r="E21" s="129" t="s">
        <v>221</v>
      </c>
      <c r="F21" s="26" t="s">
        <v>611</v>
      </c>
      <c r="G21" s="26" t="s">
        <v>612</v>
      </c>
      <c r="H21" s="9">
        <v>170000</v>
      </c>
      <c r="I21" s="112">
        <f>H21*2.87%</f>
        <v>4879</v>
      </c>
      <c r="J21" s="112">
        <f>162625*3.04%</f>
        <v>4943.8</v>
      </c>
      <c r="K21" s="5">
        <v>28627.24</v>
      </c>
      <c r="L21" s="111">
        <f>12813+25</f>
        <v>12838</v>
      </c>
      <c r="M21" s="112">
        <f>SUM(I21:L21)</f>
        <v>51288.04</v>
      </c>
      <c r="N21" s="111">
        <f>+H21-M21</f>
        <v>118711.95999999999</v>
      </c>
      <c r="O21" s="6"/>
    </row>
    <row r="22" spans="1:15" s="71" customFormat="1" ht="24.95" customHeight="1" x14ac:dyDescent="0.2">
      <c r="A22" s="200">
        <f>+A21+1</f>
        <v>8</v>
      </c>
      <c r="B22" s="219" t="s">
        <v>388</v>
      </c>
      <c r="C22" s="216" t="s">
        <v>441</v>
      </c>
      <c r="D22" s="201" t="s">
        <v>147</v>
      </c>
      <c r="E22" s="201" t="s">
        <v>221</v>
      </c>
      <c r="F22" s="149" t="s">
        <v>513</v>
      </c>
      <c r="G22" s="2" t="s">
        <v>584</v>
      </c>
      <c r="H22" s="9">
        <v>70000</v>
      </c>
      <c r="I22" s="217">
        <f>H22*2.87%</f>
        <v>2009</v>
      </c>
      <c r="J22" s="217">
        <f>+H22*3.04%</f>
        <v>2128</v>
      </c>
      <c r="K22" s="217">
        <v>5368.48</v>
      </c>
      <c r="L22" s="218">
        <v>25</v>
      </c>
      <c r="M22" s="217">
        <f>SUM(I22:L22)</f>
        <v>9530.48</v>
      </c>
      <c r="N22" s="218">
        <f>+H22-M22</f>
        <v>60469.520000000004</v>
      </c>
      <c r="O22" s="2"/>
    </row>
    <row r="23" spans="1:15" s="71" customFormat="1" ht="24.95" customHeight="1" x14ac:dyDescent="0.2">
      <c r="A23" s="133">
        <f>A22+1</f>
        <v>9</v>
      </c>
      <c r="B23" s="5" t="s">
        <v>613</v>
      </c>
      <c r="C23" s="160" t="s">
        <v>441</v>
      </c>
      <c r="D23" s="132" t="s">
        <v>147</v>
      </c>
      <c r="E23" s="201" t="s">
        <v>221</v>
      </c>
      <c r="F23" s="131" t="s">
        <v>549</v>
      </c>
      <c r="G23" s="5" t="s">
        <v>598</v>
      </c>
      <c r="H23" s="128">
        <v>70000</v>
      </c>
      <c r="I23" s="64">
        <f>H23*2.87%</f>
        <v>2009</v>
      </c>
      <c r="J23" s="64">
        <f>+H23*3.04%</f>
        <v>2128</v>
      </c>
      <c r="K23" s="64">
        <v>5368.48</v>
      </c>
      <c r="L23" s="70">
        <f>25+886.92</f>
        <v>911.92</v>
      </c>
      <c r="M23" s="64">
        <f>I23+J23+K23+L23</f>
        <v>10417.4</v>
      </c>
      <c r="N23" s="70">
        <f>H23-M23</f>
        <v>59582.6</v>
      </c>
      <c r="O23" s="2"/>
    </row>
    <row r="24" spans="1:15" s="2" customFormat="1" ht="24.95" customHeight="1" x14ac:dyDescent="0.2">
      <c r="A24" s="261" t="s">
        <v>128</v>
      </c>
      <c r="B24" s="261"/>
      <c r="C24" s="261"/>
      <c r="D24" s="261"/>
      <c r="E24" s="261"/>
      <c r="F24" s="261"/>
      <c r="G24" s="261"/>
      <c r="H24" s="16">
        <f t="shared" ref="H24:M24" si="2">SUM(H21:H23)</f>
        <v>310000</v>
      </c>
      <c r="I24" s="16">
        <f t="shared" si="2"/>
        <v>8897</v>
      </c>
      <c r="J24" s="16">
        <f t="shared" si="2"/>
        <v>9199.7999999999993</v>
      </c>
      <c r="K24" s="16">
        <f t="shared" si="2"/>
        <v>39364.199999999997</v>
      </c>
      <c r="L24" s="16">
        <f t="shared" si="2"/>
        <v>13774.92</v>
      </c>
      <c r="M24" s="16">
        <f t="shared" si="2"/>
        <v>71235.92</v>
      </c>
      <c r="N24" s="16">
        <f>SUM(N21:N23)</f>
        <v>238764.08</v>
      </c>
    </row>
    <row r="25" spans="1:15" s="2" customFormat="1" ht="15.75" customHeight="1" thickBot="1" x14ac:dyDescent="0.25">
      <c r="A25" s="65"/>
      <c r="B25" s="65"/>
      <c r="C25" s="65"/>
      <c r="D25" s="65"/>
      <c r="E25" s="65"/>
      <c r="F25" s="65"/>
      <c r="G25" s="65"/>
      <c r="H25" s="6"/>
      <c r="I25" s="6"/>
      <c r="J25" s="6"/>
      <c r="K25" s="6"/>
      <c r="L25" s="6"/>
      <c r="M25" s="6"/>
      <c r="N25" s="6"/>
    </row>
    <row r="26" spans="1:15" s="2" customFormat="1" ht="24.95" customHeight="1" thickBot="1" x14ac:dyDescent="0.25">
      <c r="A26" s="258" t="s">
        <v>452</v>
      </c>
      <c r="B26" s="259"/>
      <c r="C26" s="259"/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60"/>
    </row>
    <row r="27" spans="1:15" s="82" customFormat="1" ht="28.5" customHeight="1" x14ac:dyDescent="0.2">
      <c r="A27" s="113">
        <f>A23+1</f>
        <v>10</v>
      </c>
      <c r="B27" s="199" t="s">
        <v>453</v>
      </c>
      <c r="C27" s="200" t="s">
        <v>442</v>
      </c>
      <c r="D27" s="201" t="s">
        <v>454</v>
      </c>
      <c r="E27" s="129" t="s">
        <v>221</v>
      </c>
      <c r="F27" s="134" t="s">
        <v>548</v>
      </c>
      <c r="G27" s="134" t="s">
        <v>616</v>
      </c>
      <c r="H27" s="10">
        <v>130000</v>
      </c>
      <c r="I27" s="8">
        <f>H27*2.87%</f>
        <v>3731</v>
      </c>
      <c r="J27" s="8">
        <f>+H27*3.04%</f>
        <v>3952</v>
      </c>
      <c r="K27" s="5">
        <v>19162.12</v>
      </c>
      <c r="L27" s="9">
        <v>25</v>
      </c>
      <c r="M27" s="8">
        <f>SUM(I27:L27)</f>
        <v>26870.12</v>
      </c>
      <c r="N27" s="9">
        <f>+H27-M27</f>
        <v>103129.88</v>
      </c>
      <c r="O27" s="6"/>
    </row>
    <row r="28" spans="1:15" s="6" customFormat="1" ht="24.95" customHeight="1" x14ac:dyDescent="0.2">
      <c r="A28" s="261" t="s">
        <v>128</v>
      </c>
      <c r="B28" s="261"/>
      <c r="C28" s="261"/>
      <c r="D28" s="261"/>
      <c r="E28" s="261"/>
      <c r="F28" s="261"/>
      <c r="G28" s="261"/>
      <c r="H28" s="16">
        <f>SUM(H27)</f>
        <v>130000</v>
      </c>
      <c r="I28" s="16">
        <f t="shared" ref="I28:N28" si="3">SUM(I27)</f>
        <v>3731</v>
      </c>
      <c r="J28" s="16">
        <f t="shared" si="3"/>
        <v>3952</v>
      </c>
      <c r="K28" s="16">
        <f t="shared" si="3"/>
        <v>19162.12</v>
      </c>
      <c r="L28" s="16">
        <f t="shared" si="3"/>
        <v>25</v>
      </c>
      <c r="M28" s="16">
        <f t="shared" si="3"/>
        <v>26870.12</v>
      </c>
      <c r="N28" s="16">
        <f t="shared" si="3"/>
        <v>103129.88</v>
      </c>
    </row>
    <row r="29" spans="1:15" s="6" customFormat="1" ht="24.95" customHeight="1" thickBot="1" x14ac:dyDescent="0.25">
      <c r="A29" s="65"/>
      <c r="B29" s="65"/>
      <c r="C29" s="65"/>
      <c r="D29" s="65"/>
      <c r="E29" s="65"/>
      <c r="F29" s="65"/>
      <c r="G29" s="65"/>
    </row>
    <row r="30" spans="1:15" s="2" customFormat="1" ht="24.95" customHeight="1" thickBot="1" x14ac:dyDescent="0.25">
      <c r="A30" s="274" t="s">
        <v>389</v>
      </c>
      <c r="B30" s="275"/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6"/>
    </row>
    <row r="31" spans="1:15" s="2" customFormat="1" ht="24.95" customHeight="1" x14ac:dyDescent="0.2">
      <c r="A31" s="133">
        <f>+A27+1</f>
        <v>11</v>
      </c>
      <c r="B31" s="5" t="s">
        <v>387</v>
      </c>
      <c r="C31" s="161" t="s">
        <v>441</v>
      </c>
      <c r="D31" s="129" t="s">
        <v>595</v>
      </c>
      <c r="E31" s="129" t="s">
        <v>221</v>
      </c>
      <c r="F31" s="148" t="s">
        <v>542</v>
      </c>
      <c r="G31" s="148" t="s">
        <v>597</v>
      </c>
      <c r="H31" s="9">
        <v>100000</v>
      </c>
      <c r="I31" s="112">
        <f>H31*2.87%</f>
        <v>2870</v>
      </c>
      <c r="J31" s="112">
        <f>+H31*3.04%</f>
        <v>3040</v>
      </c>
      <c r="K31" s="112">
        <v>12105.37</v>
      </c>
      <c r="L31" s="111">
        <f>18500+25</f>
        <v>18525</v>
      </c>
      <c r="M31" s="112">
        <f>SUM(I31:L31)</f>
        <v>36540.370000000003</v>
      </c>
      <c r="N31" s="111">
        <f>+H31-M31</f>
        <v>63459.63</v>
      </c>
    </row>
    <row r="32" spans="1:15" s="71" customFormat="1" ht="27" customHeight="1" x14ac:dyDescent="0.2">
      <c r="A32" s="12">
        <f>A31+1</f>
        <v>12</v>
      </c>
      <c r="B32" s="8" t="s">
        <v>390</v>
      </c>
      <c r="C32" s="161" t="s">
        <v>442</v>
      </c>
      <c r="D32" s="129" t="s">
        <v>150</v>
      </c>
      <c r="E32" s="129" t="s">
        <v>221</v>
      </c>
      <c r="F32" s="26" t="s">
        <v>549</v>
      </c>
      <c r="G32" s="26" t="s">
        <v>598</v>
      </c>
      <c r="H32" s="9">
        <v>90000</v>
      </c>
      <c r="I32" s="112">
        <f>H32*2.87%</f>
        <v>2583</v>
      </c>
      <c r="J32" s="112">
        <f>+H32*3.04%</f>
        <v>2736</v>
      </c>
      <c r="K32" s="112">
        <v>9753.1200000000008</v>
      </c>
      <c r="L32" s="111">
        <f>1073.01+25</f>
        <v>1098.01</v>
      </c>
      <c r="M32" s="112">
        <f>SUM(I32:L32)</f>
        <v>16170.130000000001</v>
      </c>
      <c r="N32" s="111">
        <f>+H32-M32</f>
        <v>73829.87</v>
      </c>
      <c r="O32" s="2"/>
    </row>
    <row r="33" spans="1:15" s="71" customFormat="1" ht="32.25" customHeight="1" x14ac:dyDescent="0.2">
      <c r="A33" s="12">
        <f>+A32+1</f>
        <v>13</v>
      </c>
      <c r="B33" s="8" t="s">
        <v>526</v>
      </c>
      <c r="C33" s="161" t="s">
        <v>441</v>
      </c>
      <c r="D33" s="129" t="s">
        <v>527</v>
      </c>
      <c r="E33" s="129" t="s">
        <v>221</v>
      </c>
      <c r="F33" s="26" t="s">
        <v>541</v>
      </c>
      <c r="G33" s="26" t="s">
        <v>614</v>
      </c>
      <c r="H33" s="9">
        <v>70000</v>
      </c>
      <c r="I33" s="112">
        <f>H33*2.87%</f>
        <v>2009</v>
      </c>
      <c r="J33" s="112">
        <f>+H33*3.04%</f>
        <v>2128</v>
      </c>
      <c r="K33" s="112">
        <v>5368.45</v>
      </c>
      <c r="L33" s="111">
        <v>911.92</v>
      </c>
      <c r="M33" s="112">
        <f>SUM(I33:L33)</f>
        <v>10417.370000000001</v>
      </c>
      <c r="N33" s="111">
        <f>+H33-M33</f>
        <v>59582.63</v>
      </c>
      <c r="O33" s="2"/>
    </row>
    <row r="34" spans="1:15" s="82" customFormat="1" ht="24.95" customHeight="1" x14ac:dyDescent="0.2">
      <c r="A34" s="108">
        <f>+A33+1</f>
        <v>14</v>
      </c>
      <c r="B34" s="131" t="s">
        <v>403</v>
      </c>
      <c r="C34" s="160" t="s">
        <v>442</v>
      </c>
      <c r="D34" s="134" t="s">
        <v>236</v>
      </c>
      <c r="E34" s="129" t="s">
        <v>221</v>
      </c>
      <c r="F34" s="26" t="s">
        <v>629</v>
      </c>
      <c r="G34" s="26" t="s">
        <v>630</v>
      </c>
      <c r="H34" s="128">
        <v>70000</v>
      </c>
      <c r="I34" s="8">
        <f t="shared" ref="I34" si="4">H34*2.87%</f>
        <v>2009</v>
      </c>
      <c r="J34" s="8">
        <f t="shared" ref="J34" si="5">+H34*3.04%</f>
        <v>2128</v>
      </c>
      <c r="K34" s="112">
        <v>5368.45</v>
      </c>
      <c r="L34" s="9">
        <f>25+9809.32</f>
        <v>9834.32</v>
      </c>
      <c r="M34" s="8">
        <f t="shared" ref="M34" si="6">SUM(I34:L34)</f>
        <v>19339.77</v>
      </c>
      <c r="N34" s="9">
        <f>+H34-M34</f>
        <v>50660.229999999996</v>
      </c>
      <c r="O34" s="6"/>
    </row>
    <row r="35" spans="1:15" s="2" customFormat="1" ht="24.95" customHeight="1" x14ac:dyDescent="0.2">
      <c r="A35" s="261" t="s">
        <v>128</v>
      </c>
      <c r="B35" s="261"/>
      <c r="C35" s="261"/>
      <c r="D35" s="261"/>
      <c r="E35" s="261"/>
      <c r="F35" s="261"/>
      <c r="G35" s="261"/>
      <c r="H35" s="16">
        <f>SUM(H31:H34)</f>
        <v>330000</v>
      </c>
      <c r="I35" s="16">
        <f t="shared" ref="I35:N35" si="7">SUM(I31:I34)</f>
        <v>9471</v>
      </c>
      <c r="J35" s="16">
        <f t="shared" si="7"/>
        <v>10032</v>
      </c>
      <c r="K35" s="16">
        <f t="shared" si="7"/>
        <v>32595.390000000003</v>
      </c>
      <c r="L35" s="16">
        <f t="shared" si="7"/>
        <v>30369.249999999996</v>
      </c>
      <c r="M35" s="16">
        <f t="shared" si="7"/>
        <v>82467.64</v>
      </c>
      <c r="N35" s="16">
        <f t="shared" si="7"/>
        <v>247532.36</v>
      </c>
    </row>
    <row r="36" spans="1:15" s="6" customFormat="1" ht="15" customHeight="1" thickBot="1" x14ac:dyDescent="0.25">
      <c r="A36" s="65"/>
      <c r="B36" s="65"/>
      <c r="C36" s="65"/>
      <c r="D36" s="65"/>
      <c r="E36" s="65"/>
      <c r="F36" s="65"/>
      <c r="G36" s="65"/>
    </row>
    <row r="37" spans="1:15" s="2" customFormat="1" ht="24.95" customHeight="1" x14ac:dyDescent="0.2">
      <c r="A37" s="278" t="s">
        <v>95</v>
      </c>
      <c r="B37" s="279"/>
      <c r="C37" s="279"/>
      <c r="D37" s="279"/>
      <c r="E37" s="279"/>
      <c r="F37" s="279"/>
      <c r="G37" s="279"/>
      <c r="H37" s="279"/>
      <c r="I37" s="279"/>
      <c r="J37" s="279"/>
      <c r="K37" s="279"/>
      <c r="L37" s="279"/>
      <c r="M37" s="279"/>
      <c r="N37" s="280"/>
    </row>
    <row r="38" spans="1:15" s="82" customFormat="1" ht="35.25" customHeight="1" x14ac:dyDescent="0.2">
      <c r="A38" s="133">
        <f>+A34+1</f>
        <v>15</v>
      </c>
      <c r="B38" s="134" t="s">
        <v>391</v>
      </c>
      <c r="C38" s="133" t="s">
        <v>442</v>
      </c>
      <c r="D38" s="132" t="s">
        <v>477</v>
      </c>
      <c r="E38" s="132" t="s">
        <v>221</v>
      </c>
      <c r="F38" s="131" t="s">
        <v>514</v>
      </c>
      <c r="G38" s="5" t="s">
        <v>583</v>
      </c>
      <c r="H38" s="5">
        <v>110000</v>
      </c>
      <c r="I38" s="64">
        <f>H38*2.87%</f>
        <v>3157</v>
      </c>
      <c r="J38" s="64">
        <f>+H38*3.04%</f>
        <v>3344</v>
      </c>
      <c r="K38" s="5">
        <v>14457.62</v>
      </c>
      <c r="L38" s="70">
        <v>25</v>
      </c>
      <c r="M38" s="64">
        <f>SUM(I38:L38)</f>
        <v>20983.620000000003</v>
      </c>
      <c r="N38" s="70">
        <f>+H38-M38</f>
        <v>89016.38</v>
      </c>
      <c r="O38" s="6"/>
    </row>
    <row r="39" spans="1:15" s="82" customFormat="1" ht="35.25" customHeight="1" x14ac:dyDescent="0.2">
      <c r="A39" s="69">
        <f>+A38+1</f>
        <v>16</v>
      </c>
      <c r="B39" s="134" t="s">
        <v>455</v>
      </c>
      <c r="C39" s="133" t="s">
        <v>442</v>
      </c>
      <c r="D39" s="132" t="s">
        <v>296</v>
      </c>
      <c r="E39" s="132" t="s">
        <v>221</v>
      </c>
      <c r="F39" s="26" t="s">
        <v>547</v>
      </c>
      <c r="G39" s="26" t="s">
        <v>612</v>
      </c>
      <c r="H39" s="8">
        <v>70000</v>
      </c>
      <c r="I39" s="112">
        <f>H39*2.87%</f>
        <v>2009</v>
      </c>
      <c r="J39" s="112">
        <f>+H39*3.04%</f>
        <v>2128</v>
      </c>
      <c r="K39" s="112">
        <v>5368.45</v>
      </c>
      <c r="L39" s="111">
        <v>25</v>
      </c>
      <c r="M39" s="112">
        <f>SUM(I39:L39)</f>
        <v>9530.4500000000007</v>
      </c>
      <c r="N39" s="111">
        <f>+H39-M39</f>
        <v>60469.55</v>
      </c>
      <c r="O39" s="6"/>
    </row>
    <row r="40" spans="1:15" s="6" customFormat="1" ht="24.95" customHeight="1" x14ac:dyDescent="0.2">
      <c r="A40" s="261" t="s">
        <v>128</v>
      </c>
      <c r="B40" s="261"/>
      <c r="C40" s="261"/>
      <c r="D40" s="261"/>
      <c r="E40" s="261"/>
      <c r="F40" s="261"/>
      <c r="G40" s="261"/>
      <c r="H40" s="16">
        <f>SUM(H38:H39)</f>
        <v>180000</v>
      </c>
      <c r="I40" s="16">
        <f t="shared" ref="I40:N40" si="8">SUM(I38:I39)</f>
        <v>5166</v>
      </c>
      <c r="J40" s="16">
        <f t="shared" si="8"/>
        <v>5472</v>
      </c>
      <c r="K40" s="16">
        <f t="shared" si="8"/>
        <v>19826.07</v>
      </c>
      <c r="L40" s="16">
        <f t="shared" si="8"/>
        <v>50</v>
      </c>
      <c r="M40" s="16">
        <f t="shared" si="8"/>
        <v>30514.070000000003</v>
      </c>
      <c r="N40" s="16">
        <f t="shared" si="8"/>
        <v>149485.93</v>
      </c>
    </row>
    <row r="41" spans="1:15" s="82" customFormat="1" ht="24.95" customHeight="1" thickBot="1" x14ac:dyDescent="0.25">
      <c r="A41" s="220"/>
      <c r="B41" s="220"/>
      <c r="C41" s="220"/>
      <c r="D41" s="220"/>
      <c r="E41" s="220"/>
      <c r="F41" s="220"/>
      <c r="G41" s="220"/>
      <c r="O41" s="6"/>
    </row>
    <row r="42" spans="1:15" s="2" customFormat="1" ht="24.95" customHeight="1" thickBot="1" x14ac:dyDescent="0.25">
      <c r="A42" s="258" t="s">
        <v>159</v>
      </c>
      <c r="B42" s="259"/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60"/>
    </row>
    <row r="43" spans="1:15" s="82" customFormat="1" ht="24.95" customHeight="1" x14ac:dyDescent="0.2">
      <c r="A43" s="108">
        <f>+A39+1</f>
        <v>17</v>
      </c>
      <c r="B43" s="1" t="s">
        <v>131</v>
      </c>
      <c r="C43" s="4" t="s">
        <v>441</v>
      </c>
      <c r="D43" s="129" t="s">
        <v>52</v>
      </c>
      <c r="E43" s="129" t="s">
        <v>221</v>
      </c>
      <c r="F43" s="26" t="s">
        <v>547</v>
      </c>
      <c r="G43" s="26" t="s">
        <v>612</v>
      </c>
      <c r="H43" s="8">
        <v>80000</v>
      </c>
      <c r="I43" s="112">
        <f>H43*2.87%</f>
        <v>2296</v>
      </c>
      <c r="J43" s="112">
        <f>+H43*3.04%</f>
        <v>2432</v>
      </c>
      <c r="K43" s="5">
        <v>7400.87</v>
      </c>
      <c r="L43" s="111">
        <v>25</v>
      </c>
      <c r="M43" s="112">
        <f>SUM(I43:L43)</f>
        <v>12153.869999999999</v>
      </c>
      <c r="N43" s="111">
        <f>+H43-M43</f>
        <v>67846.13</v>
      </c>
      <c r="O43" s="6"/>
    </row>
    <row r="44" spans="1:15" s="6" customFormat="1" ht="24.95" customHeight="1" x14ac:dyDescent="0.2">
      <c r="A44" s="261" t="s">
        <v>128</v>
      </c>
      <c r="B44" s="261"/>
      <c r="C44" s="261"/>
      <c r="D44" s="261"/>
      <c r="E44" s="261"/>
      <c r="F44" s="261"/>
      <c r="G44" s="261"/>
      <c r="H44" s="16">
        <f>SUM(H43)</f>
        <v>80000</v>
      </c>
      <c r="I44" s="16">
        <f t="shared" ref="I44:N44" si="9">SUM(I43)</f>
        <v>2296</v>
      </c>
      <c r="J44" s="16">
        <f t="shared" si="9"/>
        <v>2432</v>
      </c>
      <c r="K44" s="16">
        <f t="shared" si="9"/>
        <v>7400.87</v>
      </c>
      <c r="L44" s="16">
        <f t="shared" si="9"/>
        <v>25</v>
      </c>
      <c r="M44" s="16">
        <f t="shared" si="9"/>
        <v>12153.869999999999</v>
      </c>
      <c r="N44" s="16">
        <f t="shared" si="9"/>
        <v>67846.13</v>
      </c>
    </row>
    <row r="45" spans="1:15" s="6" customFormat="1" ht="18.75" customHeight="1" thickBot="1" x14ac:dyDescent="0.25">
      <c r="A45" s="65"/>
      <c r="B45" s="65"/>
      <c r="C45" s="65"/>
      <c r="D45" s="65"/>
      <c r="E45" s="65"/>
      <c r="F45" s="65"/>
      <c r="G45" s="65"/>
    </row>
    <row r="46" spans="1:15" s="2" customFormat="1" ht="24.95" customHeight="1" thickBot="1" x14ac:dyDescent="0.25">
      <c r="A46" s="258" t="s">
        <v>160</v>
      </c>
      <c r="B46" s="259"/>
      <c r="C46" s="259"/>
      <c r="D46" s="259"/>
      <c r="E46" s="259"/>
      <c r="F46" s="259"/>
      <c r="G46" s="259"/>
      <c r="H46" s="259"/>
      <c r="I46" s="259"/>
      <c r="J46" s="259"/>
      <c r="K46" s="259"/>
      <c r="L46" s="259"/>
      <c r="M46" s="259"/>
      <c r="N46" s="260"/>
    </row>
    <row r="47" spans="1:15" s="82" customFormat="1" ht="30.75" customHeight="1" x14ac:dyDescent="0.2">
      <c r="A47" s="108">
        <f>+A43+1</f>
        <v>18</v>
      </c>
      <c r="B47" s="148" t="s">
        <v>223</v>
      </c>
      <c r="C47" s="12" t="s">
        <v>442</v>
      </c>
      <c r="D47" s="129" t="s">
        <v>151</v>
      </c>
      <c r="E47" s="129" t="s">
        <v>221</v>
      </c>
      <c r="F47" s="131" t="s">
        <v>514</v>
      </c>
      <c r="G47" s="131" t="s">
        <v>583</v>
      </c>
      <c r="H47" s="8">
        <v>70000</v>
      </c>
      <c r="I47" s="112">
        <f>H47*2.87%</f>
        <v>2009</v>
      </c>
      <c r="J47" s="112">
        <f>+H47*3.04%</f>
        <v>2128</v>
      </c>
      <c r="K47" s="112">
        <v>5368.45</v>
      </c>
      <c r="L47" s="111">
        <v>1025</v>
      </c>
      <c r="M47" s="112">
        <f>SUM(I47:L47)</f>
        <v>10530.45</v>
      </c>
      <c r="N47" s="111">
        <f>+H47-M47</f>
        <v>59469.55</v>
      </c>
      <c r="O47" s="6"/>
    </row>
    <row r="48" spans="1:15" s="82" customFormat="1" ht="27" customHeight="1" x14ac:dyDescent="0.2">
      <c r="A48" s="108">
        <f>+A47+1</f>
        <v>19</v>
      </c>
      <c r="B48" s="131" t="s">
        <v>456</v>
      </c>
      <c r="C48" s="133" t="s">
        <v>442</v>
      </c>
      <c r="D48" s="132" t="s">
        <v>151</v>
      </c>
      <c r="E48" s="132" t="s">
        <v>221</v>
      </c>
      <c r="F48" s="26" t="s">
        <v>547</v>
      </c>
      <c r="G48" s="26" t="s">
        <v>612</v>
      </c>
      <c r="H48" s="8">
        <v>70000</v>
      </c>
      <c r="I48" s="112">
        <f>H48*2.87%</f>
        <v>2009</v>
      </c>
      <c r="J48" s="112">
        <f>+H48*3.04%</f>
        <v>2128</v>
      </c>
      <c r="K48" s="112">
        <v>5368.48</v>
      </c>
      <c r="L48" s="111">
        <v>25</v>
      </c>
      <c r="M48" s="112">
        <f>SUM(I48:L48)</f>
        <v>9530.48</v>
      </c>
      <c r="N48" s="111">
        <f>+H48-M48</f>
        <v>60469.520000000004</v>
      </c>
      <c r="O48" s="6"/>
    </row>
    <row r="49" spans="1:15" s="82" customFormat="1" ht="36.75" customHeight="1" x14ac:dyDescent="0.2">
      <c r="A49" s="108">
        <f>+A48+1</f>
        <v>20</v>
      </c>
      <c r="B49" s="205" t="s">
        <v>392</v>
      </c>
      <c r="C49" s="69" t="s">
        <v>442</v>
      </c>
      <c r="D49" s="115" t="s">
        <v>151</v>
      </c>
      <c r="E49" s="115" t="s">
        <v>221</v>
      </c>
      <c r="F49" s="110" t="s">
        <v>542</v>
      </c>
      <c r="G49" s="110" t="s">
        <v>597</v>
      </c>
      <c r="H49" s="207">
        <v>70000</v>
      </c>
      <c r="I49" s="8">
        <f>H49*2.87%</f>
        <v>2009</v>
      </c>
      <c r="J49" s="8">
        <f>+H49*3.04%</f>
        <v>2128</v>
      </c>
      <c r="K49" s="112">
        <v>5368.45</v>
      </c>
      <c r="L49" s="111">
        <v>2025</v>
      </c>
      <c r="M49" s="112">
        <f>SUM(I49:L49)</f>
        <v>11530.45</v>
      </c>
      <c r="N49" s="111">
        <f>+H49-M49</f>
        <v>58469.55</v>
      </c>
      <c r="O49" s="6"/>
    </row>
    <row r="50" spans="1:15" s="6" customFormat="1" ht="24.75" customHeight="1" x14ac:dyDescent="0.2">
      <c r="A50" s="261" t="s">
        <v>128</v>
      </c>
      <c r="B50" s="261"/>
      <c r="C50" s="261"/>
      <c r="D50" s="261"/>
      <c r="E50" s="261"/>
      <c r="F50" s="261"/>
      <c r="G50" s="261"/>
      <c r="H50" s="16">
        <f t="shared" ref="H50:N50" si="10">SUM(H47:H49)</f>
        <v>210000</v>
      </c>
      <c r="I50" s="16">
        <f t="shared" si="10"/>
        <v>6027</v>
      </c>
      <c r="J50" s="16">
        <f t="shared" si="10"/>
        <v>6384</v>
      </c>
      <c r="K50" s="16">
        <f t="shared" si="10"/>
        <v>16105.380000000001</v>
      </c>
      <c r="L50" s="16">
        <f t="shared" si="10"/>
        <v>3075</v>
      </c>
      <c r="M50" s="16">
        <f t="shared" si="10"/>
        <v>31591.38</v>
      </c>
      <c r="N50" s="16">
        <f t="shared" si="10"/>
        <v>178408.62</v>
      </c>
    </row>
    <row r="51" spans="1:15" s="6" customFormat="1" ht="14.25" customHeight="1" x14ac:dyDescent="0.2">
      <c r="A51" s="65"/>
      <c r="B51" s="65"/>
      <c r="C51" s="65"/>
      <c r="D51" s="65"/>
      <c r="E51" s="65"/>
      <c r="F51" s="65"/>
      <c r="G51" s="65"/>
    </row>
    <row r="52" spans="1:15" s="6" customFormat="1" ht="16.5" customHeight="1" thickBot="1" x14ac:dyDescent="0.25">
      <c r="A52" s="65"/>
      <c r="B52" s="65"/>
      <c r="C52" s="65"/>
      <c r="D52" s="65"/>
      <c r="E52" s="65"/>
      <c r="F52" s="65"/>
      <c r="G52" s="65"/>
    </row>
    <row r="53" spans="1:15" s="6" customFormat="1" ht="23.25" customHeight="1" thickBot="1" x14ac:dyDescent="0.25">
      <c r="A53" s="274" t="s">
        <v>163</v>
      </c>
      <c r="B53" s="275"/>
      <c r="C53" s="275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6"/>
    </row>
    <row r="54" spans="1:15" s="6" customFormat="1" ht="28.5" customHeight="1" x14ac:dyDescent="0.2">
      <c r="A54" s="12">
        <f>A49+1</f>
        <v>21</v>
      </c>
      <c r="B54" s="5" t="s">
        <v>485</v>
      </c>
      <c r="C54" s="161" t="s">
        <v>441</v>
      </c>
      <c r="D54" s="129" t="s">
        <v>151</v>
      </c>
      <c r="E54" s="129" t="s">
        <v>221</v>
      </c>
      <c r="F54" s="26" t="s">
        <v>652</v>
      </c>
      <c r="G54" s="26" t="s">
        <v>653</v>
      </c>
      <c r="H54" s="9">
        <v>70000</v>
      </c>
      <c r="I54" s="8">
        <f>H54*2.87%</f>
        <v>2009</v>
      </c>
      <c r="J54" s="8">
        <f>+H54*3.04%</f>
        <v>2128</v>
      </c>
      <c r="K54" s="203">
        <v>5368.45</v>
      </c>
      <c r="L54" s="9">
        <f>100+2525</f>
        <v>2625</v>
      </c>
      <c r="M54" s="8">
        <f>SUM(I54:L54)</f>
        <v>12130.45</v>
      </c>
      <c r="N54" s="9">
        <f>+H54-M54</f>
        <v>57869.55</v>
      </c>
    </row>
    <row r="55" spans="1:15" s="6" customFormat="1" ht="23.25" customHeight="1" x14ac:dyDescent="0.2">
      <c r="A55" s="261" t="s">
        <v>128</v>
      </c>
      <c r="B55" s="261"/>
      <c r="C55" s="261"/>
      <c r="D55" s="261"/>
      <c r="E55" s="261"/>
      <c r="F55" s="261"/>
      <c r="G55" s="261"/>
      <c r="H55" s="16">
        <f>SUM(H54)</f>
        <v>70000</v>
      </c>
      <c r="I55" s="16">
        <f t="shared" ref="I55:N55" si="11">SUM(I54)</f>
        <v>2009</v>
      </c>
      <c r="J55" s="16">
        <f t="shared" si="11"/>
        <v>2128</v>
      </c>
      <c r="K55" s="16">
        <f t="shared" si="11"/>
        <v>5368.45</v>
      </c>
      <c r="L55" s="16">
        <f t="shared" si="11"/>
        <v>2625</v>
      </c>
      <c r="M55" s="16">
        <f t="shared" si="11"/>
        <v>12130.45</v>
      </c>
      <c r="N55" s="16">
        <f t="shared" si="11"/>
        <v>57869.55</v>
      </c>
    </row>
    <row r="56" spans="1:15" s="6" customFormat="1" ht="23.25" customHeight="1" thickBot="1" x14ac:dyDescent="0.25">
      <c r="A56" s="65"/>
      <c r="B56" s="65"/>
      <c r="C56" s="65"/>
      <c r="D56" s="65"/>
      <c r="E56" s="65"/>
      <c r="F56" s="65"/>
      <c r="G56" s="65"/>
      <c r="J56" s="82"/>
      <c r="K56" s="82"/>
      <c r="L56" s="82"/>
      <c r="M56" s="82"/>
      <c r="N56" s="82"/>
    </row>
    <row r="57" spans="1:15" s="6" customFormat="1" ht="23.25" customHeight="1" thickBot="1" x14ac:dyDescent="0.25">
      <c r="A57" s="274" t="s">
        <v>529</v>
      </c>
      <c r="B57" s="275"/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6"/>
    </row>
    <row r="58" spans="1:15" s="6" customFormat="1" ht="29.25" customHeight="1" x14ac:dyDescent="0.2">
      <c r="A58" s="12">
        <f>+A54+1</f>
        <v>22</v>
      </c>
      <c r="B58" s="5" t="s">
        <v>528</v>
      </c>
      <c r="C58" s="161" t="s">
        <v>442</v>
      </c>
      <c r="D58" s="129" t="s">
        <v>151</v>
      </c>
      <c r="E58" s="129" t="s">
        <v>221</v>
      </c>
      <c r="F58" s="26" t="s">
        <v>541</v>
      </c>
      <c r="G58" s="26" t="s">
        <v>614</v>
      </c>
      <c r="H58" s="9">
        <v>70000</v>
      </c>
      <c r="I58" s="8">
        <f>H58*2.87%</f>
        <v>2009</v>
      </c>
      <c r="J58" s="8">
        <f>+H58*3.04%</f>
        <v>2128</v>
      </c>
      <c r="K58" s="9">
        <v>5368.45</v>
      </c>
      <c r="L58" s="9">
        <f>2500+25</f>
        <v>2525</v>
      </c>
      <c r="M58" s="8">
        <f>SUM(I58:L58)</f>
        <v>12030.45</v>
      </c>
      <c r="N58" s="9">
        <f>+H58-M58</f>
        <v>57969.55</v>
      </c>
    </row>
    <row r="59" spans="1:15" s="6" customFormat="1" ht="23.25" customHeight="1" x14ac:dyDescent="0.2">
      <c r="A59" s="261" t="s">
        <v>128</v>
      </c>
      <c r="B59" s="261"/>
      <c r="C59" s="261"/>
      <c r="D59" s="261"/>
      <c r="E59" s="261"/>
      <c r="F59" s="261"/>
      <c r="G59" s="261"/>
      <c r="H59" s="16">
        <f>SUM(H58)</f>
        <v>70000</v>
      </c>
      <c r="I59" s="16">
        <f t="shared" ref="I59:N59" si="12">SUM(I58)</f>
        <v>2009</v>
      </c>
      <c r="J59" s="16">
        <f t="shared" si="12"/>
        <v>2128</v>
      </c>
      <c r="K59" s="16">
        <f t="shared" si="12"/>
        <v>5368.45</v>
      </c>
      <c r="L59" s="16">
        <f t="shared" si="12"/>
        <v>2525</v>
      </c>
      <c r="M59" s="16">
        <f t="shared" si="12"/>
        <v>12030.45</v>
      </c>
      <c r="N59" s="16">
        <f t="shared" si="12"/>
        <v>57969.55</v>
      </c>
    </row>
    <row r="60" spans="1:15" s="6" customFormat="1" ht="23.25" customHeight="1" x14ac:dyDescent="0.2">
      <c r="A60" s="65"/>
      <c r="B60" s="65"/>
      <c r="C60" s="65"/>
      <c r="D60" s="65"/>
      <c r="E60" s="65"/>
      <c r="F60" s="65"/>
      <c r="G60" s="65"/>
    </row>
    <row r="61" spans="1:15" s="2" customFormat="1" ht="12" customHeight="1" thickBot="1" x14ac:dyDescent="0.25">
      <c r="A61" s="65"/>
      <c r="B61" s="65"/>
      <c r="C61" s="65"/>
      <c r="D61" s="65"/>
      <c r="E61" s="65"/>
      <c r="F61" s="65"/>
      <c r="G61" s="65"/>
      <c r="H61" s="6"/>
      <c r="I61" s="6"/>
      <c r="J61" s="6"/>
      <c r="K61" s="6"/>
      <c r="L61" s="6"/>
      <c r="M61" s="6"/>
      <c r="N61" s="6"/>
    </row>
    <row r="62" spans="1:15" s="71" customFormat="1" ht="27" customHeight="1" thickBot="1" x14ac:dyDescent="0.25">
      <c r="A62" s="274" t="s">
        <v>201</v>
      </c>
      <c r="B62" s="275"/>
      <c r="C62" s="275"/>
      <c r="D62" s="275"/>
      <c r="E62" s="275"/>
      <c r="F62" s="275"/>
      <c r="G62" s="275"/>
      <c r="H62" s="275"/>
      <c r="I62" s="275"/>
      <c r="J62" s="275"/>
      <c r="K62" s="275"/>
      <c r="L62" s="275"/>
      <c r="M62" s="275"/>
      <c r="N62" s="276"/>
      <c r="O62" s="2"/>
    </row>
    <row r="63" spans="1:15" s="71" customFormat="1" ht="39" customHeight="1" x14ac:dyDescent="0.2">
      <c r="A63" s="108">
        <f>A58+1</f>
        <v>23</v>
      </c>
      <c r="B63" s="5" t="s">
        <v>393</v>
      </c>
      <c r="C63" s="161" t="s">
        <v>442</v>
      </c>
      <c r="D63" s="129" t="s">
        <v>151</v>
      </c>
      <c r="E63" s="129" t="s">
        <v>221</v>
      </c>
      <c r="F63" s="26" t="s">
        <v>549</v>
      </c>
      <c r="G63" s="26" t="s">
        <v>598</v>
      </c>
      <c r="H63" s="9">
        <v>80000</v>
      </c>
      <c r="I63" s="112">
        <f>H63*2.87%</f>
        <v>2296</v>
      </c>
      <c r="J63" s="112">
        <f>+H63*3.04%</f>
        <v>2432</v>
      </c>
      <c r="K63" s="111">
        <v>7400.87</v>
      </c>
      <c r="L63" s="111">
        <f>25+9460.27</f>
        <v>9485.27</v>
      </c>
      <c r="M63" s="112">
        <f>SUM(I63:L63)</f>
        <v>21614.14</v>
      </c>
      <c r="N63" s="111">
        <f>+H63-M63</f>
        <v>58385.86</v>
      </c>
      <c r="O63" s="2"/>
    </row>
    <row r="64" spans="1:15" s="71" customFormat="1" ht="39" customHeight="1" x14ac:dyDescent="0.2">
      <c r="A64" s="108">
        <f>+A63+1</f>
        <v>24</v>
      </c>
      <c r="B64" s="5" t="s">
        <v>394</v>
      </c>
      <c r="C64" s="161" t="s">
        <v>442</v>
      </c>
      <c r="D64" s="129" t="s">
        <v>151</v>
      </c>
      <c r="E64" s="129" t="s">
        <v>221</v>
      </c>
      <c r="F64" s="134" t="s">
        <v>635</v>
      </c>
      <c r="G64" s="134" t="s">
        <v>636</v>
      </c>
      <c r="H64" s="9">
        <v>70000</v>
      </c>
      <c r="I64" s="112">
        <f>H64*2.87%</f>
        <v>2009</v>
      </c>
      <c r="J64" s="112">
        <f>+H64*3.04%</f>
        <v>2128</v>
      </c>
      <c r="K64" s="111">
        <v>5368.45</v>
      </c>
      <c r="L64" s="111">
        <f>25+7892.55</f>
        <v>7917.55</v>
      </c>
      <c r="M64" s="112">
        <f>SUM(I64:L64)</f>
        <v>17423</v>
      </c>
      <c r="N64" s="111">
        <f>+H64-M64</f>
        <v>52577</v>
      </c>
      <c r="O64" s="2"/>
    </row>
    <row r="65" spans="1:15" s="2" customFormat="1" ht="23.25" customHeight="1" x14ac:dyDescent="0.2">
      <c r="A65" s="261" t="s">
        <v>128</v>
      </c>
      <c r="B65" s="261"/>
      <c r="C65" s="261"/>
      <c r="D65" s="261"/>
      <c r="E65" s="261"/>
      <c r="F65" s="261"/>
      <c r="G65" s="261"/>
      <c r="H65" s="16">
        <f t="shared" ref="H65:M65" si="13">SUM(H63:H64)</f>
        <v>150000</v>
      </c>
      <c r="I65" s="16">
        <f t="shared" si="13"/>
        <v>4305</v>
      </c>
      <c r="J65" s="16">
        <f t="shared" si="13"/>
        <v>4560</v>
      </c>
      <c r="K65" s="16">
        <f t="shared" si="13"/>
        <v>12769.32</v>
      </c>
      <c r="L65" s="16">
        <f t="shared" si="13"/>
        <v>17402.82</v>
      </c>
      <c r="M65" s="16">
        <f t="shared" si="13"/>
        <v>39037.14</v>
      </c>
      <c r="N65" s="16">
        <f>SUM(N63:N64)</f>
        <v>110962.86</v>
      </c>
    </row>
    <row r="66" spans="1:15" s="6" customFormat="1" ht="24.75" customHeight="1" thickBot="1" x14ac:dyDescent="0.25">
      <c r="A66" s="65"/>
      <c r="B66" s="65"/>
      <c r="C66" s="65"/>
      <c r="D66" s="65"/>
      <c r="E66" s="65"/>
      <c r="F66" s="65"/>
      <c r="G66" s="65"/>
    </row>
    <row r="67" spans="1:15" s="82" customFormat="1" ht="30" customHeight="1" thickBot="1" x14ac:dyDescent="0.25">
      <c r="A67" s="274" t="s">
        <v>166</v>
      </c>
      <c r="B67" s="275"/>
      <c r="C67" s="275"/>
      <c r="D67" s="275"/>
      <c r="E67" s="275"/>
      <c r="F67" s="275"/>
      <c r="G67" s="275"/>
      <c r="H67" s="275"/>
      <c r="I67" s="275"/>
      <c r="J67" s="275"/>
      <c r="K67" s="275"/>
      <c r="L67" s="275"/>
      <c r="M67" s="275"/>
      <c r="N67" s="276"/>
      <c r="O67" s="6"/>
    </row>
    <row r="68" spans="1:15" s="82" customFormat="1" ht="38.25" x14ac:dyDescent="0.2">
      <c r="A68" s="108">
        <f>A64+1</f>
        <v>25</v>
      </c>
      <c r="B68" s="5" t="s">
        <v>156</v>
      </c>
      <c r="C68" s="161" t="s">
        <v>441</v>
      </c>
      <c r="D68" s="129" t="s">
        <v>606</v>
      </c>
      <c r="E68" s="129" t="s">
        <v>221</v>
      </c>
      <c r="F68" s="26" t="s">
        <v>652</v>
      </c>
      <c r="G68" s="26" t="s">
        <v>653</v>
      </c>
      <c r="H68" s="9">
        <v>155000</v>
      </c>
      <c r="I68" s="112">
        <f>H68*2.87%</f>
        <v>4448.5</v>
      </c>
      <c r="J68" s="112">
        <f>+H68*3.04%</f>
        <v>4712</v>
      </c>
      <c r="K68" s="112">
        <v>25042.74</v>
      </c>
      <c r="L68" s="111">
        <v>25</v>
      </c>
      <c r="M68" s="112">
        <f>SUM(I68:L68)</f>
        <v>34228.240000000005</v>
      </c>
      <c r="N68" s="111">
        <f>+H68-M68</f>
        <v>120771.76</v>
      </c>
      <c r="O68" s="6"/>
    </row>
    <row r="69" spans="1:15" s="6" customFormat="1" ht="31.5" customHeight="1" x14ac:dyDescent="0.2">
      <c r="A69" s="12">
        <f>A68+1</f>
        <v>26</v>
      </c>
      <c r="B69" s="5" t="s">
        <v>395</v>
      </c>
      <c r="C69" s="161" t="s">
        <v>441</v>
      </c>
      <c r="D69" s="129" t="s">
        <v>151</v>
      </c>
      <c r="E69" s="129" t="s">
        <v>221</v>
      </c>
      <c r="F69" s="134" t="s">
        <v>547</v>
      </c>
      <c r="G69" s="134" t="s">
        <v>612</v>
      </c>
      <c r="H69" s="9">
        <v>70000</v>
      </c>
      <c r="I69" s="112">
        <f>H69*2.87%</f>
        <v>2009</v>
      </c>
      <c r="J69" s="112">
        <f>+H69*3.04%</f>
        <v>2128</v>
      </c>
      <c r="K69" s="111">
        <v>5368.48</v>
      </c>
      <c r="L69" s="111">
        <f>25+10309.92</f>
        <v>10334.92</v>
      </c>
      <c r="M69" s="112">
        <f>SUM(I69:L69)</f>
        <v>19840.400000000001</v>
      </c>
      <c r="N69" s="111">
        <f>+H69-M69</f>
        <v>50159.6</v>
      </c>
    </row>
    <row r="70" spans="1:15" s="6" customFormat="1" ht="29.25" customHeight="1" x14ac:dyDescent="0.2">
      <c r="A70" s="12">
        <f>+A69+1</f>
        <v>27</v>
      </c>
      <c r="B70" s="5" t="s">
        <v>530</v>
      </c>
      <c r="C70" s="161" t="s">
        <v>442</v>
      </c>
      <c r="D70" s="129" t="s">
        <v>151</v>
      </c>
      <c r="E70" s="129" t="s">
        <v>221</v>
      </c>
      <c r="F70" s="134" t="s">
        <v>541</v>
      </c>
      <c r="G70" s="134" t="s">
        <v>614</v>
      </c>
      <c r="H70" s="9">
        <v>70000</v>
      </c>
      <c r="I70" s="112">
        <f>H70*2.87%</f>
        <v>2009</v>
      </c>
      <c r="J70" s="112">
        <f>+H70*3.04%</f>
        <v>2128</v>
      </c>
      <c r="K70" s="111">
        <v>5368.48</v>
      </c>
      <c r="L70" s="111">
        <v>25</v>
      </c>
      <c r="M70" s="112">
        <f>SUM(I70:L70)</f>
        <v>9530.48</v>
      </c>
      <c r="N70" s="111">
        <f>+H70-M70</f>
        <v>60469.520000000004</v>
      </c>
    </row>
    <row r="71" spans="1:15" s="6" customFormat="1" ht="23.25" customHeight="1" x14ac:dyDescent="0.2">
      <c r="A71" s="261" t="s">
        <v>128</v>
      </c>
      <c r="B71" s="261"/>
      <c r="C71" s="261"/>
      <c r="D71" s="261"/>
      <c r="E71" s="261"/>
      <c r="F71" s="261"/>
      <c r="G71" s="261"/>
      <c r="H71" s="16">
        <f t="shared" ref="H71:N71" si="14">SUM(H68:H70)</f>
        <v>295000</v>
      </c>
      <c r="I71" s="16">
        <f t="shared" si="14"/>
        <v>8466.5</v>
      </c>
      <c r="J71" s="16">
        <f t="shared" si="14"/>
        <v>8968</v>
      </c>
      <c r="K71" s="16">
        <f t="shared" si="14"/>
        <v>35779.699999999997</v>
      </c>
      <c r="L71" s="16">
        <f t="shared" si="14"/>
        <v>10384.92</v>
      </c>
      <c r="M71" s="16">
        <f t="shared" si="14"/>
        <v>63599.12000000001</v>
      </c>
      <c r="N71" s="16">
        <f t="shared" si="14"/>
        <v>231400.88</v>
      </c>
    </row>
    <row r="72" spans="1:15" s="6" customFormat="1" ht="24.75" customHeight="1" thickBot="1" x14ac:dyDescent="0.25">
      <c r="A72" s="65"/>
      <c r="B72" s="65"/>
      <c r="C72" s="65"/>
      <c r="D72" s="65"/>
      <c r="E72" s="65"/>
      <c r="F72" s="65"/>
      <c r="G72" s="65"/>
    </row>
    <row r="73" spans="1:15" s="82" customFormat="1" ht="30" customHeight="1" thickBot="1" x14ac:dyDescent="0.25">
      <c r="A73" s="274"/>
      <c r="B73" s="275"/>
      <c r="C73" s="275"/>
      <c r="D73" s="275"/>
      <c r="E73" s="275"/>
      <c r="F73" s="275"/>
      <c r="G73" s="275"/>
      <c r="H73" s="275"/>
      <c r="I73" s="275"/>
      <c r="J73" s="275"/>
      <c r="K73" s="275"/>
      <c r="L73" s="275"/>
      <c r="M73" s="275"/>
      <c r="N73" s="276"/>
      <c r="O73" s="6"/>
    </row>
    <row r="74" spans="1:15" s="82" customFormat="1" ht="30" customHeight="1" thickBot="1" x14ac:dyDescent="0.25">
      <c r="A74" s="274" t="s">
        <v>651</v>
      </c>
      <c r="B74" s="275"/>
      <c r="C74" s="275"/>
      <c r="D74" s="275"/>
      <c r="E74" s="275"/>
      <c r="F74" s="275"/>
      <c r="G74" s="275"/>
      <c r="H74" s="275"/>
      <c r="I74" s="275"/>
      <c r="J74" s="275"/>
      <c r="K74" s="275"/>
      <c r="L74" s="275"/>
      <c r="M74" s="275"/>
      <c r="N74" s="276"/>
      <c r="O74" s="6"/>
    </row>
    <row r="75" spans="1:15" s="2" customFormat="1" ht="24.95" customHeight="1" x14ac:dyDescent="0.2">
      <c r="A75" s="108">
        <f>+A70+1</f>
        <v>28</v>
      </c>
      <c r="B75" s="62" t="s">
        <v>420</v>
      </c>
      <c r="C75" s="161" t="s">
        <v>441</v>
      </c>
      <c r="D75" s="130" t="s">
        <v>151</v>
      </c>
      <c r="E75" s="129" t="s">
        <v>221</v>
      </c>
      <c r="F75" s="132" t="s">
        <v>585</v>
      </c>
      <c r="G75" s="134" t="s">
        <v>586</v>
      </c>
      <c r="H75" s="112">
        <v>70000</v>
      </c>
      <c r="I75" s="112">
        <f>H75*2.87%</f>
        <v>2009</v>
      </c>
      <c r="J75" s="112">
        <f>+H75*3.04%</f>
        <v>2128</v>
      </c>
      <c r="K75" s="112">
        <v>5368.45</v>
      </c>
      <c r="L75" s="111">
        <v>25</v>
      </c>
      <c r="M75" s="112">
        <f>SUM(I75:L75)</f>
        <v>9530.4500000000007</v>
      </c>
      <c r="N75" s="111">
        <f>+H75-M75</f>
        <v>60469.55</v>
      </c>
    </row>
    <row r="76" spans="1:15" s="6" customFormat="1" ht="24.75" customHeight="1" x14ac:dyDescent="0.2">
      <c r="A76" s="261" t="s">
        <v>128</v>
      </c>
      <c r="B76" s="261"/>
      <c r="C76" s="261"/>
      <c r="D76" s="261"/>
      <c r="E76" s="261"/>
      <c r="F76" s="261"/>
      <c r="G76" s="261"/>
      <c r="H76" s="16">
        <v>70000</v>
      </c>
      <c r="I76" s="16">
        <f>H76*2.87%</f>
        <v>2009</v>
      </c>
      <c r="J76" s="16">
        <f>+H76*3.04%</f>
        <v>2128</v>
      </c>
      <c r="K76" s="16">
        <v>5368.45</v>
      </c>
      <c r="L76" s="16">
        <v>25</v>
      </c>
      <c r="M76" s="16">
        <f>SUM(I76:L76)</f>
        <v>9530.4500000000007</v>
      </c>
      <c r="N76" s="16">
        <f>+H76-M76</f>
        <v>60469.55</v>
      </c>
    </row>
    <row r="77" spans="1:15" s="6" customFormat="1" ht="23.25" customHeight="1" thickBot="1" x14ac:dyDescent="0.25">
      <c r="A77" s="65"/>
      <c r="B77" s="65"/>
      <c r="C77" s="65"/>
      <c r="D77" s="65"/>
      <c r="E77" s="65"/>
      <c r="G77" s="65"/>
    </row>
    <row r="78" spans="1:15" s="6" customFormat="1" ht="28.5" customHeight="1" thickBot="1" x14ac:dyDescent="0.25">
      <c r="A78" s="274" t="s">
        <v>171</v>
      </c>
      <c r="B78" s="275"/>
      <c r="C78" s="275"/>
      <c r="D78" s="275"/>
      <c r="E78" s="275"/>
      <c r="F78" s="275"/>
      <c r="G78" s="275"/>
      <c r="H78" s="275"/>
      <c r="I78" s="275"/>
      <c r="J78" s="275"/>
      <c r="K78" s="275"/>
      <c r="L78" s="275"/>
      <c r="M78" s="275"/>
      <c r="N78" s="276"/>
    </row>
    <row r="79" spans="1:15" s="6" customFormat="1" ht="23.25" customHeight="1" x14ac:dyDescent="0.2">
      <c r="A79" s="12">
        <f>+A75+1</f>
        <v>29</v>
      </c>
      <c r="B79" s="5" t="s">
        <v>476</v>
      </c>
      <c r="C79" s="161" t="s">
        <v>441</v>
      </c>
      <c r="D79" s="129" t="s">
        <v>151</v>
      </c>
      <c r="E79" s="129" t="s">
        <v>221</v>
      </c>
      <c r="F79" s="26" t="s">
        <v>564</v>
      </c>
      <c r="G79" s="26" t="s">
        <v>626</v>
      </c>
      <c r="H79" s="9">
        <v>70000</v>
      </c>
      <c r="I79" s="8">
        <f>H79*2.87%</f>
        <v>2009</v>
      </c>
      <c r="J79" s="8">
        <f>+H79*3.04%</f>
        <v>2128</v>
      </c>
      <c r="K79" s="9">
        <v>5368.45</v>
      </c>
      <c r="L79" s="9">
        <f>25+100</f>
        <v>125</v>
      </c>
      <c r="M79" s="8">
        <f>SUM(I79:L79)</f>
        <v>9630.4500000000007</v>
      </c>
      <c r="N79" s="9">
        <f>+H79-M79</f>
        <v>60369.55</v>
      </c>
    </row>
    <row r="80" spans="1:15" s="6" customFormat="1" ht="26.25" customHeight="1" x14ac:dyDescent="0.2">
      <c r="A80" s="261" t="s">
        <v>128</v>
      </c>
      <c r="B80" s="261"/>
      <c r="C80" s="261"/>
      <c r="D80" s="261"/>
      <c r="E80" s="261"/>
      <c r="F80" s="261"/>
      <c r="G80" s="261"/>
      <c r="H80" s="16">
        <f>SUM(H79)</f>
        <v>70000</v>
      </c>
      <c r="I80" s="16">
        <f t="shared" ref="I80:N80" si="15">SUM(I79)</f>
        <v>2009</v>
      </c>
      <c r="J80" s="16">
        <f t="shared" si="15"/>
        <v>2128</v>
      </c>
      <c r="K80" s="16">
        <f t="shared" si="15"/>
        <v>5368.45</v>
      </c>
      <c r="L80" s="16">
        <f t="shared" si="15"/>
        <v>125</v>
      </c>
      <c r="M80" s="16">
        <f t="shared" si="15"/>
        <v>9630.4500000000007</v>
      </c>
      <c r="N80" s="16">
        <f t="shared" si="15"/>
        <v>60369.55</v>
      </c>
    </row>
    <row r="81" spans="1:15" s="6" customFormat="1" ht="24.75" customHeight="1" thickBot="1" x14ac:dyDescent="0.25">
      <c r="A81" s="65"/>
      <c r="B81" s="65"/>
      <c r="C81" s="65"/>
      <c r="D81" s="65"/>
      <c r="E81" s="65"/>
      <c r="F81" s="65"/>
      <c r="G81" s="65"/>
    </row>
    <row r="82" spans="1:15" s="82" customFormat="1" ht="27" customHeight="1" thickBot="1" x14ac:dyDescent="0.25">
      <c r="A82" s="274" t="s">
        <v>172</v>
      </c>
      <c r="B82" s="275"/>
      <c r="C82" s="275"/>
      <c r="D82" s="275"/>
      <c r="E82" s="275"/>
      <c r="F82" s="275"/>
      <c r="G82" s="275"/>
      <c r="H82" s="275"/>
      <c r="I82" s="275"/>
      <c r="J82" s="275"/>
      <c r="K82" s="275"/>
      <c r="L82" s="275"/>
      <c r="M82" s="275"/>
      <c r="N82" s="276"/>
      <c r="O82" s="6"/>
    </row>
    <row r="83" spans="1:15" s="82" customFormat="1" ht="24.95" customHeight="1" x14ac:dyDescent="0.2">
      <c r="A83" s="12">
        <f>+A79+1</f>
        <v>30</v>
      </c>
      <c r="B83" s="5" t="s">
        <v>457</v>
      </c>
      <c r="C83" s="161" t="s">
        <v>442</v>
      </c>
      <c r="D83" s="129" t="s">
        <v>151</v>
      </c>
      <c r="E83" s="129" t="s">
        <v>221</v>
      </c>
      <c r="F83" s="134" t="s">
        <v>547</v>
      </c>
      <c r="G83" s="134" t="s">
        <v>612</v>
      </c>
      <c r="H83" s="9">
        <v>70000</v>
      </c>
      <c r="I83" s="8">
        <f>H83*2.87%</f>
        <v>2009</v>
      </c>
      <c r="J83" s="8">
        <f>+H83*3.04%</f>
        <v>2128</v>
      </c>
      <c r="K83" s="9">
        <v>5368.48</v>
      </c>
      <c r="L83" s="9">
        <f>1686.63+25</f>
        <v>1711.63</v>
      </c>
      <c r="M83" s="8">
        <f>SUM(I83:L83)</f>
        <v>11217.11</v>
      </c>
      <c r="N83" s="9">
        <f>+H83-M83</f>
        <v>58782.89</v>
      </c>
      <c r="O83" s="6"/>
    </row>
    <row r="84" spans="1:15" s="6" customFormat="1" ht="24.75" customHeight="1" x14ac:dyDescent="0.2">
      <c r="A84" s="12">
        <f>+A83+1</f>
        <v>31</v>
      </c>
      <c r="B84" s="5" t="s">
        <v>475</v>
      </c>
      <c r="C84" s="161" t="s">
        <v>442</v>
      </c>
      <c r="D84" s="129" t="s">
        <v>151</v>
      </c>
      <c r="E84" s="129" t="s">
        <v>221</v>
      </c>
      <c r="F84" s="26" t="s">
        <v>564</v>
      </c>
      <c r="G84" s="26" t="s">
        <v>626</v>
      </c>
      <c r="H84" s="9">
        <v>70000</v>
      </c>
      <c r="I84" s="8">
        <f>H84*2.87%</f>
        <v>2009</v>
      </c>
      <c r="J84" s="8">
        <f>+H84*3.04%</f>
        <v>2128</v>
      </c>
      <c r="K84" s="9">
        <v>5368.45</v>
      </c>
      <c r="L84" s="9">
        <f>100+25</f>
        <v>125</v>
      </c>
      <c r="M84" s="8">
        <f>SUM(I84:L84)</f>
        <v>9630.4500000000007</v>
      </c>
      <c r="N84" s="9">
        <f>+H84-M84</f>
        <v>60369.55</v>
      </c>
    </row>
    <row r="85" spans="1:15" customFormat="1" ht="21" customHeight="1" thickBot="1" x14ac:dyDescent="0.25">
      <c r="A85" s="261" t="s">
        <v>128</v>
      </c>
      <c r="B85" s="261"/>
      <c r="C85" s="261"/>
      <c r="D85" s="261"/>
      <c r="E85" s="261"/>
      <c r="F85" s="261"/>
      <c r="G85" s="261"/>
      <c r="H85" s="16">
        <f>SUM(H83:H84)</f>
        <v>140000</v>
      </c>
      <c r="I85" s="16">
        <f t="shared" ref="I85:N85" si="16">SUM(I83:I84)</f>
        <v>4018</v>
      </c>
      <c r="J85" s="16">
        <f t="shared" si="16"/>
        <v>4256</v>
      </c>
      <c r="K85" s="16">
        <f t="shared" si="16"/>
        <v>10736.93</v>
      </c>
      <c r="L85" s="16">
        <f t="shared" si="16"/>
        <v>1836.63</v>
      </c>
      <c r="M85" s="16">
        <f t="shared" si="16"/>
        <v>20847.560000000001</v>
      </c>
      <c r="N85" s="16">
        <f t="shared" si="16"/>
        <v>119152.44</v>
      </c>
      <c r="O85" s="225"/>
    </row>
    <row r="86" spans="1:15" s="6" customFormat="1" ht="28.5" customHeight="1" thickBot="1" x14ac:dyDescent="0.25">
      <c r="A86" s="274" t="s">
        <v>171</v>
      </c>
      <c r="B86" s="275"/>
      <c r="C86" s="275"/>
      <c r="D86" s="275"/>
      <c r="E86" s="275"/>
      <c r="F86" s="275"/>
      <c r="G86" s="275"/>
      <c r="H86" s="275"/>
      <c r="I86" s="275"/>
      <c r="J86" s="275"/>
      <c r="K86" s="275"/>
      <c r="L86" s="275"/>
      <c r="M86" s="275"/>
      <c r="N86" s="276"/>
    </row>
    <row r="87" spans="1:15" s="6" customFormat="1" ht="31.15" customHeight="1" x14ac:dyDescent="0.2">
      <c r="A87" s="12">
        <f>+A84+1</f>
        <v>32</v>
      </c>
      <c r="B87" s="5" t="s">
        <v>625</v>
      </c>
      <c r="C87" s="161" t="s">
        <v>441</v>
      </c>
      <c r="D87" s="129" t="s">
        <v>151</v>
      </c>
      <c r="E87" s="129" t="s">
        <v>221</v>
      </c>
      <c r="F87" s="26" t="s">
        <v>548</v>
      </c>
      <c r="G87" s="134" t="s">
        <v>616</v>
      </c>
      <c r="H87" s="9">
        <v>70000</v>
      </c>
      <c r="I87" s="8">
        <f>H87*2.87%</f>
        <v>2009</v>
      </c>
      <c r="J87" s="8">
        <f>+H87*3.04%</f>
        <v>2128</v>
      </c>
      <c r="K87" s="9">
        <v>5368.48</v>
      </c>
      <c r="L87" s="9">
        <v>25</v>
      </c>
      <c r="M87" s="8">
        <f>SUM(I87:L87)</f>
        <v>9530.48</v>
      </c>
      <c r="N87" s="9">
        <f>+H87-M87</f>
        <v>60469.520000000004</v>
      </c>
    </row>
    <row r="88" spans="1:15" s="6" customFormat="1" ht="26.25" customHeight="1" x14ac:dyDescent="0.2">
      <c r="A88" s="261" t="s">
        <v>128</v>
      </c>
      <c r="B88" s="261"/>
      <c r="C88" s="261"/>
      <c r="D88" s="261"/>
      <c r="E88" s="261"/>
      <c r="F88" s="261"/>
      <c r="G88" s="261"/>
      <c r="H88" s="16">
        <f>SUM(H87)</f>
        <v>70000</v>
      </c>
      <c r="I88" s="16">
        <f t="shared" ref="I88:N88" si="17">SUM(I87)</f>
        <v>2009</v>
      </c>
      <c r="J88" s="16">
        <f t="shared" si="17"/>
        <v>2128</v>
      </c>
      <c r="K88" s="16">
        <f t="shared" si="17"/>
        <v>5368.48</v>
      </c>
      <c r="L88" s="16">
        <f t="shared" si="17"/>
        <v>25</v>
      </c>
      <c r="M88" s="16">
        <f t="shared" si="17"/>
        <v>9530.48</v>
      </c>
      <c r="N88" s="16">
        <f t="shared" si="17"/>
        <v>60469.520000000004</v>
      </c>
    </row>
    <row r="89" spans="1:15" s="6" customFormat="1" ht="24.75" customHeight="1" thickBot="1" x14ac:dyDescent="0.25">
      <c r="A89" s="65"/>
      <c r="B89" s="65"/>
      <c r="C89" s="65"/>
      <c r="D89" s="65"/>
      <c r="E89" s="65"/>
      <c r="F89" s="65"/>
      <c r="G89" s="65"/>
    </row>
    <row r="90" spans="1:15" customFormat="1" ht="34.5" customHeight="1" thickBot="1" x14ac:dyDescent="0.25">
      <c r="A90" s="258" t="s">
        <v>177</v>
      </c>
      <c r="B90" s="259"/>
      <c r="C90" s="259"/>
      <c r="D90" s="259"/>
      <c r="E90" s="259"/>
      <c r="F90" s="259"/>
      <c r="G90" s="259"/>
      <c r="H90" s="259"/>
      <c r="I90" s="259"/>
      <c r="J90" s="259"/>
      <c r="K90" s="259"/>
      <c r="L90" s="259"/>
      <c r="M90" s="259"/>
      <c r="N90" s="260"/>
      <c r="O90" s="225"/>
    </row>
    <row r="91" spans="1:15" customFormat="1" ht="34.5" customHeight="1" x14ac:dyDescent="0.2">
      <c r="A91" s="12">
        <f>+A87+1</f>
        <v>33</v>
      </c>
      <c r="B91" s="62" t="s">
        <v>140</v>
      </c>
      <c r="C91" s="161" t="s">
        <v>441</v>
      </c>
      <c r="D91" s="130" t="s">
        <v>209</v>
      </c>
      <c r="E91" s="129" t="s">
        <v>221</v>
      </c>
      <c r="F91" s="26" t="s">
        <v>550</v>
      </c>
      <c r="G91" s="26" t="s">
        <v>599</v>
      </c>
      <c r="H91" s="10">
        <v>135000</v>
      </c>
      <c r="I91" s="8">
        <f>H91*2.87%</f>
        <v>3874.5</v>
      </c>
      <c r="J91" s="8">
        <f>+H91*3.04%</f>
        <v>4104</v>
      </c>
      <c r="K91" s="5">
        <v>19960.2</v>
      </c>
      <c r="L91" s="9">
        <f>8139.84+25+1512.45</f>
        <v>9677.2900000000009</v>
      </c>
      <c r="M91" s="8">
        <f>SUM(I91:L91)</f>
        <v>37615.990000000005</v>
      </c>
      <c r="N91" s="9">
        <f>+H91-M91</f>
        <v>97384.01</v>
      </c>
      <c r="O91" s="225"/>
    </row>
    <row r="92" spans="1:15" s="6" customFormat="1" ht="24" customHeight="1" x14ac:dyDescent="0.2">
      <c r="A92" s="12">
        <f>+A91+1</f>
        <v>34</v>
      </c>
      <c r="B92" s="62" t="s">
        <v>224</v>
      </c>
      <c r="C92" s="161" t="s">
        <v>442</v>
      </c>
      <c r="D92" s="129" t="s">
        <v>151</v>
      </c>
      <c r="E92" s="129" t="s">
        <v>221</v>
      </c>
      <c r="F92" s="131" t="s">
        <v>514</v>
      </c>
      <c r="G92" s="131" t="s">
        <v>583</v>
      </c>
      <c r="H92" s="10">
        <v>90000</v>
      </c>
      <c r="I92" s="8">
        <f>H92*2.87%</f>
        <v>2583</v>
      </c>
      <c r="J92" s="8">
        <f>+H92*3.04%</f>
        <v>2736</v>
      </c>
      <c r="K92" s="5">
        <v>9375.07</v>
      </c>
      <c r="L92" s="9">
        <f>25+2500+1512.45</f>
        <v>4037.45</v>
      </c>
      <c r="M92" s="8">
        <f>SUM(I92:L92)</f>
        <v>18731.52</v>
      </c>
      <c r="N92" s="9">
        <f>+H92-M92</f>
        <v>71268.479999999996</v>
      </c>
    </row>
    <row r="93" spans="1:15" s="2" customFormat="1" ht="22.5" customHeight="1" x14ac:dyDescent="0.2">
      <c r="A93" s="261" t="s">
        <v>128</v>
      </c>
      <c r="B93" s="261"/>
      <c r="C93" s="261"/>
      <c r="D93" s="261"/>
      <c r="E93" s="261"/>
      <c r="F93" s="261"/>
      <c r="G93" s="261"/>
      <c r="H93" s="16">
        <f>SUM(H91:H92)</f>
        <v>225000</v>
      </c>
      <c r="I93" s="16">
        <f t="shared" ref="I93:N93" si="18">SUM(I91:I92)</f>
        <v>6457.5</v>
      </c>
      <c r="J93" s="16">
        <f t="shared" si="18"/>
        <v>6840</v>
      </c>
      <c r="K93" s="16">
        <f t="shared" si="18"/>
        <v>29335.27</v>
      </c>
      <c r="L93" s="16">
        <f t="shared" si="18"/>
        <v>13714.740000000002</v>
      </c>
      <c r="M93" s="16">
        <f t="shared" si="18"/>
        <v>56347.510000000009</v>
      </c>
      <c r="N93" s="16">
        <f t="shared" si="18"/>
        <v>168652.49</v>
      </c>
    </row>
    <row r="94" spans="1:15" s="2" customFormat="1" ht="21" customHeight="1" thickBot="1" x14ac:dyDescent="0.25">
      <c r="A94" s="65"/>
      <c r="B94" s="65"/>
      <c r="C94" s="65"/>
      <c r="D94" s="65"/>
      <c r="E94" s="65"/>
      <c r="F94" s="65"/>
      <c r="G94" s="65"/>
      <c r="H94" s="6"/>
      <c r="I94" s="6"/>
      <c r="J94" s="6"/>
      <c r="K94" s="6"/>
      <c r="L94" s="6"/>
      <c r="M94" s="6"/>
      <c r="N94" s="6"/>
    </row>
    <row r="95" spans="1:15" s="2" customFormat="1" ht="28.5" customHeight="1" thickBot="1" x14ac:dyDescent="0.25">
      <c r="A95" s="258" t="s">
        <v>493</v>
      </c>
      <c r="B95" s="259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60"/>
    </row>
    <row r="96" spans="1:15" s="2" customFormat="1" ht="32.25" customHeight="1" thickBot="1" x14ac:dyDescent="0.25">
      <c r="A96" s="258" t="s">
        <v>494</v>
      </c>
      <c r="B96" s="259"/>
      <c r="C96" s="259"/>
      <c r="D96" s="259"/>
      <c r="E96" s="259"/>
      <c r="F96" s="259"/>
      <c r="G96" s="259"/>
      <c r="H96" s="259"/>
      <c r="I96" s="259"/>
      <c r="J96" s="259"/>
      <c r="K96" s="259"/>
      <c r="L96" s="259"/>
      <c r="M96" s="259"/>
      <c r="N96" s="260"/>
    </row>
    <row r="97" spans="1:15" s="2" customFormat="1" ht="33" customHeight="1" x14ac:dyDescent="0.2">
      <c r="A97" s="12">
        <f>+A92+1</f>
        <v>35</v>
      </c>
      <c r="B97" s="208" t="s">
        <v>518</v>
      </c>
      <c r="C97" s="209" t="s">
        <v>441</v>
      </c>
      <c r="D97" s="109" t="s">
        <v>557</v>
      </c>
      <c r="E97" s="109" t="s">
        <v>221</v>
      </c>
      <c r="F97" s="110" t="s">
        <v>550</v>
      </c>
      <c r="G97" s="110" t="s">
        <v>599</v>
      </c>
      <c r="H97" s="111">
        <v>170000</v>
      </c>
      <c r="I97" s="112">
        <f>H97*2.87%</f>
        <v>4879</v>
      </c>
      <c r="J97" s="112">
        <v>4943.8</v>
      </c>
      <c r="K97" s="64">
        <v>28627.17</v>
      </c>
      <c r="L97" s="111">
        <v>25</v>
      </c>
      <c r="M97" s="112">
        <f>SUM(I97:L97)</f>
        <v>38474.97</v>
      </c>
      <c r="N97" s="111">
        <f>+H97-M97</f>
        <v>131525.03</v>
      </c>
    </row>
    <row r="98" spans="1:15" s="2" customFormat="1" ht="33" customHeight="1" x14ac:dyDescent="0.2">
      <c r="A98" s="12">
        <f>+A97+1</f>
        <v>36</v>
      </c>
      <c r="B98" s="8" t="s">
        <v>383</v>
      </c>
      <c r="C98" s="161" t="s">
        <v>441</v>
      </c>
      <c r="D98" s="129" t="s">
        <v>492</v>
      </c>
      <c r="E98" s="129" t="s">
        <v>221</v>
      </c>
      <c r="F98" s="110" t="s">
        <v>550</v>
      </c>
      <c r="G98" s="110" t="s">
        <v>600</v>
      </c>
      <c r="H98" s="9">
        <v>150000</v>
      </c>
      <c r="I98" s="112">
        <f>H98*2.87%</f>
        <v>4305</v>
      </c>
      <c r="J98" s="8">
        <f>+H98*3.04%</f>
        <v>4560</v>
      </c>
      <c r="K98" s="5">
        <v>23866.62</v>
      </c>
      <c r="L98" s="111">
        <v>25</v>
      </c>
      <c r="M98" s="112">
        <f>SUM(I98:L98)</f>
        <v>32756.62</v>
      </c>
      <c r="N98" s="111">
        <f>+H98-M98</f>
        <v>117243.38</v>
      </c>
    </row>
    <row r="99" spans="1:15" s="2" customFormat="1" ht="33" customHeight="1" x14ac:dyDescent="0.2">
      <c r="A99" s="12">
        <f>+A98+1</f>
        <v>37</v>
      </c>
      <c r="B99" s="8" t="s">
        <v>620</v>
      </c>
      <c r="C99" s="161" t="s">
        <v>442</v>
      </c>
      <c r="D99" s="129" t="s">
        <v>621</v>
      </c>
      <c r="E99" s="129" t="s">
        <v>221</v>
      </c>
      <c r="F99" s="110" t="s">
        <v>548</v>
      </c>
      <c r="G99" s="110" t="s">
        <v>616</v>
      </c>
      <c r="H99" s="9">
        <v>90000</v>
      </c>
      <c r="I99" s="112">
        <f>H99*2.87%</f>
        <v>2583</v>
      </c>
      <c r="J99" s="8">
        <f>+H99*3.04%</f>
        <v>2736</v>
      </c>
      <c r="K99" s="5">
        <v>9753.19</v>
      </c>
      <c r="L99" s="111">
        <v>25</v>
      </c>
      <c r="M99" s="112">
        <f>SUM(I99:L99)</f>
        <v>15097.19</v>
      </c>
      <c r="N99" s="111">
        <f>+H99-M99</f>
        <v>74902.81</v>
      </c>
    </row>
    <row r="100" spans="1:15" s="2" customFormat="1" ht="22.5" customHeight="1" x14ac:dyDescent="0.2">
      <c r="A100" s="261" t="s">
        <v>128</v>
      </c>
      <c r="B100" s="261"/>
      <c r="C100" s="261"/>
      <c r="D100" s="261"/>
      <c r="E100" s="261"/>
      <c r="F100" s="261"/>
      <c r="G100" s="261"/>
      <c r="H100" s="16">
        <f>SUM(H97:H99)</f>
        <v>410000</v>
      </c>
      <c r="I100" s="16">
        <f t="shared" ref="I100:M100" si="19">SUM(I97:I99)</f>
        <v>11767</v>
      </c>
      <c r="J100" s="16">
        <f t="shared" si="19"/>
        <v>12239.8</v>
      </c>
      <c r="K100" s="16">
        <f t="shared" si="19"/>
        <v>62246.979999999996</v>
      </c>
      <c r="L100" s="16">
        <f t="shared" si="19"/>
        <v>75</v>
      </c>
      <c r="M100" s="16">
        <f t="shared" si="19"/>
        <v>86328.78</v>
      </c>
      <c r="N100" s="16">
        <f>SUM(N97:N99)</f>
        <v>323671.21999999997</v>
      </c>
    </row>
    <row r="101" spans="1:15" s="2" customFormat="1" ht="29.25" customHeight="1" thickBot="1" x14ac:dyDescent="0.25">
      <c r="A101" s="65"/>
      <c r="B101" s="65"/>
      <c r="C101" s="65"/>
      <c r="D101" s="65"/>
      <c r="E101" s="65"/>
      <c r="F101" s="65"/>
      <c r="G101" s="65"/>
      <c r="H101" s="6"/>
      <c r="I101" s="6"/>
      <c r="J101" s="6"/>
      <c r="K101" s="6"/>
      <c r="L101" s="6"/>
      <c r="M101" s="6"/>
      <c r="N101" s="6"/>
    </row>
    <row r="102" spans="1:15" s="2" customFormat="1" ht="22.5" customHeight="1" thickBot="1" x14ac:dyDescent="0.25">
      <c r="A102" s="258" t="s">
        <v>396</v>
      </c>
      <c r="B102" s="259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60"/>
    </row>
    <row r="103" spans="1:15" s="2" customFormat="1" ht="28.5" customHeight="1" x14ac:dyDescent="0.2">
      <c r="A103" s="108">
        <f>+A99+1</f>
        <v>38</v>
      </c>
      <c r="B103" s="110" t="s">
        <v>561</v>
      </c>
      <c r="C103" s="108" t="s">
        <v>442</v>
      </c>
      <c r="D103" s="110" t="s">
        <v>135</v>
      </c>
      <c r="E103" s="109" t="s">
        <v>221</v>
      </c>
      <c r="F103" s="26" t="s">
        <v>563</v>
      </c>
      <c r="G103" s="26" t="s">
        <v>627</v>
      </c>
      <c r="H103" s="8">
        <v>50000</v>
      </c>
      <c r="I103" s="112">
        <f>H103*2.87%</f>
        <v>1435</v>
      </c>
      <c r="J103" s="112">
        <f>+H103*3.04%</f>
        <v>1520</v>
      </c>
      <c r="K103" s="112">
        <v>1854</v>
      </c>
      <c r="L103" s="111">
        <v>25</v>
      </c>
      <c r="M103" s="112">
        <f>SUM(I103:L103)</f>
        <v>4834</v>
      </c>
      <c r="N103" s="111">
        <f>+H103-M103</f>
        <v>45166</v>
      </c>
    </row>
    <row r="104" spans="1:15" s="2" customFormat="1" ht="29.25" customHeight="1" x14ac:dyDescent="0.2">
      <c r="A104" s="261" t="s">
        <v>128</v>
      </c>
      <c r="B104" s="261"/>
      <c r="C104" s="261"/>
      <c r="D104" s="261"/>
      <c r="E104" s="261"/>
      <c r="F104" s="261"/>
      <c r="G104" s="261"/>
      <c r="H104" s="16">
        <f>SUM(H103:H103)</f>
        <v>50000</v>
      </c>
      <c r="I104" s="16">
        <f t="shared" ref="I104:N104" si="20">SUM(I103:I103)</f>
        <v>1435</v>
      </c>
      <c r="J104" s="16">
        <f t="shared" si="20"/>
        <v>1520</v>
      </c>
      <c r="K104" s="16">
        <f t="shared" si="20"/>
        <v>1854</v>
      </c>
      <c r="L104" s="16">
        <f t="shared" si="20"/>
        <v>25</v>
      </c>
      <c r="M104" s="16">
        <f t="shared" si="20"/>
        <v>4834</v>
      </c>
      <c r="N104" s="16">
        <f t="shared" si="20"/>
        <v>45166</v>
      </c>
    </row>
    <row r="105" spans="1:15" s="71" customFormat="1" ht="29.25" customHeight="1" thickBot="1" x14ac:dyDescent="0.25">
      <c r="A105" s="220"/>
      <c r="B105" s="220"/>
      <c r="C105" s="220"/>
      <c r="D105" s="220"/>
      <c r="E105" s="220"/>
      <c r="F105" s="220"/>
      <c r="G105" s="220"/>
      <c r="H105" s="82"/>
      <c r="I105" s="82"/>
      <c r="J105" s="82"/>
      <c r="K105" s="82"/>
      <c r="L105" s="82"/>
      <c r="M105" s="82"/>
      <c r="N105" s="82"/>
      <c r="O105" s="2"/>
    </row>
    <row r="106" spans="1:15" s="82" customFormat="1" ht="24.95" customHeight="1" thickBot="1" x14ac:dyDescent="0.25">
      <c r="A106" s="258" t="s">
        <v>396</v>
      </c>
      <c r="B106" s="259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60"/>
      <c r="O106" s="6"/>
    </row>
    <row r="107" spans="1:15" s="6" customFormat="1" ht="24.75" customHeight="1" x14ac:dyDescent="0.2">
      <c r="A107" s="108">
        <f>+A103+1</f>
        <v>39</v>
      </c>
      <c r="B107" s="26" t="s">
        <v>377</v>
      </c>
      <c r="C107" s="12" t="s">
        <v>442</v>
      </c>
      <c r="D107" s="26" t="s">
        <v>116</v>
      </c>
      <c r="E107" s="129" t="s">
        <v>221</v>
      </c>
      <c r="F107" s="26" t="s">
        <v>544</v>
      </c>
      <c r="G107" s="26" t="s">
        <v>601</v>
      </c>
      <c r="H107" s="8">
        <v>70000</v>
      </c>
      <c r="I107" s="112">
        <f>H107*2.87%</f>
        <v>2009</v>
      </c>
      <c r="J107" s="112">
        <f>+H107*3.04%</f>
        <v>2128</v>
      </c>
      <c r="K107" s="112">
        <v>5368.48</v>
      </c>
      <c r="L107" s="111">
        <v>1025</v>
      </c>
      <c r="M107" s="112">
        <f>SUM(I107:L107)</f>
        <v>10530.48</v>
      </c>
      <c r="N107" s="111">
        <f>+H107-M107</f>
        <v>59469.520000000004</v>
      </c>
    </row>
    <row r="108" spans="1:15" s="6" customFormat="1" ht="24.95" customHeight="1" x14ac:dyDescent="0.2">
      <c r="A108" s="261" t="s">
        <v>128</v>
      </c>
      <c r="B108" s="261"/>
      <c r="C108" s="261"/>
      <c r="D108" s="261"/>
      <c r="E108" s="261"/>
      <c r="F108" s="261"/>
      <c r="G108" s="261"/>
      <c r="H108" s="16">
        <f>SUM(H107:H107)</f>
        <v>70000</v>
      </c>
      <c r="I108" s="16">
        <f t="shared" ref="I108:N108" si="21">SUM(I107:I107)</f>
        <v>2009</v>
      </c>
      <c r="J108" s="16">
        <f t="shared" si="21"/>
        <v>2128</v>
      </c>
      <c r="K108" s="16">
        <f t="shared" si="21"/>
        <v>5368.48</v>
      </c>
      <c r="L108" s="16">
        <f t="shared" si="21"/>
        <v>1025</v>
      </c>
      <c r="M108" s="16">
        <f t="shared" si="21"/>
        <v>10530.48</v>
      </c>
      <c r="N108" s="16">
        <f t="shared" si="21"/>
        <v>59469.520000000004</v>
      </c>
    </row>
    <row r="109" spans="1:15" s="6" customFormat="1" ht="24.95" customHeight="1" thickBot="1" x14ac:dyDescent="0.25">
      <c r="A109" s="65"/>
      <c r="B109" s="65"/>
      <c r="C109" s="65"/>
      <c r="D109" s="65"/>
      <c r="E109" s="65"/>
      <c r="F109" s="65"/>
      <c r="G109" s="65"/>
    </row>
    <row r="110" spans="1:15" s="6" customFormat="1" ht="24.95" customHeight="1" x14ac:dyDescent="0.2">
      <c r="A110" s="278" t="s">
        <v>531</v>
      </c>
      <c r="B110" s="279"/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80"/>
    </row>
    <row r="111" spans="1:15" s="6" customFormat="1" ht="24.95" customHeight="1" x14ac:dyDescent="0.2">
      <c r="A111" s="69">
        <f>+A107+1</f>
        <v>40</v>
      </c>
      <c r="B111" s="206" t="s">
        <v>560</v>
      </c>
      <c r="C111" s="69" t="s">
        <v>442</v>
      </c>
      <c r="D111" s="206" t="s">
        <v>96</v>
      </c>
      <c r="E111" s="115" t="s">
        <v>221</v>
      </c>
      <c r="F111" s="26" t="s">
        <v>563</v>
      </c>
      <c r="G111" s="26" t="s">
        <v>627</v>
      </c>
      <c r="H111" s="64">
        <v>90000</v>
      </c>
      <c r="I111" s="64">
        <f>H111*2.87%</f>
        <v>2583</v>
      </c>
      <c r="J111" s="64">
        <f>+H111*3.04%</f>
        <v>2736</v>
      </c>
      <c r="K111" s="64">
        <v>9753.1200000000008</v>
      </c>
      <c r="L111" s="70">
        <v>1025</v>
      </c>
      <c r="M111" s="64">
        <f>SUM(I111:L111)</f>
        <v>16097.12</v>
      </c>
      <c r="N111" s="70">
        <f>+H111-M111</f>
        <v>73902.880000000005</v>
      </c>
    </row>
    <row r="112" spans="1:15" s="6" customFormat="1" ht="24.95" customHeight="1" x14ac:dyDescent="0.2">
      <c r="A112" s="108">
        <f>+A111+1</f>
        <v>41</v>
      </c>
      <c r="B112" s="26" t="s">
        <v>532</v>
      </c>
      <c r="C112" s="12" t="s">
        <v>442</v>
      </c>
      <c r="D112" s="26" t="s">
        <v>533</v>
      </c>
      <c r="E112" s="129" t="s">
        <v>221</v>
      </c>
      <c r="F112" s="26" t="s">
        <v>546</v>
      </c>
      <c r="G112" s="26" t="s">
        <v>602</v>
      </c>
      <c r="H112" s="8">
        <v>70000</v>
      </c>
      <c r="I112" s="112">
        <f>H112*2.87%</f>
        <v>2009</v>
      </c>
      <c r="J112" s="112">
        <f>+H112*3.04%</f>
        <v>2128</v>
      </c>
      <c r="K112" s="5">
        <v>5368.48</v>
      </c>
      <c r="L112" s="111">
        <v>3411.92</v>
      </c>
      <c r="M112" s="112">
        <f>SUM(I112:L112)</f>
        <v>12917.4</v>
      </c>
      <c r="N112" s="111">
        <f>+H112-M112</f>
        <v>57082.6</v>
      </c>
    </row>
    <row r="113" spans="1:15" s="6" customFormat="1" ht="24.95" customHeight="1" x14ac:dyDescent="0.2">
      <c r="A113" s="261" t="s">
        <v>128</v>
      </c>
      <c r="B113" s="261"/>
      <c r="C113" s="261"/>
      <c r="D113" s="261"/>
      <c r="E113" s="261"/>
      <c r="F113" s="261"/>
      <c r="G113" s="261"/>
      <c r="H113" s="16">
        <f>SUM(H111:H112)</f>
        <v>160000</v>
      </c>
      <c r="I113" s="16">
        <f t="shared" ref="I113:N113" si="22">SUM(I111:I112)</f>
        <v>4592</v>
      </c>
      <c r="J113" s="16">
        <f t="shared" si="22"/>
        <v>4864</v>
      </c>
      <c r="K113" s="16">
        <f t="shared" si="22"/>
        <v>15121.6</v>
      </c>
      <c r="L113" s="16">
        <f t="shared" si="22"/>
        <v>4436.92</v>
      </c>
      <c r="M113" s="16">
        <f t="shared" si="22"/>
        <v>29014.52</v>
      </c>
      <c r="N113" s="16">
        <f t="shared" si="22"/>
        <v>130985.48000000001</v>
      </c>
    </row>
    <row r="114" spans="1:15" s="6" customFormat="1" ht="24.95" customHeight="1" thickBot="1" x14ac:dyDescent="0.25">
      <c r="A114" s="65"/>
      <c r="B114" s="65"/>
      <c r="C114" s="65"/>
      <c r="D114" s="65"/>
      <c r="E114" s="65"/>
      <c r="F114" s="65"/>
      <c r="G114" s="65"/>
    </row>
    <row r="115" spans="1:15" s="6" customFormat="1" ht="24.95" customHeight="1" x14ac:dyDescent="0.2">
      <c r="A115" s="278" t="s">
        <v>396</v>
      </c>
      <c r="B115" s="279"/>
      <c r="C115" s="279"/>
      <c r="D115" s="279"/>
      <c r="E115" s="279"/>
      <c r="F115" s="279"/>
      <c r="G115" s="279"/>
      <c r="H115" s="279"/>
      <c r="I115" s="279"/>
      <c r="J115" s="279"/>
      <c r="K115" s="279"/>
      <c r="L115" s="279"/>
      <c r="M115" s="279"/>
      <c r="N115" s="280"/>
    </row>
    <row r="116" spans="1:15" s="6" customFormat="1" ht="24.95" customHeight="1" x14ac:dyDescent="0.2">
      <c r="A116" s="69">
        <f>+A112+1</f>
        <v>42</v>
      </c>
      <c r="B116" s="134" t="s">
        <v>534</v>
      </c>
      <c r="C116" s="133" t="s">
        <v>442</v>
      </c>
      <c r="D116" s="134" t="s">
        <v>496</v>
      </c>
      <c r="E116" s="132" t="s">
        <v>221</v>
      </c>
      <c r="F116" s="205" t="s">
        <v>546</v>
      </c>
      <c r="G116" s="205" t="s">
        <v>602</v>
      </c>
      <c r="H116" s="5">
        <v>80000</v>
      </c>
      <c r="I116" s="64">
        <f>H116*2.87%</f>
        <v>2296</v>
      </c>
      <c r="J116" s="64">
        <f>+H116*3.04%</f>
        <v>2432</v>
      </c>
      <c r="K116" s="5">
        <v>7022.82</v>
      </c>
      <c r="L116" s="70">
        <f>25+1512.45</f>
        <v>1537.45</v>
      </c>
      <c r="M116" s="64">
        <f>SUM(I116:L116)</f>
        <v>13288.27</v>
      </c>
      <c r="N116" s="70">
        <f>+H116-M116</f>
        <v>66711.73</v>
      </c>
    </row>
    <row r="117" spans="1:15" s="6" customFormat="1" ht="24.95" customHeight="1" x14ac:dyDescent="0.2">
      <c r="A117" s="69">
        <f>+A116+1</f>
        <v>43</v>
      </c>
      <c r="B117" s="134" t="s">
        <v>495</v>
      </c>
      <c r="C117" s="133" t="s">
        <v>442</v>
      </c>
      <c r="D117" s="134" t="s">
        <v>496</v>
      </c>
      <c r="E117" s="132" t="s">
        <v>221</v>
      </c>
      <c r="F117" s="131" t="s">
        <v>514</v>
      </c>
      <c r="G117" s="131" t="s">
        <v>583</v>
      </c>
      <c r="H117" s="5">
        <v>70000</v>
      </c>
      <c r="I117" s="64">
        <f>H117*2.87%</f>
        <v>2009</v>
      </c>
      <c r="J117" s="64">
        <f>+H117*3.04%</f>
        <v>2128</v>
      </c>
      <c r="K117" s="5">
        <v>5065.96</v>
      </c>
      <c r="L117" s="70">
        <f>25+1512.45</f>
        <v>1537.45</v>
      </c>
      <c r="M117" s="64">
        <f>SUM(I117:L117)</f>
        <v>10740.41</v>
      </c>
      <c r="N117" s="70">
        <f>+H117-M117</f>
        <v>59259.59</v>
      </c>
    </row>
    <row r="118" spans="1:15" s="6" customFormat="1" ht="24.95" customHeight="1" x14ac:dyDescent="0.2">
      <c r="A118" s="261" t="s">
        <v>128</v>
      </c>
      <c r="B118" s="261"/>
      <c r="C118" s="261"/>
      <c r="D118" s="261"/>
      <c r="E118" s="261"/>
      <c r="F118" s="261"/>
      <c r="G118" s="261"/>
      <c r="H118" s="16">
        <f>SUM(H116:H117)</f>
        <v>150000</v>
      </c>
      <c r="I118" s="16">
        <f t="shared" ref="I118:N118" si="23">SUM(I116:I117)</f>
        <v>4305</v>
      </c>
      <c r="J118" s="16">
        <f t="shared" si="23"/>
        <v>4560</v>
      </c>
      <c r="K118" s="16">
        <f t="shared" si="23"/>
        <v>12088.779999999999</v>
      </c>
      <c r="L118" s="16">
        <f t="shared" si="23"/>
        <v>3074.9</v>
      </c>
      <c r="M118" s="16">
        <f t="shared" si="23"/>
        <v>24028.68</v>
      </c>
      <c r="N118" s="16">
        <f t="shared" si="23"/>
        <v>125971.31999999999</v>
      </c>
    </row>
    <row r="119" spans="1:15" s="2" customFormat="1" ht="24.95" customHeight="1" thickBot="1" x14ac:dyDescent="0.25">
      <c r="A119" s="65"/>
      <c r="B119" s="65"/>
      <c r="C119" s="65"/>
      <c r="D119" s="65"/>
      <c r="E119" s="65"/>
      <c r="F119" s="65"/>
      <c r="G119" s="65"/>
      <c r="H119"/>
      <c r="I119"/>
      <c r="J119"/>
      <c r="K119"/>
      <c r="L119"/>
      <c r="M119"/>
      <c r="N119"/>
    </row>
    <row r="120" spans="1:15" s="71" customFormat="1" ht="24.95" customHeight="1" thickBot="1" x14ac:dyDescent="0.25">
      <c r="A120" s="258" t="s">
        <v>307</v>
      </c>
      <c r="B120" s="259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60"/>
      <c r="O120" s="2"/>
    </row>
    <row r="121" spans="1:15" s="71" customFormat="1" ht="26.25" customHeight="1" x14ac:dyDescent="0.2">
      <c r="A121" s="108">
        <f>+A117+1</f>
        <v>44</v>
      </c>
      <c r="B121" s="26" t="s">
        <v>133</v>
      </c>
      <c r="C121" s="12" t="s">
        <v>441</v>
      </c>
      <c r="D121" s="129" t="s">
        <v>132</v>
      </c>
      <c r="E121" s="129" t="s">
        <v>221</v>
      </c>
      <c r="F121" s="26" t="s">
        <v>547</v>
      </c>
      <c r="G121" s="26" t="s">
        <v>612</v>
      </c>
      <c r="H121" s="9">
        <v>190000</v>
      </c>
      <c r="I121" s="112">
        <f>H121*2.87%</f>
        <v>5453</v>
      </c>
      <c r="J121" s="5">
        <v>4943.8</v>
      </c>
      <c r="K121" s="5">
        <v>33483.67</v>
      </c>
      <c r="L121" s="111">
        <v>25</v>
      </c>
      <c r="M121" s="112">
        <f t="shared" ref="M121:M122" si="24">SUM(I121:L121)</f>
        <v>43905.47</v>
      </c>
      <c r="N121" s="111">
        <f t="shared" ref="N121:N122" si="25">+H121-M121</f>
        <v>146094.53</v>
      </c>
      <c r="O121" s="2"/>
    </row>
    <row r="122" spans="1:15" s="71" customFormat="1" ht="24.95" customHeight="1" x14ac:dyDescent="0.2">
      <c r="A122" s="108">
        <f>+A121+1</f>
        <v>45</v>
      </c>
      <c r="B122" s="131" t="s">
        <v>397</v>
      </c>
      <c r="C122" s="133" t="s">
        <v>441</v>
      </c>
      <c r="D122" s="131" t="s">
        <v>142</v>
      </c>
      <c r="E122" s="129" t="s">
        <v>221</v>
      </c>
      <c r="F122" s="26" t="s">
        <v>551</v>
      </c>
      <c r="G122" s="26" t="s">
        <v>617</v>
      </c>
      <c r="H122" s="9">
        <v>80000</v>
      </c>
      <c r="I122" s="112">
        <f>H122*2.87%</f>
        <v>2296</v>
      </c>
      <c r="J122" s="112">
        <f>+H122*3.04%</f>
        <v>2432</v>
      </c>
      <c r="K122" s="64">
        <v>7400.87</v>
      </c>
      <c r="L122" s="111">
        <v>25</v>
      </c>
      <c r="M122" s="112">
        <f t="shared" si="24"/>
        <v>12153.869999999999</v>
      </c>
      <c r="N122" s="111">
        <f t="shared" si="25"/>
        <v>67846.13</v>
      </c>
      <c r="O122" s="2"/>
    </row>
    <row r="123" spans="1:15" s="71" customFormat="1" ht="24.95" customHeight="1" x14ac:dyDescent="0.2">
      <c r="A123" s="108">
        <f>+A122+1</f>
        <v>46</v>
      </c>
      <c r="B123" s="205" t="s">
        <v>565</v>
      </c>
      <c r="C123" s="69"/>
      <c r="D123" s="205" t="s">
        <v>571</v>
      </c>
      <c r="E123" s="129" t="s">
        <v>221</v>
      </c>
      <c r="F123" s="26" t="s">
        <v>572</v>
      </c>
      <c r="G123" s="26" t="s">
        <v>568</v>
      </c>
      <c r="H123" s="117">
        <v>50000</v>
      </c>
      <c r="I123" s="5">
        <f>H123*2.87%</f>
        <v>1435</v>
      </c>
      <c r="J123" s="5">
        <f>+H123*3.04%</f>
        <v>1520</v>
      </c>
      <c r="K123" s="5">
        <v>1854</v>
      </c>
      <c r="L123" s="111">
        <v>10025</v>
      </c>
      <c r="M123" s="112">
        <f>SUM(I123:L123)</f>
        <v>14834</v>
      </c>
      <c r="N123" s="111">
        <f>H123-M123</f>
        <v>35166</v>
      </c>
      <c r="O123" s="2"/>
    </row>
    <row r="124" spans="1:15" s="2" customFormat="1" ht="27" customHeight="1" x14ac:dyDescent="0.2">
      <c r="A124" s="261" t="s">
        <v>128</v>
      </c>
      <c r="B124" s="261"/>
      <c r="C124" s="261"/>
      <c r="D124" s="261"/>
      <c r="E124" s="261"/>
      <c r="F124" s="261"/>
      <c r="G124" s="261"/>
      <c r="H124" s="16">
        <f>SUM(H121:H123)</f>
        <v>320000</v>
      </c>
      <c r="I124" s="16">
        <f t="shared" ref="I124:N124" si="26">SUM(I121:I123)</f>
        <v>9184</v>
      </c>
      <c r="J124" s="16">
        <f t="shared" si="26"/>
        <v>8895.7999999999993</v>
      </c>
      <c r="K124" s="16">
        <f t="shared" si="26"/>
        <v>42738.54</v>
      </c>
      <c r="L124" s="16">
        <f t="shared" si="26"/>
        <v>10075</v>
      </c>
      <c r="M124" s="16">
        <f t="shared" si="26"/>
        <v>70893.34</v>
      </c>
      <c r="N124" s="16">
        <f t="shared" si="26"/>
        <v>249106.66</v>
      </c>
    </row>
    <row r="125" spans="1:15" s="2" customFormat="1" ht="27" customHeight="1" thickBot="1" x14ac:dyDescent="0.25">
      <c r="A125" s="65"/>
      <c r="B125" s="65"/>
      <c r="C125" s="65"/>
      <c r="D125" s="65"/>
      <c r="E125" s="65"/>
      <c r="F125" s="65"/>
      <c r="G125" s="65"/>
      <c r="H125" s="6"/>
      <c r="I125" s="6"/>
      <c r="J125" s="6"/>
      <c r="K125" s="6"/>
      <c r="L125" s="6"/>
      <c r="M125" s="6"/>
      <c r="N125" s="6"/>
    </row>
    <row r="126" spans="1:15" s="2" customFormat="1" ht="27" customHeight="1" thickBot="1" x14ac:dyDescent="0.25">
      <c r="A126" s="258" t="s">
        <v>537</v>
      </c>
      <c r="B126" s="259"/>
      <c r="C126" s="259"/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60"/>
    </row>
    <row r="127" spans="1:15" s="2" customFormat="1" ht="27" customHeight="1" x14ac:dyDescent="0.2">
      <c r="A127" s="108">
        <f>+A123+1</f>
        <v>47</v>
      </c>
      <c r="B127" s="26" t="s">
        <v>535</v>
      </c>
      <c r="C127" s="12" t="s">
        <v>441</v>
      </c>
      <c r="D127" s="129" t="s">
        <v>536</v>
      </c>
      <c r="E127" s="129" t="s">
        <v>221</v>
      </c>
      <c r="F127" s="131" t="s">
        <v>543</v>
      </c>
      <c r="G127" s="205" t="s">
        <v>596</v>
      </c>
      <c r="H127" s="8">
        <v>170000</v>
      </c>
      <c r="I127" s="112">
        <f>H127*2.87%</f>
        <v>4879</v>
      </c>
      <c r="J127" s="5">
        <v>4943.8</v>
      </c>
      <c r="K127" s="5">
        <v>28627.17</v>
      </c>
      <c r="L127" s="111">
        <v>25</v>
      </c>
      <c r="M127" s="112">
        <f>SUM(I127:L127)</f>
        <v>38474.97</v>
      </c>
      <c r="N127" s="111">
        <f t="shared" ref="N127" si="27">+H127-M127</f>
        <v>131525.03</v>
      </c>
    </row>
    <row r="128" spans="1:15" s="2" customFormat="1" ht="27" customHeight="1" x14ac:dyDescent="0.2">
      <c r="A128" s="133">
        <f>+A127+1</f>
        <v>48</v>
      </c>
      <c r="B128" s="134" t="s">
        <v>581</v>
      </c>
      <c r="C128" s="133" t="s">
        <v>442</v>
      </c>
      <c r="D128" s="132" t="s">
        <v>135</v>
      </c>
      <c r="E128" s="129" t="s">
        <v>221</v>
      </c>
      <c r="F128" s="131" t="s">
        <v>514</v>
      </c>
      <c r="G128" s="131" t="s">
        <v>583</v>
      </c>
      <c r="H128" s="5">
        <v>50000</v>
      </c>
      <c r="I128" s="5">
        <f>H128*2.87%</f>
        <v>1435</v>
      </c>
      <c r="J128" s="5">
        <f>+H128*3.04%</f>
        <v>1520</v>
      </c>
      <c r="K128" s="5">
        <v>1854</v>
      </c>
      <c r="L128" s="70">
        <v>25</v>
      </c>
      <c r="M128" s="112">
        <f>SUM(I128:L128)</f>
        <v>4834</v>
      </c>
      <c r="N128" s="111">
        <f>+H128-M128</f>
        <v>45166</v>
      </c>
    </row>
    <row r="129" spans="1:15" s="2" customFormat="1" ht="27" customHeight="1" thickBot="1" x14ac:dyDescent="0.25">
      <c r="A129" s="267" t="s">
        <v>128</v>
      </c>
      <c r="B129" s="267"/>
      <c r="C129" s="267"/>
      <c r="D129" s="267"/>
      <c r="E129" s="267"/>
      <c r="F129" s="267"/>
      <c r="G129" s="277"/>
      <c r="H129" s="80">
        <f>SUM(H127:H128)</f>
        <v>220000</v>
      </c>
      <c r="I129" s="80">
        <f t="shared" ref="I129:N129" si="28">SUM(I127:I128)</f>
        <v>6314</v>
      </c>
      <c r="J129" s="80">
        <f t="shared" si="28"/>
        <v>6463.8</v>
      </c>
      <c r="K129" s="80">
        <f t="shared" si="28"/>
        <v>30481.17</v>
      </c>
      <c r="L129" s="80">
        <f t="shared" si="28"/>
        <v>50</v>
      </c>
      <c r="M129" s="80">
        <f t="shared" si="28"/>
        <v>43308.97</v>
      </c>
      <c r="N129" s="80">
        <f t="shared" si="28"/>
        <v>176691.03</v>
      </c>
    </row>
    <row r="130" spans="1:15" s="2" customFormat="1" ht="24.95" customHeight="1" thickBot="1" x14ac:dyDescent="0.25">
      <c r="C130" s="162"/>
    </row>
    <row r="131" spans="1:15" s="71" customFormat="1" ht="27.75" customHeight="1" thickBot="1" x14ac:dyDescent="0.25">
      <c r="A131" s="258" t="s">
        <v>399</v>
      </c>
      <c r="B131" s="259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60"/>
      <c r="O131" s="2"/>
    </row>
    <row r="132" spans="1:15" s="28" customFormat="1" ht="25.5" customHeight="1" x14ac:dyDescent="0.2">
      <c r="A132" s="69">
        <f>+A128+1</f>
        <v>49</v>
      </c>
      <c r="B132" s="131" t="s">
        <v>134</v>
      </c>
      <c r="C132" s="133" t="s">
        <v>441</v>
      </c>
      <c r="D132" s="130" t="s">
        <v>577</v>
      </c>
      <c r="E132" s="129" t="s">
        <v>221</v>
      </c>
      <c r="F132" s="26" t="s">
        <v>547</v>
      </c>
      <c r="G132" s="26" t="s">
        <v>612</v>
      </c>
      <c r="H132" s="181">
        <v>135000</v>
      </c>
      <c r="I132" s="112">
        <f>H132*2.87%</f>
        <v>3874.5</v>
      </c>
      <c r="J132" s="112">
        <f>+H132*3.04%</f>
        <v>4104</v>
      </c>
      <c r="K132" s="5">
        <v>20338.240000000002</v>
      </c>
      <c r="L132" s="111">
        <v>25</v>
      </c>
      <c r="M132" s="112">
        <f>SUM(I132:L132)</f>
        <v>28341.74</v>
      </c>
      <c r="N132" s="111">
        <f>+H132-M132</f>
        <v>106658.26</v>
      </c>
    </row>
    <row r="133" spans="1:15" s="28" customFormat="1" ht="25.5" customHeight="1" x14ac:dyDescent="0.2">
      <c r="A133" s="69">
        <f>+A132+1</f>
        <v>50</v>
      </c>
      <c r="B133" s="205" t="s">
        <v>566</v>
      </c>
      <c r="C133" s="69"/>
      <c r="D133" s="210" t="s">
        <v>569</v>
      </c>
      <c r="E133" s="109" t="s">
        <v>221</v>
      </c>
      <c r="F133" s="26" t="s">
        <v>570</v>
      </c>
      <c r="G133" s="26" t="s">
        <v>628</v>
      </c>
      <c r="H133" s="10">
        <v>70000</v>
      </c>
      <c r="I133" s="5">
        <f>H133*2.87%</f>
        <v>2009</v>
      </c>
      <c r="J133" s="5">
        <f>+H133*3.04%</f>
        <v>2128</v>
      </c>
      <c r="K133" s="5">
        <v>5368.48</v>
      </c>
      <c r="L133" s="111">
        <v>25</v>
      </c>
      <c r="M133" s="112">
        <f>SUM(I133:L133)</f>
        <v>9530.48</v>
      </c>
      <c r="N133" s="111">
        <f>H133-M133</f>
        <v>60469.520000000004</v>
      </c>
    </row>
    <row r="134" spans="1:15" s="28" customFormat="1" ht="22.15" customHeight="1" x14ac:dyDescent="0.2">
      <c r="A134" s="261" t="s">
        <v>128</v>
      </c>
      <c r="B134" s="261"/>
      <c r="C134" s="261"/>
      <c r="D134" s="261"/>
      <c r="E134" s="261"/>
      <c r="F134" s="261"/>
      <c r="G134" s="261"/>
      <c r="H134" s="16">
        <f>SUM(H132:H133)</f>
        <v>205000</v>
      </c>
      <c r="I134" s="16">
        <f t="shared" ref="I134:M134" si="29">SUM(I132:I133)</f>
        <v>5883.5</v>
      </c>
      <c r="J134" s="16">
        <f t="shared" si="29"/>
        <v>6232</v>
      </c>
      <c r="K134" s="16">
        <f t="shared" si="29"/>
        <v>25706.720000000001</v>
      </c>
      <c r="L134" s="16">
        <f t="shared" si="29"/>
        <v>50</v>
      </c>
      <c r="M134" s="16">
        <f t="shared" si="29"/>
        <v>37872.22</v>
      </c>
      <c r="N134" s="16">
        <f>SUM(N132:N133)</f>
        <v>167127.78</v>
      </c>
    </row>
    <row r="135" spans="1:15" s="2" customFormat="1" ht="24.95" customHeight="1" thickBot="1" x14ac:dyDescent="0.25">
      <c r="A135" s="65"/>
      <c r="B135" s="65"/>
      <c r="C135" s="65"/>
      <c r="D135" s="65"/>
      <c r="E135" s="65"/>
      <c r="F135" s="65"/>
      <c r="G135" s="65"/>
      <c r="H135" s="6"/>
      <c r="I135" s="6"/>
      <c r="J135" s="6"/>
      <c r="K135" s="6"/>
      <c r="L135" s="6"/>
      <c r="M135" s="6"/>
      <c r="N135" s="6"/>
    </row>
    <row r="136" spans="1:15" s="81" customFormat="1" ht="23.25" customHeight="1" thickBot="1" x14ac:dyDescent="0.25">
      <c r="A136" s="258" t="s">
        <v>226</v>
      </c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60"/>
      <c r="O136" s="28"/>
    </row>
    <row r="137" spans="1:15" s="28" customFormat="1" ht="25.5" customHeight="1" x14ac:dyDescent="0.2">
      <c r="A137" s="69">
        <f>+A133+1</f>
        <v>51</v>
      </c>
      <c r="B137" s="5" t="s">
        <v>401</v>
      </c>
      <c r="C137" s="160" t="s">
        <v>442</v>
      </c>
      <c r="D137" s="134" t="s">
        <v>225</v>
      </c>
      <c r="E137" s="129" t="s">
        <v>221</v>
      </c>
      <c r="F137" s="26" t="s">
        <v>629</v>
      </c>
      <c r="G137" s="26" t="s">
        <v>630</v>
      </c>
      <c r="H137" s="128">
        <v>70000</v>
      </c>
      <c r="I137" s="8">
        <f>H137*2.87%</f>
        <v>2009</v>
      </c>
      <c r="J137" s="112">
        <f>+H137*3.04%</f>
        <v>2128</v>
      </c>
      <c r="K137" s="112">
        <v>5065.96</v>
      </c>
      <c r="L137" s="111">
        <f>1512.45+25</f>
        <v>1537.45</v>
      </c>
      <c r="M137" s="112">
        <f>SUM(I137:L137)</f>
        <v>10740.41</v>
      </c>
      <c r="N137" s="111">
        <f>+H137-M137</f>
        <v>59259.59</v>
      </c>
    </row>
    <row r="138" spans="1:15" s="71" customFormat="1" ht="23.25" customHeight="1" x14ac:dyDescent="0.2">
      <c r="A138" s="268" t="s">
        <v>128</v>
      </c>
      <c r="B138" s="269"/>
      <c r="C138" s="269"/>
      <c r="D138" s="269"/>
      <c r="E138" s="269"/>
      <c r="F138" s="269"/>
      <c r="G138" s="270"/>
      <c r="H138" s="16">
        <f>SUM(H137:H137)</f>
        <v>70000</v>
      </c>
      <c r="I138" s="16">
        <f t="shared" ref="I138:N138" si="30">SUM(I137:I137)</f>
        <v>2009</v>
      </c>
      <c r="J138" s="16">
        <f t="shared" si="30"/>
        <v>2128</v>
      </c>
      <c r="K138" s="16">
        <f t="shared" si="30"/>
        <v>5065.96</v>
      </c>
      <c r="L138" s="16">
        <f t="shared" si="30"/>
        <v>1537.45</v>
      </c>
      <c r="M138" s="16">
        <f t="shared" si="30"/>
        <v>10740.41</v>
      </c>
      <c r="N138" s="16">
        <f t="shared" si="30"/>
        <v>59259.59</v>
      </c>
      <c r="O138" s="2"/>
    </row>
    <row r="139" spans="1:15" s="2" customFormat="1" ht="24.95" customHeight="1" thickBot="1" x14ac:dyDescent="0.25">
      <c r="A139" s="142"/>
      <c r="B139" s="1"/>
      <c r="C139" s="4"/>
      <c r="D139" s="143"/>
      <c r="E139" s="144"/>
      <c r="F139" s="25"/>
      <c r="G139" s="25"/>
      <c r="H139" s="145"/>
      <c r="I139" s="71"/>
      <c r="J139" s="71"/>
      <c r="K139" s="71"/>
      <c r="L139" s="68"/>
      <c r="M139" s="71"/>
      <c r="N139" s="68"/>
    </row>
    <row r="140" spans="1:15" s="2" customFormat="1" ht="24.95" customHeight="1" thickBot="1" x14ac:dyDescent="0.25">
      <c r="A140" s="258" t="s">
        <v>213</v>
      </c>
      <c r="B140" s="259"/>
      <c r="C140" s="259"/>
      <c r="D140" s="259"/>
      <c r="E140" s="259"/>
      <c r="F140" s="259"/>
      <c r="G140" s="259"/>
      <c r="H140" s="259"/>
      <c r="I140" s="259"/>
      <c r="J140" s="259"/>
      <c r="K140" s="259"/>
      <c r="L140" s="259"/>
      <c r="M140" s="259"/>
      <c r="N140" s="260"/>
    </row>
    <row r="141" spans="1:15" s="82" customFormat="1" ht="24.95" customHeight="1" x14ac:dyDescent="0.2">
      <c r="A141" s="133">
        <f>+A137+1</f>
        <v>52</v>
      </c>
      <c r="B141" s="131" t="s">
        <v>402</v>
      </c>
      <c r="C141" s="133" t="s">
        <v>442</v>
      </c>
      <c r="D141" s="132" t="s">
        <v>227</v>
      </c>
      <c r="E141" s="129" t="s">
        <v>221</v>
      </c>
      <c r="F141" s="131" t="s">
        <v>514</v>
      </c>
      <c r="G141" s="131" t="s">
        <v>583</v>
      </c>
      <c r="H141" s="181">
        <v>135000</v>
      </c>
      <c r="I141" s="8">
        <f>H141*2.87%</f>
        <v>3874.5</v>
      </c>
      <c r="J141" s="8">
        <f>+H141*3.04%</f>
        <v>4104</v>
      </c>
      <c r="K141" s="8">
        <v>20338.240000000002</v>
      </c>
      <c r="L141" s="9">
        <v>3025</v>
      </c>
      <c r="M141" s="8">
        <f t="shared" ref="M141:M146" si="31">SUM(I141:L141)</f>
        <v>31341.74</v>
      </c>
      <c r="N141" s="9">
        <f t="shared" ref="N141:N146" si="32">+H141-M141</f>
        <v>103658.26</v>
      </c>
      <c r="O141" s="6"/>
    </row>
    <row r="142" spans="1:15" s="82" customFormat="1" ht="24.95" customHeight="1" x14ac:dyDescent="0.2">
      <c r="A142" s="108">
        <f>+A141+1</f>
        <v>53</v>
      </c>
      <c r="B142" s="205" t="s">
        <v>398</v>
      </c>
      <c r="C142" s="69" t="s">
        <v>441</v>
      </c>
      <c r="D142" s="205" t="s">
        <v>575</v>
      </c>
      <c r="E142" s="109" t="s">
        <v>221</v>
      </c>
      <c r="F142" s="26" t="s">
        <v>629</v>
      </c>
      <c r="G142" s="26" t="s">
        <v>630</v>
      </c>
      <c r="H142" s="111">
        <v>80000</v>
      </c>
      <c r="I142" s="112">
        <f>H142*2.87%</f>
        <v>2296</v>
      </c>
      <c r="J142" s="112">
        <f>+H142*3.04%</f>
        <v>2432</v>
      </c>
      <c r="K142" s="64">
        <v>7400.87</v>
      </c>
      <c r="L142" s="111">
        <v>25</v>
      </c>
      <c r="M142" s="112">
        <f t="shared" si="31"/>
        <v>12153.869999999999</v>
      </c>
      <c r="N142" s="111">
        <f>+H142-M142</f>
        <v>67846.13</v>
      </c>
      <c r="O142" s="6"/>
    </row>
    <row r="143" spans="1:15" s="82" customFormat="1" ht="24.95" customHeight="1" x14ac:dyDescent="0.2">
      <c r="A143" s="133">
        <f>+A142+1</f>
        <v>54</v>
      </c>
      <c r="B143" s="131" t="s">
        <v>106</v>
      </c>
      <c r="C143" s="133" t="s">
        <v>442</v>
      </c>
      <c r="D143" s="134" t="s">
        <v>576</v>
      </c>
      <c r="E143" s="129" t="s">
        <v>221</v>
      </c>
      <c r="F143" s="26" t="s">
        <v>552</v>
      </c>
      <c r="G143" s="26" t="s">
        <v>603</v>
      </c>
      <c r="H143" s="202">
        <v>70000</v>
      </c>
      <c r="I143" s="5">
        <f>H143*2.87%</f>
        <v>2009</v>
      </c>
      <c r="J143" s="5">
        <f>+H143*3.04%</f>
        <v>2128</v>
      </c>
      <c r="K143" s="112">
        <v>5065.96</v>
      </c>
      <c r="L143" s="5">
        <f>25+1512.45+1000</f>
        <v>2537.4499999999998</v>
      </c>
      <c r="M143" s="8">
        <f t="shared" si="31"/>
        <v>11740.41</v>
      </c>
      <c r="N143" s="9">
        <f t="shared" si="32"/>
        <v>58259.59</v>
      </c>
      <c r="O143" s="6"/>
    </row>
    <row r="144" spans="1:15" s="71" customFormat="1" ht="24.95" customHeight="1" x14ac:dyDescent="0.2">
      <c r="A144" s="133">
        <f>+A143+1</f>
        <v>55</v>
      </c>
      <c r="B144" s="131" t="s">
        <v>400</v>
      </c>
      <c r="C144" s="160" t="s">
        <v>442</v>
      </c>
      <c r="D144" s="134" t="s">
        <v>225</v>
      </c>
      <c r="E144" s="129" t="s">
        <v>221</v>
      </c>
      <c r="F144" s="26" t="s">
        <v>542</v>
      </c>
      <c r="G144" s="26" t="s">
        <v>597</v>
      </c>
      <c r="H144" s="8">
        <v>70000</v>
      </c>
      <c r="I144" s="8">
        <f>H144*2.87%</f>
        <v>2009</v>
      </c>
      <c r="J144" s="8">
        <f>+H144*3.04%</f>
        <v>2128</v>
      </c>
      <c r="K144" s="8">
        <v>5368.45</v>
      </c>
      <c r="L144" s="9">
        <v>25</v>
      </c>
      <c r="M144" s="8">
        <f t="shared" si="31"/>
        <v>9530.4500000000007</v>
      </c>
      <c r="N144" s="9">
        <f t="shared" si="32"/>
        <v>60469.55</v>
      </c>
      <c r="O144" s="2"/>
    </row>
    <row r="145" spans="1:15" s="71" customFormat="1" ht="24.95" customHeight="1" x14ac:dyDescent="0.2">
      <c r="A145" s="108">
        <f t="shared" ref="A145:A146" si="33">+A144+1</f>
        <v>56</v>
      </c>
      <c r="B145" s="131" t="s">
        <v>404</v>
      </c>
      <c r="C145" s="160" t="s">
        <v>442</v>
      </c>
      <c r="D145" s="134" t="s">
        <v>153</v>
      </c>
      <c r="E145" s="129" t="s">
        <v>221</v>
      </c>
      <c r="F145" s="26" t="s">
        <v>547</v>
      </c>
      <c r="G145" s="26" t="s">
        <v>612</v>
      </c>
      <c r="H145" s="128">
        <v>60000</v>
      </c>
      <c r="I145" s="5">
        <f>H145*2.87%</f>
        <v>1722</v>
      </c>
      <c r="J145" s="5">
        <f>+H145*3.04%</f>
        <v>1824</v>
      </c>
      <c r="K145" s="5">
        <v>3486.68</v>
      </c>
      <c r="L145" s="9">
        <v>8315.76</v>
      </c>
      <c r="M145" s="8">
        <f t="shared" si="31"/>
        <v>15348.44</v>
      </c>
      <c r="N145" s="9">
        <f t="shared" si="32"/>
        <v>44651.56</v>
      </c>
      <c r="O145" s="2"/>
    </row>
    <row r="146" spans="1:15" s="6" customFormat="1" ht="24.95" customHeight="1" x14ac:dyDescent="0.2">
      <c r="A146" s="133">
        <f t="shared" si="33"/>
        <v>57</v>
      </c>
      <c r="B146" s="131" t="s">
        <v>405</v>
      </c>
      <c r="C146" s="160" t="s">
        <v>442</v>
      </c>
      <c r="D146" s="134" t="s">
        <v>406</v>
      </c>
      <c r="E146" s="129" t="s">
        <v>221</v>
      </c>
      <c r="F146" s="134" t="s">
        <v>547</v>
      </c>
      <c r="G146" s="134" t="s">
        <v>612</v>
      </c>
      <c r="H146" s="128">
        <v>55000</v>
      </c>
      <c r="I146" s="5">
        <f t="shared" ref="I146" si="34">H146*2.87%</f>
        <v>1578.5</v>
      </c>
      <c r="J146" s="5">
        <f t="shared" ref="J146" si="35">+H146*3.04%</f>
        <v>1672</v>
      </c>
      <c r="K146" s="5">
        <v>2559.67</v>
      </c>
      <c r="L146" s="9">
        <v>1025</v>
      </c>
      <c r="M146" s="8">
        <f t="shared" si="31"/>
        <v>6835.17</v>
      </c>
      <c r="N146" s="9">
        <f t="shared" si="32"/>
        <v>48164.83</v>
      </c>
    </row>
    <row r="147" spans="1:15" s="6" customFormat="1" ht="24.95" customHeight="1" x14ac:dyDescent="0.2">
      <c r="A147" s="261" t="s">
        <v>128</v>
      </c>
      <c r="B147" s="261"/>
      <c r="C147" s="261"/>
      <c r="D147" s="261"/>
      <c r="E147" s="261"/>
      <c r="F147" s="261"/>
      <c r="G147" s="261"/>
      <c r="H147" s="16">
        <f t="shared" ref="H147:N147" si="36">SUM(H141:H146)</f>
        <v>470000</v>
      </c>
      <c r="I147" s="16">
        <f t="shared" si="36"/>
        <v>13489</v>
      </c>
      <c r="J147" s="16">
        <f t="shared" si="36"/>
        <v>14288</v>
      </c>
      <c r="K147" s="16">
        <f t="shared" si="36"/>
        <v>44219.869999999995</v>
      </c>
      <c r="L147" s="16">
        <f t="shared" si="36"/>
        <v>14953.21</v>
      </c>
      <c r="M147" s="16">
        <f t="shared" si="36"/>
        <v>86950.080000000002</v>
      </c>
      <c r="N147" s="16">
        <f t="shared" si="36"/>
        <v>383049.92000000004</v>
      </c>
    </row>
    <row r="148" spans="1:15" s="6" customFormat="1" ht="24.95" customHeight="1" thickBot="1" x14ac:dyDescent="0.25">
      <c r="A148" s="65"/>
      <c r="B148" s="65"/>
      <c r="C148" s="65"/>
      <c r="D148" s="65"/>
      <c r="E148" s="65"/>
      <c r="F148" s="65"/>
      <c r="G148" s="65"/>
    </row>
    <row r="149" spans="1:15" s="6" customFormat="1" ht="24.95" customHeight="1" thickBot="1" x14ac:dyDescent="0.25">
      <c r="A149" s="258" t="s">
        <v>490</v>
      </c>
      <c r="B149" s="259"/>
      <c r="C149" s="259"/>
      <c r="D149" s="259"/>
      <c r="E149" s="259"/>
      <c r="F149" s="259"/>
      <c r="G149" s="259"/>
      <c r="H149" s="259"/>
      <c r="I149" s="259"/>
      <c r="J149" s="259"/>
      <c r="K149" s="259"/>
      <c r="L149" s="259"/>
      <c r="M149" s="259"/>
      <c r="N149" s="260"/>
    </row>
    <row r="150" spans="1:15" s="6" customFormat="1" ht="24.95" customHeight="1" x14ac:dyDescent="0.2">
      <c r="A150" s="69">
        <f>+A146+1</f>
        <v>58</v>
      </c>
      <c r="B150" s="134" t="s">
        <v>228</v>
      </c>
      <c r="C150" s="133" t="s">
        <v>442</v>
      </c>
      <c r="D150" s="132" t="s">
        <v>491</v>
      </c>
      <c r="E150" s="129" t="s">
        <v>221</v>
      </c>
      <c r="F150" s="131" t="s">
        <v>514</v>
      </c>
      <c r="G150" s="131" t="s">
        <v>583</v>
      </c>
      <c r="H150" s="202">
        <v>170000</v>
      </c>
      <c r="I150" s="64">
        <f>H150*2.87%</f>
        <v>4879</v>
      </c>
      <c r="J150" s="112">
        <v>4943.8</v>
      </c>
      <c r="K150" s="5">
        <v>28627.17</v>
      </c>
      <c r="L150" s="70">
        <v>19449.29</v>
      </c>
      <c r="M150" s="64">
        <f>SUM(I150:L150)</f>
        <v>57899.26</v>
      </c>
      <c r="N150" s="70">
        <f>+H150-M150</f>
        <v>112100.73999999999</v>
      </c>
    </row>
    <row r="151" spans="1:15" s="6" customFormat="1" ht="24.95" customHeight="1" x14ac:dyDescent="0.2">
      <c r="A151" s="261" t="s">
        <v>128</v>
      </c>
      <c r="B151" s="261"/>
      <c r="C151" s="261"/>
      <c r="D151" s="261"/>
      <c r="E151" s="261"/>
      <c r="F151" s="261"/>
      <c r="G151" s="261"/>
      <c r="H151" s="16">
        <f>SUM(H150:H150)</f>
        <v>170000</v>
      </c>
      <c r="I151" s="16">
        <f t="shared" ref="I151:M151" si="37">SUM(I150:I150)</f>
        <v>4879</v>
      </c>
      <c r="J151" s="16">
        <f t="shared" si="37"/>
        <v>4943.8</v>
      </c>
      <c r="K151" s="16">
        <f t="shared" si="37"/>
        <v>28627.17</v>
      </c>
      <c r="L151" s="16">
        <f t="shared" si="37"/>
        <v>19449.29</v>
      </c>
      <c r="M151" s="16">
        <f t="shared" si="37"/>
        <v>57899.26</v>
      </c>
      <c r="N151" s="16">
        <f>SUM(N150:N150)</f>
        <v>112100.73999999999</v>
      </c>
    </row>
    <row r="152" spans="1:15" s="28" customFormat="1" ht="27" customHeight="1" thickBot="1" x14ac:dyDescent="0.25">
      <c r="A152" s="65"/>
      <c r="B152" s="65"/>
      <c r="C152" s="65"/>
      <c r="D152" s="65"/>
      <c r="E152" s="65"/>
      <c r="F152" s="65"/>
      <c r="G152" s="65"/>
      <c r="H152" s="6"/>
      <c r="I152" s="6"/>
      <c r="J152" s="6"/>
      <c r="K152" s="6"/>
      <c r="L152" s="6"/>
      <c r="M152" s="6"/>
      <c r="N152" s="6"/>
    </row>
    <row r="153" spans="1:15" s="81" customFormat="1" ht="24.95" customHeight="1" thickBot="1" x14ac:dyDescent="0.25">
      <c r="A153" s="258" t="s">
        <v>181</v>
      </c>
      <c r="B153" s="259"/>
      <c r="C153" s="259"/>
      <c r="D153" s="259"/>
      <c r="E153" s="259"/>
      <c r="F153" s="259"/>
      <c r="G153" s="259"/>
      <c r="H153" s="259"/>
      <c r="I153" s="259"/>
      <c r="J153" s="259"/>
      <c r="K153" s="259"/>
      <c r="L153" s="259"/>
      <c r="M153" s="259"/>
      <c r="N153" s="260"/>
      <c r="O153" s="28"/>
    </row>
    <row r="154" spans="1:15" s="81" customFormat="1" ht="27.6" customHeight="1" x14ac:dyDescent="0.2">
      <c r="A154" s="108">
        <f>+A150+1</f>
        <v>59</v>
      </c>
      <c r="B154" s="148" t="s">
        <v>519</v>
      </c>
      <c r="C154" s="12" t="s">
        <v>442</v>
      </c>
      <c r="D154" s="129" t="s">
        <v>520</v>
      </c>
      <c r="E154" s="129" t="s">
        <v>221</v>
      </c>
      <c r="F154" s="26" t="s">
        <v>549</v>
      </c>
      <c r="G154" s="26" t="s">
        <v>598</v>
      </c>
      <c r="H154" s="181">
        <v>135000</v>
      </c>
      <c r="I154" s="112">
        <f>H154*2.87%</f>
        <v>3874.5</v>
      </c>
      <c r="J154" s="112">
        <f>+H154*3.04%</f>
        <v>4104</v>
      </c>
      <c r="K154" s="112">
        <v>20338.310000000001</v>
      </c>
      <c r="L154" s="111">
        <v>3025</v>
      </c>
      <c r="M154" s="112">
        <f>SUM(I154:L154)</f>
        <v>31341.81</v>
      </c>
      <c r="N154" s="111">
        <f t="shared" ref="N154" si="38">+H154-M154</f>
        <v>103658.19</v>
      </c>
      <c r="O154" s="28"/>
    </row>
    <row r="155" spans="1:15" s="28" customFormat="1" ht="26.25" customHeight="1" x14ac:dyDescent="0.2">
      <c r="A155" s="69">
        <f>+A154+1</f>
        <v>60</v>
      </c>
      <c r="B155" s="134" t="s">
        <v>378</v>
      </c>
      <c r="C155" s="133" t="s">
        <v>442</v>
      </c>
      <c r="D155" s="132" t="s">
        <v>407</v>
      </c>
      <c r="E155" s="129" t="s">
        <v>221</v>
      </c>
      <c r="F155" s="134" t="s">
        <v>547</v>
      </c>
      <c r="G155" s="134" t="s">
        <v>612</v>
      </c>
      <c r="H155" s="202">
        <v>60000</v>
      </c>
      <c r="I155" s="64">
        <f>H155*2.87%</f>
        <v>1722</v>
      </c>
      <c r="J155" s="112">
        <f t="shared" ref="J155" si="39">+H155*3.04%</f>
        <v>1824</v>
      </c>
      <c r="K155" s="64">
        <v>3486.65</v>
      </c>
      <c r="L155" s="70">
        <f>2995+25</f>
        <v>3020</v>
      </c>
      <c r="M155" s="64">
        <f>SUM(I155:L155)</f>
        <v>10052.65</v>
      </c>
      <c r="N155" s="70">
        <f>+H155-M155</f>
        <v>49947.35</v>
      </c>
    </row>
    <row r="156" spans="1:15" s="28" customFormat="1" ht="26.25" customHeight="1" x14ac:dyDescent="0.2">
      <c r="A156" s="69">
        <f>+A155+1</f>
        <v>61</v>
      </c>
      <c r="B156" s="134" t="s">
        <v>622</v>
      </c>
      <c r="C156" s="133" t="s">
        <v>442</v>
      </c>
      <c r="D156" s="132" t="s">
        <v>623</v>
      </c>
      <c r="E156" s="129" t="s">
        <v>221</v>
      </c>
      <c r="F156" s="134" t="s">
        <v>548</v>
      </c>
      <c r="G156" s="134"/>
      <c r="H156" s="202">
        <v>50000</v>
      </c>
      <c r="I156" s="64">
        <f>H156*2.87%</f>
        <v>1435</v>
      </c>
      <c r="J156" s="112">
        <f t="shared" ref="J156" si="40">+H156*3.04%</f>
        <v>1520</v>
      </c>
      <c r="K156" s="64">
        <v>1854</v>
      </c>
      <c r="L156" s="70">
        <v>25</v>
      </c>
      <c r="M156" s="64">
        <f>SUM(I156:L156)</f>
        <v>4834</v>
      </c>
      <c r="N156" s="70">
        <f>+H156-M156</f>
        <v>45166</v>
      </c>
    </row>
    <row r="157" spans="1:15" s="28" customFormat="1" ht="22.5" customHeight="1" x14ac:dyDescent="0.2">
      <c r="A157" s="261" t="s">
        <v>128</v>
      </c>
      <c r="B157" s="261"/>
      <c r="C157" s="261"/>
      <c r="D157" s="261"/>
      <c r="E157" s="261"/>
      <c r="F157" s="261"/>
      <c r="G157" s="261"/>
      <c r="H157" s="16">
        <f>SUM(H154:H156)</f>
        <v>245000</v>
      </c>
      <c r="I157" s="16">
        <f>SUM(I154:I156)</f>
        <v>7031.5</v>
      </c>
      <c r="J157" s="16">
        <f t="shared" ref="J157:M157" si="41">SUM(J154:J156)</f>
        <v>7448</v>
      </c>
      <c r="K157" s="16">
        <f t="shared" si="41"/>
        <v>25678.960000000003</v>
      </c>
      <c r="L157" s="16">
        <f t="shared" si="41"/>
        <v>6070</v>
      </c>
      <c r="M157" s="16">
        <f t="shared" si="41"/>
        <v>46228.46</v>
      </c>
      <c r="N157" s="16">
        <f>SUM(N154:N156)</f>
        <v>198771.54</v>
      </c>
    </row>
    <row r="158" spans="1:15" s="28" customFormat="1" ht="15" customHeight="1" thickBot="1" x14ac:dyDescent="0.25">
      <c r="A158" s="65"/>
      <c r="B158" s="65"/>
      <c r="C158" s="65"/>
      <c r="D158" s="65"/>
      <c r="E158" s="65"/>
      <c r="F158" s="65"/>
      <c r="G158" s="65"/>
      <c r="H158" s="6"/>
      <c r="I158" s="6"/>
      <c r="J158" s="6"/>
      <c r="K158" s="6"/>
      <c r="L158" s="6"/>
      <c r="M158" s="6"/>
      <c r="N158" s="6"/>
    </row>
    <row r="159" spans="1:15" s="28" customFormat="1" ht="22.5" customHeight="1" thickBot="1" x14ac:dyDescent="0.25">
      <c r="A159" s="258" t="s">
        <v>182</v>
      </c>
      <c r="B159" s="259"/>
      <c r="C159" s="259"/>
      <c r="D159" s="259"/>
      <c r="E159" s="259"/>
      <c r="F159" s="259"/>
      <c r="G159" s="259"/>
      <c r="H159" s="259"/>
      <c r="I159" s="259"/>
      <c r="J159" s="259"/>
      <c r="K159" s="259"/>
      <c r="L159" s="259"/>
      <c r="M159" s="259"/>
      <c r="N159" s="260"/>
    </row>
    <row r="160" spans="1:15" s="81" customFormat="1" ht="24.95" customHeight="1" x14ac:dyDescent="0.2">
      <c r="A160" s="108">
        <f>+A156+1</f>
        <v>62</v>
      </c>
      <c r="B160" s="26" t="s">
        <v>466</v>
      </c>
      <c r="C160" s="12" t="s">
        <v>441</v>
      </c>
      <c r="D160" s="26" t="s">
        <v>458</v>
      </c>
      <c r="E160" s="129" t="s">
        <v>221</v>
      </c>
      <c r="F160" s="26" t="s">
        <v>563</v>
      </c>
      <c r="G160" s="26" t="s">
        <v>627</v>
      </c>
      <c r="H160" s="9">
        <v>70000</v>
      </c>
      <c r="I160" s="112">
        <f t="shared" ref="I160" si="42">H160*2.87%</f>
        <v>2009</v>
      </c>
      <c r="J160" s="112">
        <f>+H160*3.04%</f>
        <v>2128</v>
      </c>
      <c r="K160" s="112">
        <v>5368.48</v>
      </c>
      <c r="L160" s="111">
        <v>5025</v>
      </c>
      <c r="M160" s="112">
        <f t="shared" ref="M160" si="43">SUM(I160:L160)</f>
        <v>14530.48</v>
      </c>
      <c r="N160" s="111">
        <f>+H160-M160</f>
        <v>55469.520000000004</v>
      </c>
      <c r="O160" s="28"/>
    </row>
    <row r="161" spans="1:15" s="28" customFormat="1" ht="22.5" customHeight="1" x14ac:dyDescent="0.2">
      <c r="A161" s="108">
        <f>+A160+1</f>
        <v>63</v>
      </c>
      <c r="B161" s="26" t="s">
        <v>230</v>
      </c>
      <c r="C161" s="12" t="s">
        <v>441</v>
      </c>
      <c r="D161" s="26" t="s">
        <v>229</v>
      </c>
      <c r="E161" s="129" t="s">
        <v>221</v>
      </c>
      <c r="F161" s="131" t="s">
        <v>514</v>
      </c>
      <c r="G161" s="131" t="s">
        <v>583</v>
      </c>
      <c r="H161" s="9">
        <v>60000</v>
      </c>
      <c r="I161" s="112">
        <f t="shared" ref="I161" si="44">H161*2.87%</f>
        <v>1722</v>
      </c>
      <c r="J161" s="112">
        <f t="shared" ref="J161" si="45">+H161*3.04%</f>
        <v>1824</v>
      </c>
      <c r="K161" s="112">
        <v>3486.65</v>
      </c>
      <c r="L161" s="111">
        <v>25</v>
      </c>
      <c r="M161" s="112">
        <f t="shared" ref="M161" si="46">SUM(I161:L161)</f>
        <v>7057.65</v>
      </c>
      <c r="N161" s="111">
        <f>+H161-M161</f>
        <v>52942.35</v>
      </c>
    </row>
    <row r="162" spans="1:15" s="2" customFormat="1" ht="22.5" customHeight="1" x14ac:dyDescent="0.2">
      <c r="A162" s="261" t="s">
        <v>128</v>
      </c>
      <c r="B162" s="261"/>
      <c r="C162" s="261"/>
      <c r="D162" s="261"/>
      <c r="E162" s="261"/>
      <c r="F162" s="261"/>
      <c r="G162" s="261"/>
      <c r="H162" s="16">
        <f>SUM(H160:H161)</f>
        <v>130000</v>
      </c>
      <c r="I162" s="16">
        <f t="shared" ref="I162:M162" si="47">SUM(I160:I161)</f>
        <v>3731</v>
      </c>
      <c r="J162" s="16">
        <f t="shared" si="47"/>
        <v>3952</v>
      </c>
      <c r="K162" s="16">
        <f t="shared" si="47"/>
        <v>8855.1299999999992</v>
      </c>
      <c r="L162" s="16">
        <f t="shared" si="47"/>
        <v>5050</v>
      </c>
      <c r="M162" s="16">
        <f t="shared" si="47"/>
        <v>21588.129999999997</v>
      </c>
      <c r="N162" s="16">
        <f>SUM(N160:N161)</f>
        <v>108411.87</v>
      </c>
    </row>
    <row r="163" spans="1:15" s="71" customFormat="1" ht="20.100000000000001" customHeight="1" thickBot="1" x14ac:dyDescent="0.25">
      <c r="A163" s="4"/>
      <c r="B163" s="25"/>
      <c r="C163" s="4"/>
      <c r="D163" s="27"/>
      <c r="E163" s="27"/>
      <c r="F163" s="27"/>
      <c r="G163" s="27"/>
      <c r="H163" s="2"/>
      <c r="I163" s="2"/>
      <c r="J163" s="2"/>
      <c r="K163" s="2"/>
      <c r="L163" s="2"/>
      <c r="M163" s="2"/>
      <c r="N163" s="7"/>
      <c r="O163" s="2"/>
    </row>
    <row r="164" spans="1:15" s="71" customFormat="1" ht="24.95" customHeight="1" thickBot="1" x14ac:dyDescent="0.25">
      <c r="A164" s="258" t="s">
        <v>320</v>
      </c>
      <c r="B164" s="259"/>
      <c r="C164" s="259"/>
      <c r="D164" s="259"/>
      <c r="E164" s="259"/>
      <c r="F164" s="259"/>
      <c r="G164" s="259"/>
      <c r="H164" s="259"/>
      <c r="I164" s="259"/>
      <c r="J164" s="259"/>
      <c r="K164" s="259"/>
      <c r="L164" s="259"/>
      <c r="M164" s="259"/>
      <c r="N164" s="260"/>
      <c r="O164" s="2"/>
    </row>
    <row r="165" spans="1:15" s="2" customFormat="1" ht="24.95" customHeight="1" x14ac:dyDescent="0.2">
      <c r="A165" s="108">
        <f>+A161+1</f>
        <v>64</v>
      </c>
      <c r="B165" s="26" t="s">
        <v>408</v>
      </c>
      <c r="C165" s="12" t="s">
        <v>441</v>
      </c>
      <c r="D165" s="129" t="s">
        <v>409</v>
      </c>
      <c r="E165" s="129" t="s">
        <v>221</v>
      </c>
      <c r="F165" s="110" t="s">
        <v>553</v>
      </c>
      <c r="G165" s="110" t="s">
        <v>604</v>
      </c>
      <c r="H165" s="8">
        <v>190000</v>
      </c>
      <c r="I165" s="112">
        <f>H165*2.87%</f>
        <v>5453</v>
      </c>
      <c r="J165" s="5">
        <v>4943.8</v>
      </c>
      <c r="K165" s="5">
        <v>33483.67</v>
      </c>
      <c r="L165" s="111">
        <v>20025</v>
      </c>
      <c r="M165" s="112">
        <f>SUM(I165:L165)</f>
        <v>63905.47</v>
      </c>
      <c r="N165" s="111">
        <f t="shared" ref="N165" si="48">+H165-M165</f>
        <v>126094.53</v>
      </c>
    </row>
    <row r="166" spans="1:15" s="71" customFormat="1" ht="24.75" customHeight="1" thickBot="1" x14ac:dyDescent="0.25">
      <c r="A166" s="261" t="s">
        <v>128</v>
      </c>
      <c r="B166" s="261"/>
      <c r="C166" s="261"/>
      <c r="D166" s="261"/>
      <c r="E166" s="267"/>
      <c r="F166" s="267"/>
      <c r="G166" s="277"/>
      <c r="H166" s="80">
        <f>SUM(H165:H165)</f>
        <v>190000</v>
      </c>
      <c r="I166" s="80">
        <f t="shared" ref="I166:M166" si="49">SUM(I165:I165)</f>
        <v>5453</v>
      </c>
      <c r="J166" s="80">
        <f t="shared" si="49"/>
        <v>4943.8</v>
      </c>
      <c r="K166" s="80">
        <f t="shared" si="49"/>
        <v>33483.67</v>
      </c>
      <c r="L166" s="80">
        <f t="shared" si="49"/>
        <v>20025</v>
      </c>
      <c r="M166" s="80">
        <f t="shared" si="49"/>
        <v>63905.47</v>
      </c>
      <c r="N166" s="80">
        <f>SUM(N165:N165)</f>
        <v>126094.53</v>
      </c>
      <c r="O166" s="2"/>
    </row>
    <row r="167" spans="1:15" s="71" customFormat="1" ht="24.75" customHeight="1" thickBot="1" x14ac:dyDescent="0.25">
      <c r="A167" s="220"/>
      <c r="B167" s="220"/>
      <c r="C167" s="220"/>
      <c r="D167" s="220"/>
      <c r="E167" s="220"/>
      <c r="F167" s="220"/>
      <c r="G167" s="220"/>
      <c r="H167" s="221"/>
      <c r="I167" s="221"/>
      <c r="J167" s="221"/>
      <c r="K167" s="221"/>
      <c r="L167" s="221"/>
      <c r="M167" s="221"/>
      <c r="N167" s="221"/>
      <c r="O167" s="2"/>
    </row>
    <row r="168" spans="1:15" s="71" customFormat="1" ht="24.75" customHeight="1" thickBot="1" x14ac:dyDescent="0.25">
      <c r="A168" s="258" t="s">
        <v>410</v>
      </c>
      <c r="B168" s="259"/>
      <c r="C168" s="259"/>
      <c r="D168" s="259"/>
      <c r="E168" s="259"/>
      <c r="F168" s="259"/>
      <c r="G168" s="259"/>
      <c r="H168" s="259"/>
      <c r="I168" s="259"/>
      <c r="J168" s="259"/>
      <c r="K168" s="259"/>
      <c r="L168" s="259"/>
      <c r="M168" s="259"/>
      <c r="N168" s="260"/>
      <c r="O168" s="2"/>
    </row>
    <row r="169" spans="1:15" s="28" customFormat="1" ht="24.95" customHeight="1" x14ac:dyDescent="0.2">
      <c r="A169" s="69">
        <f>+A165+1</f>
        <v>65</v>
      </c>
      <c r="B169" s="134" t="s">
        <v>90</v>
      </c>
      <c r="C169" s="133" t="s">
        <v>441</v>
      </c>
      <c r="D169" s="134" t="s">
        <v>103</v>
      </c>
      <c r="E169" s="129" t="s">
        <v>221</v>
      </c>
      <c r="F169" s="26" t="s">
        <v>563</v>
      </c>
      <c r="G169" s="26" t="s">
        <v>627</v>
      </c>
      <c r="H169" s="64">
        <v>90000</v>
      </c>
      <c r="I169" s="64">
        <f t="shared" ref="I169" si="50">H169*2.87%</f>
        <v>2583</v>
      </c>
      <c r="J169" s="64">
        <f t="shared" ref="J169" si="51">+H169*3.04%</f>
        <v>2736</v>
      </c>
      <c r="K169" s="64">
        <v>9753.1200000000008</v>
      </c>
      <c r="L169" s="111">
        <v>25</v>
      </c>
      <c r="M169" s="112">
        <f>SUM(I169:L169)</f>
        <v>15097.12</v>
      </c>
      <c r="N169" s="111">
        <f t="shared" ref="N169:N170" si="52">+H169-M169</f>
        <v>74902.880000000005</v>
      </c>
    </row>
    <row r="170" spans="1:15" s="28" customFormat="1" ht="24.95" customHeight="1" thickBot="1" x14ac:dyDescent="0.25">
      <c r="A170" s="69">
        <f>+A169+1</f>
        <v>66</v>
      </c>
      <c r="B170" s="134" t="s">
        <v>624</v>
      </c>
      <c r="C170" s="133" t="s">
        <v>441</v>
      </c>
      <c r="D170" s="134" t="s">
        <v>85</v>
      </c>
      <c r="E170" s="129" t="s">
        <v>221</v>
      </c>
      <c r="F170" s="26" t="s">
        <v>548</v>
      </c>
      <c r="G170" s="26" t="s">
        <v>616</v>
      </c>
      <c r="H170" s="64">
        <v>70000</v>
      </c>
      <c r="I170" s="64">
        <f t="shared" ref="I170" si="53">H170*2.87%</f>
        <v>2009</v>
      </c>
      <c r="J170" s="64">
        <f t="shared" ref="J170" si="54">+H170*3.04%</f>
        <v>2128</v>
      </c>
      <c r="K170" s="64">
        <v>5368.48</v>
      </c>
      <c r="L170" s="111">
        <v>25</v>
      </c>
      <c r="M170" s="112">
        <f>SUM(I170:L170)</f>
        <v>9530.48</v>
      </c>
      <c r="N170" s="111">
        <f t="shared" si="52"/>
        <v>60469.520000000004</v>
      </c>
    </row>
    <row r="171" spans="1:15" s="2" customFormat="1" ht="21.75" customHeight="1" thickBot="1" x14ac:dyDescent="0.25">
      <c r="A171" s="261" t="s">
        <v>128</v>
      </c>
      <c r="B171" s="261"/>
      <c r="C171" s="261"/>
      <c r="D171" s="261"/>
      <c r="E171" s="261"/>
      <c r="F171" s="261"/>
      <c r="G171" s="268"/>
      <c r="H171" s="66">
        <f>SUM(H169:H170)</f>
        <v>160000</v>
      </c>
      <c r="I171" s="66">
        <f t="shared" ref="I171:L171" si="55">SUM(I169:I170)</f>
        <v>4592</v>
      </c>
      <c r="J171" s="66">
        <f t="shared" si="55"/>
        <v>4864</v>
      </c>
      <c r="K171" s="66">
        <f t="shared" si="55"/>
        <v>15121.6</v>
      </c>
      <c r="L171" s="66">
        <f t="shared" si="55"/>
        <v>50</v>
      </c>
      <c r="M171" s="66">
        <f>SUM(M169:M170)</f>
        <v>24627.599999999999</v>
      </c>
      <c r="N171" s="66">
        <f>SUM(N169:N170)</f>
        <v>135372.40000000002</v>
      </c>
    </row>
    <row r="172" spans="1:15" s="71" customFormat="1" ht="13.5" customHeight="1" thickBot="1" x14ac:dyDescent="0.25">
      <c r="A172" s="65"/>
      <c r="B172" s="65"/>
      <c r="C172" s="65"/>
      <c r="D172" s="65"/>
      <c r="E172" s="65"/>
      <c r="F172" s="65"/>
      <c r="G172" s="65"/>
      <c r="H172"/>
      <c r="I172"/>
      <c r="J172"/>
      <c r="K172"/>
      <c r="L172"/>
      <c r="M172"/>
      <c r="N172"/>
      <c r="O172" s="2"/>
    </row>
    <row r="173" spans="1:15" s="71" customFormat="1" ht="24.95" customHeight="1" thickBot="1" x14ac:dyDescent="0.25">
      <c r="A173" s="258" t="s">
        <v>325</v>
      </c>
      <c r="B173" s="259"/>
      <c r="C173" s="259"/>
      <c r="D173" s="259"/>
      <c r="E173" s="259"/>
      <c r="F173" s="259"/>
      <c r="G173" s="259"/>
      <c r="H173" s="259"/>
      <c r="I173" s="259"/>
      <c r="J173" s="259"/>
      <c r="K173" s="259"/>
      <c r="L173" s="259"/>
      <c r="M173" s="259"/>
      <c r="N173" s="260"/>
      <c r="O173" s="2"/>
    </row>
    <row r="174" spans="1:15" s="81" customFormat="1" ht="27" customHeight="1" x14ac:dyDescent="0.2">
      <c r="A174" s="108">
        <f>+A170+1</f>
        <v>67</v>
      </c>
      <c r="B174" s="26" t="s">
        <v>478</v>
      </c>
      <c r="C174" s="12" t="s">
        <v>441</v>
      </c>
      <c r="D174" s="129" t="s">
        <v>479</v>
      </c>
      <c r="E174" s="129" t="s">
        <v>221</v>
      </c>
      <c r="F174" s="26" t="s">
        <v>564</v>
      </c>
      <c r="G174" s="26" t="s">
        <v>626</v>
      </c>
      <c r="H174" s="112">
        <v>135000</v>
      </c>
      <c r="I174" s="112">
        <f>H174*2.87%</f>
        <v>3874.5</v>
      </c>
      <c r="J174" s="112">
        <f>+H174*3.04%</f>
        <v>4104</v>
      </c>
      <c r="K174" s="64">
        <v>20338.240000000002</v>
      </c>
      <c r="L174" s="111">
        <v>25</v>
      </c>
      <c r="M174" s="112">
        <f>SUM(I174:L174)</f>
        <v>28341.74</v>
      </c>
      <c r="N174" s="111">
        <f>+H174-M174</f>
        <v>106658.26</v>
      </c>
      <c r="O174" s="28"/>
    </row>
    <row r="175" spans="1:15" s="81" customFormat="1" ht="25.5" customHeight="1" x14ac:dyDescent="0.2">
      <c r="A175" s="108">
        <f>+A174+1</f>
        <v>68</v>
      </c>
      <c r="B175" s="26" t="s">
        <v>538</v>
      </c>
      <c r="C175" s="12" t="s">
        <v>441</v>
      </c>
      <c r="D175" s="129" t="s">
        <v>539</v>
      </c>
      <c r="E175" s="129" t="s">
        <v>221</v>
      </c>
      <c r="F175" s="26" t="s">
        <v>545</v>
      </c>
      <c r="G175" s="26" t="s">
        <v>602</v>
      </c>
      <c r="H175" s="112">
        <v>110000</v>
      </c>
      <c r="I175" s="112">
        <f>H175*2.87%</f>
        <v>3157</v>
      </c>
      <c r="J175" s="112">
        <f>+H175*3.04%</f>
        <v>3344</v>
      </c>
      <c r="K175" s="112">
        <v>14079.57</v>
      </c>
      <c r="L175" s="111">
        <f>1512.4+25</f>
        <v>1537.4</v>
      </c>
      <c r="M175" s="112">
        <f>SUM(I175:L175)</f>
        <v>22117.97</v>
      </c>
      <c r="N175" s="111">
        <f>+H175-M175</f>
        <v>87882.03</v>
      </c>
      <c r="O175" s="28"/>
    </row>
    <row r="176" spans="1:15" s="81" customFormat="1" ht="25.5" customHeight="1" x14ac:dyDescent="0.2">
      <c r="A176" s="108">
        <f>+A175+1</f>
        <v>69</v>
      </c>
      <c r="B176" s="110" t="s">
        <v>559</v>
      </c>
      <c r="C176" s="108" t="s">
        <v>441</v>
      </c>
      <c r="D176" s="109" t="s">
        <v>539</v>
      </c>
      <c r="E176" s="109" t="s">
        <v>221</v>
      </c>
      <c r="F176" s="26" t="s">
        <v>563</v>
      </c>
      <c r="G176" s="26" t="s">
        <v>627</v>
      </c>
      <c r="H176" s="112">
        <v>100000</v>
      </c>
      <c r="I176" s="112">
        <f>H176*2.87%</f>
        <v>2870</v>
      </c>
      <c r="J176" s="112">
        <f>+H176*3.04%</f>
        <v>3040</v>
      </c>
      <c r="K176" s="5">
        <v>10971.1</v>
      </c>
      <c r="L176" s="111">
        <f>4536.48+25+4537.35</f>
        <v>9098.83</v>
      </c>
      <c r="M176" s="112">
        <f>SUM(I176:L176)</f>
        <v>25979.93</v>
      </c>
      <c r="N176" s="111">
        <f>+H176-M176</f>
        <v>74020.070000000007</v>
      </c>
      <c r="O176" s="28"/>
    </row>
    <row r="177" spans="1:15" s="2" customFormat="1" ht="24.95" customHeight="1" x14ac:dyDescent="0.2">
      <c r="A177" s="108">
        <f>+A176+1</f>
        <v>70</v>
      </c>
      <c r="B177" s="26" t="s">
        <v>467</v>
      </c>
      <c r="C177" s="12" t="s">
        <v>441</v>
      </c>
      <c r="D177" s="109" t="s">
        <v>440</v>
      </c>
      <c r="E177" s="129" t="s">
        <v>221</v>
      </c>
      <c r="F177" s="26" t="s">
        <v>563</v>
      </c>
      <c r="G177" s="26" t="s">
        <v>627</v>
      </c>
      <c r="H177" s="116">
        <v>60000</v>
      </c>
      <c r="I177" s="112">
        <f>H177*2.87%</f>
        <v>1722</v>
      </c>
      <c r="J177" s="112">
        <f>+H177*3.04%</f>
        <v>1824</v>
      </c>
      <c r="K177" s="112">
        <v>3486.68</v>
      </c>
      <c r="L177" s="111">
        <v>25</v>
      </c>
      <c r="M177" s="112">
        <f t="shared" ref="M177" si="56">SUM(I177:L177)</f>
        <v>7057.68</v>
      </c>
      <c r="N177" s="111">
        <f t="shared" ref="N177" si="57">+H177-M177</f>
        <v>52942.32</v>
      </c>
    </row>
    <row r="178" spans="1:15" s="2" customFormat="1" ht="24.95" customHeight="1" x14ac:dyDescent="0.2">
      <c r="A178" s="108">
        <f>+A177+1</f>
        <v>71</v>
      </c>
      <c r="B178" s="134" t="s">
        <v>232</v>
      </c>
      <c r="C178" s="133" t="s">
        <v>441</v>
      </c>
      <c r="D178" s="134" t="s">
        <v>411</v>
      </c>
      <c r="E178" s="132" t="s">
        <v>221</v>
      </c>
      <c r="F178" s="131" t="s">
        <v>514</v>
      </c>
      <c r="G178" s="131" t="s">
        <v>583</v>
      </c>
      <c r="H178" s="117">
        <v>50000</v>
      </c>
      <c r="I178" s="64">
        <f t="shared" ref="I178" si="58">H178*2.87%</f>
        <v>1435</v>
      </c>
      <c r="J178" s="64">
        <f t="shared" ref="J178:J179" si="59">+H178*3.04%</f>
        <v>1520</v>
      </c>
      <c r="K178" s="64">
        <v>1854</v>
      </c>
      <c r="L178" s="70">
        <v>2025</v>
      </c>
      <c r="M178" s="64">
        <f t="shared" ref="M178" si="60">SUM(I178:L178)</f>
        <v>6834</v>
      </c>
      <c r="N178" s="70">
        <f t="shared" ref="N178" si="61">+H178-M178</f>
        <v>43166</v>
      </c>
    </row>
    <row r="179" spans="1:15" s="2" customFormat="1" ht="24.95" customHeight="1" x14ac:dyDescent="0.2">
      <c r="A179" s="108">
        <f>+A178+1</f>
        <v>72</v>
      </c>
      <c r="B179" s="134" t="s">
        <v>459</v>
      </c>
      <c r="C179" s="133" t="s">
        <v>441</v>
      </c>
      <c r="D179" s="134" t="s">
        <v>411</v>
      </c>
      <c r="E179" s="132" t="s">
        <v>221</v>
      </c>
      <c r="F179" s="26" t="s">
        <v>547</v>
      </c>
      <c r="G179" s="26" t="s">
        <v>612</v>
      </c>
      <c r="H179" s="117">
        <v>60000</v>
      </c>
      <c r="I179" s="64">
        <f>H179*2.87%</f>
        <v>1722</v>
      </c>
      <c r="J179" s="64">
        <f t="shared" si="59"/>
        <v>1824</v>
      </c>
      <c r="K179" s="64">
        <v>3184.16</v>
      </c>
      <c r="L179" s="70">
        <f>1512.25+25</f>
        <v>1537.25</v>
      </c>
      <c r="M179" s="64">
        <f t="shared" ref="M179" si="62">SUM(I179:L179)</f>
        <v>8267.41</v>
      </c>
      <c r="N179" s="70">
        <f t="shared" ref="N179" si="63">+H179-M179</f>
        <v>51732.59</v>
      </c>
    </row>
    <row r="180" spans="1:15" s="2" customFormat="1" ht="26.25" customHeight="1" thickBot="1" x14ac:dyDescent="0.25">
      <c r="A180" s="267" t="s">
        <v>128</v>
      </c>
      <c r="B180" s="267"/>
      <c r="C180" s="267"/>
      <c r="D180" s="267"/>
      <c r="E180" s="267"/>
      <c r="F180" s="267"/>
      <c r="G180" s="267"/>
      <c r="H180" s="164">
        <f>SUM(H174:H179)</f>
        <v>515000</v>
      </c>
      <c r="I180" s="164">
        <f t="shared" ref="I180:M180" si="64">SUM(I174:I179)</f>
        <v>14780.5</v>
      </c>
      <c r="J180" s="164">
        <f t="shared" si="64"/>
        <v>15656</v>
      </c>
      <c r="K180" s="164">
        <f t="shared" si="64"/>
        <v>53913.75</v>
      </c>
      <c r="L180" s="164">
        <f t="shared" si="64"/>
        <v>14248.48</v>
      </c>
      <c r="M180" s="164">
        <f t="shared" si="64"/>
        <v>98598.73000000001</v>
      </c>
      <c r="N180" s="164">
        <f>SUM(N174:N179)</f>
        <v>416401.27</v>
      </c>
    </row>
    <row r="181" spans="1:15" s="2" customFormat="1" ht="20.100000000000001" customHeight="1" thickBot="1" x14ac:dyDescent="0.25">
      <c r="A181" s="65"/>
      <c r="B181" s="65"/>
      <c r="C181" s="65"/>
      <c r="D181" s="65"/>
      <c r="E181" s="65"/>
      <c r="F181" s="65"/>
      <c r="G181" s="65"/>
      <c r="H181" s="6"/>
      <c r="I181" s="6"/>
      <c r="J181" s="6"/>
      <c r="K181" s="6"/>
      <c r="L181" s="6"/>
      <c r="M181" s="6"/>
      <c r="N181" s="6"/>
    </row>
    <row r="182" spans="1:15" s="2" customFormat="1" ht="24.95" customHeight="1" thickBot="1" x14ac:dyDescent="0.25">
      <c r="A182" s="258" t="s">
        <v>238</v>
      </c>
      <c r="B182" s="259"/>
      <c r="C182" s="259"/>
      <c r="D182" s="259"/>
      <c r="E182" s="259"/>
      <c r="F182" s="259"/>
      <c r="G182" s="259"/>
      <c r="H182" s="259"/>
      <c r="I182" s="259"/>
      <c r="J182" s="259"/>
      <c r="K182" s="259"/>
      <c r="L182" s="259"/>
      <c r="M182" s="259"/>
      <c r="N182" s="260"/>
    </row>
    <row r="183" spans="1:15" s="2" customFormat="1" ht="24.95" customHeight="1" x14ac:dyDescent="0.2">
      <c r="A183" s="108">
        <f>+A179+1</f>
        <v>73</v>
      </c>
      <c r="B183" s="26" t="s">
        <v>567</v>
      </c>
      <c r="C183" s="12" t="s">
        <v>441</v>
      </c>
      <c r="D183" s="26" t="s">
        <v>411</v>
      </c>
      <c r="E183" s="129" t="s">
        <v>221</v>
      </c>
      <c r="F183" s="26" t="s">
        <v>655</v>
      </c>
      <c r="G183" s="26" t="s">
        <v>654</v>
      </c>
      <c r="H183" s="117">
        <v>55000</v>
      </c>
      <c r="I183" s="5">
        <f>H183*2.87%</f>
        <v>1578.5</v>
      </c>
      <c r="J183" s="5">
        <f>+H183*3.04%</f>
        <v>1672</v>
      </c>
      <c r="K183" s="5">
        <v>2559.6799999999998</v>
      </c>
      <c r="L183" s="5">
        <v>25</v>
      </c>
      <c r="M183" s="64">
        <f>SUM(I183:L183)</f>
        <v>5835.18</v>
      </c>
      <c r="N183" s="70">
        <f>H183-M183</f>
        <v>49164.82</v>
      </c>
    </row>
    <row r="184" spans="1:15" s="2" customFormat="1" ht="24.95" customHeight="1" thickBot="1" x14ac:dyDescent="0.25">
      <c r="A184" s="267" t="s">
        <v>128</v>
      </c>
      <c r="B184" s="267"/>
      <c r="C184" s="267"/>
      <c r="D184" s="267"/>
      <c r="E184" s="267"/>
      <c r="F184" s="267"/>
      <c r="G184" s="277"/>
      <c r="H184" s="80">
        <f>SUM(H183:H183)</f>
        <v>55000</v>
      </c>
      <c r="I184" s="80">
        <f t="shared" ref="I184:M184" si="65">SUM(I183:I183)</f>
        <v>1578.5</v>
      </c>
      <c r="J184" s="80">
        <f t="shared" si="65"/>
        <v>1672</v>
      </c>
      <c r="K184" s="80">
        <f t="shared" si="65"/>
        <v>2559.6799999999998</v>
      </c>
      <c r="L184" s="80">
        <f t="shared" si="65"/>
        <v>25</v>
      </c>
      <c r="M184" s="80">
        <f t="shared" si="65"/>
        <v>5835.18</v>
      </c>
      <c r="N184" s="80">
        <f>SUM(N183:N183)</f>
        <v>49164.82</v>
      </c>
    </row>
    <row r="185" spans="1:15" s="2" customFormat="1" ht="13.5" customHeight="1" thickBot="1" x14ac:dyDescent="0.25">
      <c r="A185" s="65"/>
      <c r="B185" s="65"/>
      <c r="C185" s="65"/>
      <c r="D185" s="65"/>
      <c r="E185" s="65"/>
      <c r="F185" s="65"/>
      <c r="G185" s="65"/>
      <c r="H185" s="146"/>
      <c r="I185" s="146"/>
      <c r="J185" s="146"/>
      <c r="K185" s="146"/>
      <c r="L185" s="146"/>
      <c r="M185" s="146"/>
      <c r="N185" s="147"/>
    </row>
    <row r="186" spans="1:15" s="2" customFormat="1" ht="24.95" customHeight="1" thickBot="1" x14ac:dyDescent="0.25">
      <c r="A186" s="258" t="s">
        <v>231</v>
      </c>
      <c r="B186" s="259"/>
      <c r="C186" s="259"/>
      <c r="D186" s="259"/>
      <c r="E186" s="259"/>
      <c r="F186" s="259"/>
      <c r="G186" s="259"/>
      <c r="H186" s="259"/>
      <c r="I186" s="259"/>
      <c r="J186" s="259"/>
      <c r="K186" s="259"/>
      <c r="L186" s="259"/>
      <c r="M186" s="259"/>
      <c r="N186" s="260"/>
    </row>
    <row r="187" spans="1:15" s="2" customFormat="1" ht="24.95" customHeight="1" x14ac:dyDescent="0.2">
      <c r="A187" s="108">
        <f>+A183+1</f>
        <v>74</v>
      </c>
      <c r="B187" s="26" t="s">
        <v>480</v>
      </c>
      <c r="C187" s="12" t="s">
        <v>441</v>
      </c>
      <c r="D187" s="129" t="s">
        <v>481</v>
      </c>
      <c r="E187" s="129" t="s">
        <v>221</v>
      </c>
      <c r="F187" s="26" t="s">
        <v>564</v>
      </c>
      <c r="G187" s="26" t="s">
        <v>626</v>
      </c>
      <c r="H187" s="112">
        <v>135000</v>
      </c>
      <c r="I187" s="112">
        <f>H187*2.87%</f>
        <v>3874.5</v>
      </c>
      <c r="J187" s="112">
        <f>+H187*3.04%</f>
        <v>4104</v>
      </c>
      <c r="K187" s="64">
        <v>20338.240000000002</v>
      </c>
      <c r="L187" s="111">
        <v>5025</v>
      </c>
      <c r="M187" s="112">
        <f>SUM(I187:L187)</f>
        <v>33341.740000000005</v>
      </c>
      <c r="N187" s="111">
        <f>+H187-M187</f>
        <v>101658.26</v>
      </c>
    </row>
    <row r="188" spans="1:15" s="2" customFormat="1" ht="24.95" customHeight="1" x14ac:dyDescent="0.2">
      <c r="A188" s="108">
        <f>+A187+1</f>
        <v>75</v>
      </c>
      <c r="B188" s="26" t="s">
        <v>154</v>
      </c>
      <c r="C188" s="12" t="s">
        <v>441</v>
      </c>
      <c r="D188" s="129" t="s">
        <v>412</v>
      </c>
      <c r="E188" s="129" t="s">
        <v>221</v>
      </c>
      <c r="F188" s="131" t="s">
        <v>513</v>
      </c>
      <c r="G188" s="131" t="s">
        <v>584</v>
      </c>
      <c r="H188" s="112">
        <v>100000</v>
      </c>
      <c r="I188" s="112">
        <f t="shared" ref="I188" si="66">H188*2.87%</f>
        <v>2870</v>
      </c>
      <c r="J188" s="112">
        <f t="shared" ref="J188" si="67">+H188*3.04%</f>
        <v>3040</v>
      </c>
      <c r="K188" s="112">
        <v>11727.32</v>
      </c>
      <c r="L188" s="111">
        <f>25+1512.45</f>
        <v>1537.45</v>
      </c>
      <c r="M188" s="112">
        <f>SUM(I188:L188)</f>
        <v>19174.77</v>
      </c>
      <c r="N188" s="111">
        <f t="shared" ref="N188" si="68">+H188-M188</f>
        <v>80825.23</v>
      </c>
    </row>
    <row r="189" spans="1:15" s="2" customFormat="1" ht="24.95" customHeight="1" x14ac:dyDescent="0.2">
      <c r="A189" s="69">
        <f>+A188+1</f>
        <v>76</v>
      </c>
      <c r="B189" s="134" t="s">
        <v>460</v>
      </c>
      <c r="C189" s="133" t="s">
        <v>441</v>
      </c>
      <c r="D189" s="132" t="s">
        <v>461</v>
      </c>
      <c r="E189" s="129" t="s">
        <v>221</v>
      </c>
      <c r="F189" s="26" t="s">
        <v>547</v>
      </c>
      <c r="G189" s="26" t="s">
        <v>612</v>
      </c>
      <c r="H189" s="64">
        <v>90000</v>
      </c>
      <c r="I189" s="64">
        <f>H189*2.87%</f>
        <v>2583</v>
      </c>
      <c r="J189" s="64">
        <f>+H189*3.04%</f>
        <v>2736</v>
      </c>
      <c r="K189" s="64">
        <v>9753.19</v>
      </c>
      <c r="L189" s="70">
        <v>25</v>
      </c>
      <c r="M189" s="64">
        <f>SUM(I189:L189)</f>
        <v>15097.19</v>
      </c>
      <c r="N189" s="70">
        <f>+H189-M189</f>
        <v>74902.81</v>
      </c>
    </row>
    <row r="190" spans="1:15" s="2" customFormat="1" ht="24.95" customHeight="1" thickBot="1" x14ac:dyDescent="0.25">
      <c r="A190" s="267" t="s">
        <v>128</v>
      </c>
      <c r="B190" s="267"/>
      <c r="C190" s="267"/>
      <c r="D190" s="267"/>
      <c r="E190" s="267"/>
      <c r="F190" s="267"/>
      <c r="G190" s="277"/>
      <c r="H190" s="80">
        <f>SUM(H187:H189)</f>
        <v>325000</v>
      </c>
      <c r="I190" s="80">
        <f t="shared" ref="I190:M190" si="69">SUM(I187:I189)</f>
        <v>9327.5</v>
      </c>
      <c r="J190" s="80">
        <f t="shared" si="69"/>
        <v>9880</v>
      </c>
      <c r="K190" s="80">
        <f t="shared" si="69"/>
        <v>41818.75</v>
      </c>
      <c r="L190" s="80">
        <f t="shared" si="69"/>
        <v>6587.45</v>
      </c>
      <c r="M190" s="80">
        <f t="shared" si="69"/>
        <v>67613.700000000012</v>
      </c>
      <c r="N190" s="80">
        <f>SUM(N187:N189)</f>
        <v>257386.3</v>
      </c>
    </row>
    <row r="191" spans="1:15" s="2" customFormat="1" ht="11.25" customHeight="1" thickBot="1" x14ac:dyDescent="0.25">
      <c r="A191" s="214"/>
      <c r="B191" s="214"/>
      <c r="C191" s="214"/>
      <c r="D191" s="214"/>
      <c r="E191" s="214"/>
      <c r="F191" s="214"/>
      <c r="G191" s="214"/>
      <c r="H191" s="78"/>
      <c r="I191" s="78"/>
      <c r="J191" s="78"/>
      <c r="K191" s="78"/>
      <c r="L191" s="78"/>
      <c r="M191" s="78"/>
      <c r="N191" s="79"/>
    </row>
    <row r="192" spans="1:15" s="71" customFormat="1" ht="26.25" customHeight="1" thickBot="1" x14ac:dyDescent="0.25">
      <c r="A192" s="258" t="s">
        <v>22</v>
      </c>
      <c r="B192" s="259"/>
      <c r="C192" s="259"/>
      <c r="D192" s="259"/>
      <c r="E192" s="259"/>
      <c r="F192" s="259"/>
      <c r="G192" s="259"/>
      <c r="H192" s="259"/>
      <c r="I192" s="259"/>
      <c r="J192" s="259"/>
      <c r="K192" s="259"/>
      <c r="L192" s="259"/>
      <c r="M192" s="259"/>
      <c r="N192" s="260"/>
      <c r="O192" s="2"/>
    </row>
    <row r="193" spans="1:15" s="71" customFormat="1" ht="29.25" customHeight="1" x14ac:dyDescent="0.2">
      <c r="A193" s="165">
        <f>+A189+1</f>
        <v>77</v>
      </c>
      <c r="B193" s="166" t="s">
        <v>664</v>
      </c>
      <c r="C193" s="167" t="s">
        <v>441</v>
      </c>
      <c r="D193" s="166" t="s">
        <v>665</v>
      </c>
      <c r="E193" s="109" t="s">
        <v>221</v>
      </c>
      <c r="F193" s="110" t="s">
        <v>667</v>
      </c>
      <c r="G193" s="110" t="s">
        <v>666</v>
      </c>
      <c r="H193" s="112">
        <v>170000</v>
      </c>
      <c r="I193" s="112">
        <f>H193*2.87%</f>
        <v>4879</v>
      </c>
      <c r="J193" s="112">
        <v>4943.8</v>
      </c>
      <c r="K193" s="112">
        <v>28627.27</v>
      </c>
      <c r="L193" s="111">
        <v>25</v>
      </c>
      <c r="M193" s="112">
        <f>SUM(I193:L193)</f>
        <v>38475.07</v>
      </c>
      <c r="N193" s="111">
        <f t="shared" ref="N193" si="70">+H193-M193</f>
        <v>131524.93</v>
      </c>
      <c r="O193" s="2"/>
    </row>
    <row r="194" spans="1:15" ht="18" customHeight="1" x14ac:dyDescent="0.2">
      <c r="A194" s="261" t="s">
        <v>128</v>
      </c>
      <c r="B194" s="267"/>
      <c r="C194" s="267"/>
      <c r="D194" s="267"/>
      <c r="E194" s="267"/>
      <c r="F194" s="267"/>
      <c r="G194" s="261"/>
      <c r="H194" s="16">
        <f>SUM(H193:H193)</f>
        <v>170000</v>
      </c>
      <c r="I194" s="16">
        <f t="shared" ref="I194:M194" si="71">SUM(I193:I193)</f>
        <v>4879</v>
      </c>
      <c r="J194" s="16">
        <f t="shared" si="71"/>
        <v>4943.8</v>
      </c>
      <c r="K194" s="16">
        <f t="shared" si="71"/>
        <v>28627.27</v>
      </c>
      <c r="L194" s="16">
        <f t="shared" si="71"/>
        <v>25</v>
      </c>
      <c r="M194" s="16">
        <f t="shared" si="71"/>
        <v>38475.07</v>
      </c>
      <c r="N194" s="16">
        <f>SUM(N193:N193)</f>
        <v>131524.93</v>
      </c>
    </row>
    <row r="195" spans="1:15" s="71" customFormat="1" ht="26.25" customHeight="1" thickBot="1" x14ac:dyDescent="0.25">
      <c r="A195" s="65"/>
      <c r="B195" s="65"/>
      <c r="C195" s="65"/>
      <c r="D195" s="65"/>
      <c r="E195" s="65"/>
      <c r="F195" s="65"/>
      <c r="G195" s="65"/>
      <c r="H195"/>
      <c r="I195"/>
      <c r="J195"/>
      <c r="K195"/>
      <c r="L195"/>
      <c r="M195"/>
      <c r="N195"/>
      <c r="O195" s="2"/>
    </row>
    <row r="196" spans="1:15" s="71" customFormat="1" ht="26.25" customHeight="1" thickBot="1" x14ac:dyDescent="0.25">
      <c r="A196" s="258" t="s">
        <v>413</v>
      </c>
      <c r="B196" s="259"/>
      <c r="C196" s="259"/>
      <c r="D196" s="259"/>
      <c r="E196" s="259"/>
      <c r="F196" s="259"/>
      <c r="G196" s="259"/>
      <c r="H196" s="259"/>
      <c r="I196" s="259"/>
      <c r="J196" s="259"/>
      <c r="K196" s="259"/>
      <c r="L196" s="259"/>
      <c r="M196" s="259"/>
      <c r="N196" s="260"/>
      <c r="O196" s="2"/>
    </row>
    <row r="197" spans="1:15" s="71" customFormat="1" ht="29.25" customHeight="1" x14ac:dyDescent="0.2">
      <c r="A197" s="165">
        <f>+A193+1</f>
        <v>78</v>
      </c>
      <c r="B197" s="166" t="s">
        <v>414</v>
      </c>
      <c r="C197" s="167" t="s">
        <v>441</v>
      </c>
      <c r="D197" s="166" t="s">
        <v>157</v>
      </c>
      <c r="E197" s="109" t="s">
        <v>221</v>
      </c>
      <c r="F197" s="110" t="s">
        <v>554</v>
      </c>
      <c r="G197" s="110" t="s">
        <v>618</v>
      </c>
      <c r="H197" s="112">
        <v>155000</v>
      </c>
      <c r="I197" s="112">
        <f>H197*2.87%</f>
        <v>4448.5</v>
      </c>
      <c r="J197" s="112">
        <f>+H197*3.04%</f>
        <v>4712</v>
      </c>
      <c r="K197" s="112">
        <v>24664.7</v>
      </c>
      <c r="L197" s="111">
        <f>25+1512.45</f>
        <v>1537.45</v>
      </c>
      <c r="M197" s="112">
        <f>SUM(I197:L197)</f>
        <v>35362.649999999994</v>
      </c>
      <c r="N197" s="111">
        <f t="shared" ref="N197" si="72">+H197-M197</f>
        <v>119637.35</v>
      </c>
      <c r="O197" s="2"/>
    </row>
    <row r="198" spans="1:15" ht="18" customHeight="1" x14ac:dyDescent="0.2">
      <c r="A198" s="261" t="s">
        <v>128</v>
      </c>
      <c r="B198" s="267"/>
      <c r="C198" s="267"/>
      <c r="D198" s="267"/>
      <c r="E198" s="267"/>
      <c r="F198" s="267"/>
      <c r="G198" s="261"/>
      <c r="H198" s="16">
        <f>SUM(H197:H197)</f>
        <v>155000</v>
      </c>
      <c r="I198" s="16">
        <f t="shared" ref="I198:M198" si="73">SUM(I197:I197)</f>
        <v>4448.5</v>
      </c>
      <c r="J198" s="16">
        <f t="shared" si="73"/>
        <v>4712</v>
      </c>
      <c r="K198" s="16">
        <f t="shared" si="73"/>
        <v>24664.7</v>
      </c>
      <c r="L198" s="16">
        <f t="shared" si="73"/>
        <v>1537.45</v>
      </c>
      <c r="M198" s="16">
        <f t="shared" si="73"/>
        <v>35362.649999999994</v>
      </c>
      <c r="N198" s="16">
        <f>SUM(N197:N197)</f>
        <v>119637.35</v>
      </c>
    </row>
    <row r="199" spans="1:15" s="71" customFormat="1" ht="26.25" customHeight="1" thickBot="1" x14ac:dyDescent="0.25">
      <c r="A199" s="65"/>
      <c r="B199" s="65"/>
      <c r="C199" s="65"/>
      <c r="D199" s="65"/>
      <c r="E199" s="65"/>
      <c r="F199" s="65"/>
      <c r="G199" s="65"/>
      <c r="H199"/>
      <c r="I199"/>
      <c r="J199"/>
      <c r="K199"/>
      <c r="L199"/>
      <c r="M199"/>
      <c r="N199"/>
      <c r="O199" s="2"/>
    </row>
    <row r="200" spans="1:15" s="2" customFormat="1" ht="27.75" customHeight="1" thickBot="1" x14ac:dyDescent="0.25">
      <c r="A200" s="264" t="s">
        <v>468</v>
      </c>
      <c r="B200" s="265"/>
      <c r="C200" s="265"/>
      <c r="D200" s="265"/>
      <c r="E200" s="265"/>
      <c r="F200" s="265"/>
      <c r="G200" s="265"/>
      <c r="H200" s="265"/>
      <c r="I200" s="265"/>
      <c r="J200" s="265"/>
      <c r="K200" s="265"/>
      <c r="L200" s="265"/>
      <c r="M200" s="265"/>
      <c r="N200" s="266"/>
    </row>
    <row r="201" spans="1:15" s="2" customFormat="1" ht="24.95" customHeight="1" x14ac:dyDescent="0.2">
      <c r="A201" s="12">
        <f>+A197+1</f>
        <v>79</v>
      </c>
      <c r="B201" s="62" t="s">
        <v>462</v>
      </c>
      <c r="C201" s="161" t="s">
        <v>441</v>
      </c>
      <c r="D201" s="130" t="s">
        <v>463</v>
      </c>
      <c r="E201" s="129" t="s">
        <v>221</v>
      </c>
      <c r="F201" s="26" t="s">
        <v>547</v>
      </c>
      <c r="G201" s="26" t="s">
        <v>612</v>
      </c>
      <c r="H201" s="64">
        <v>70000</v>
      </c>
      <c r="I201" s="112">
        <f>H201*2.87%</f>
        <v>2009</v>
      </c>
      <c r="J201" s="112">
        <f>+H201*3.04%</f>
        <v>2128</v>
      </c>
      <c r="K201" s="64">
        <v>5368.51</v>
      </c>
      <c r="L201" s="111">
        <v>25</v>
      </c>
      <c r="M201" s="112">
        <f>SUM(I201:L201)</f>
        <v>9530.51</v>
      </c>
      <c r="N201" s="111">
        <f t="shared" ref="N201" si="74">+H201-M201</f>
        <v>60469.49</v>
      </c>
    </row>
    <row r="202" spans="1:15" s="114" customFormat="1" ht="24.95" customHeight="1" x14ac:dyDescent="0.2">
      <c r="A202" s="261" t="s">
        <v>128</v>
      </c>
      <c r="B202" s="261"/>
      <c r="C202" s="261"/>
      <c r="D202" s="261"/>
      <c r="E202" s="261"/>
      <c r="F202" s="261"/>
      <c r="G202" s="261"/>
      <c r="H202" s="16">
        <f>SUM(H201:H201)</f>
        <v>70000</v>
      </c>
      <c r="I202" s="16">
        <f t="shared" ref="I202:M202" si="75">SUM(I201:I201)</f>
        <v>2009</v>
      </c>
      <c r="J202" s="16">
        <f t="shared" si="75"/>
        <v>2128</v>
      </c>
      <c r="K202" s="16">
        <f t="shared" si="75"/>
        <v>5368.51</v>
      </c>
      <c r="L202" s="16">
        <f t="shared" si="75"/>
        <v>25</v>
      </c>
      <c r="M202" s="16">
        <f t="shared" si="75"/>
        <v>9530.51</v>
      </c>
      <c r="N202" s="16">
        <f>SUM(N201:N201)</f>
        <v>60469.49</v>
      </c>
      <c r="O202" s="1"/>
    </row>
    <row r="203" spans="1:15" s="114" customFormat="1" ht="24.95" customHeight="1" thickBot="1" x14ac:dyDescent="0.25">
      <c r="A203" s="220"/>
      <c r="B203" s="220"/>
      <c r="C203" s="220"/>
      <c r="D203" s="220"/>
      <c r="E203" s="220"/>
      <c r="F203" s="220"/>
      <c r="G203" s="220"/>
      <c r="H203" s="82"/>
      <c r="I203" s="82"/>
      <c r="J203" s="82"/>
      <c r="K203" s="82"/>
      <c r="L203" s="82"/>
      <c r="M203" s="82"/>
      <c r="N203" s="82"/>
      <c r="O203" s="1"/>
    </row>
    <row r="204" spans="1:15" s="2" customFormat="1" ht="24.95" customHeight="1" thickBot="1" x14ac:dyDescent="0.25">
      <c r="A204" s="258" t="s">
        <v>469</v>
      </c>
      <c r="B204" s="259"/>
      <c r="C204" s="259"/>
      <c r="D204" s="259"/>
      <c r="E204" s="259"/>
      <c r="F204" s="259"/>
      <c r="G204" s="259"/>
      <c r="H204" s="259"/>
      <c r="I204" s="259"/>
      <c r="J204" s="259"/>
      <c r="K204" s="259"/>
      <c r="L204" s="259"/>
      <c r="M204" s="259"/>
      <c r="N204" s="260"/>
    </row>
    <row r="205" spans="1:15" s="2" customFormat="1" ht="24.95" customHeight="1" x14ac:dyDescent="0.2">
      <c r="A205" s="12">
        <f>+A201+1</f>
        <v>80</v>
      </c>
      <c r="B205" s="62" t="s">
        <v>497</v>
      </c>
      <c r="C205" s="161" t="s">
        <v>441</v>
      </c>
      <c r="D205" s="182" t="s">
        <v>419</v>
      </c>
      <c r="E205" s="129" t="s">
        <v>221</v>
      </c>
      <c r="F205" s="129" t="s">
        <v>514</v>
      </c>
      <c r="G205" s="26" t="s">
        <v>583</v>
      </c>
      <c r="H205" s="112">
        <v>155000</v>
      </c>
      <c r="I205" s="112">
        <f>H205*2.87%</f>
        <v>4448.5</v>
      </c>
      <c r="J205" s="112">
        <f>+H205*3.04%</f>
        <v>4712</v>
      </c>
      <c r="K205" s="8">
        <v>25042.74</v>
      </c>
      <c r="L205" s="111">
        <v>25</v>
      </c>
      <c r="M205" s="112">
        <f>SUM(I205:L205)</f>
        <v>34228.240000000005</v>
      </c>
      <c r="N205" s="111">
        <f t="shared" ref="N205" si="76">+H205-M205</f>
        <v>120771.76</v>
      </c>
    </row>
    <row r="206" spans="1:15" s="2" customFormat="1" ht="24.95" customHeight="1" x14ac:dyDescent="0.2">
      <c r="A206" s="108">
        <f>+A205+1</f>
        <v>81</v>
      </c>
      <c r="B206" s="62" t="s">
        <v>615</v>
      </c>
      <c r="C206" s="161" t="s">
        <v>441</v>
      </c>
      <c r="D206" s="130" t="s">
        <v>233</v>
      </c>
      <c r="E206" s="129" t="s">
        <v>221</v>
      </c>
      <c r="F206" s="132" t="s">
        <v>549</v>
      </c>
      <c r="G206" s="134" t="s">
        <v>598</v>
      </c>
      <c r="H206" s="112">
        <v>70000</v>
      </c>
      <c r="I206" s="112">
        <f>H206*2.87%</f>
        <v>2009</v>
      </c>
      <c r="J206" s="112">
        <f>+H206*3.04%</f>
        <v>2128</v>
      </c>
      <c r="K206" s="112">
        <v>5368.48</v>
      </c>
      <c r="L206" s="111">
        <v>25</v>
      </c>
      <c r="M206" s="112">
        <f>I206+J206+K206+L206</f>
        <v>9530.48</v>
      </c>
      <c r="N206" s="111">
        <f>H206-M206</f>
        <v>60469.520000000004</v>
      </c>
    </row>
    <row r="207" spans="1:15" s="2" customFormat="1" ht="26.25" customHeight="1" x14ac:dyDescent="0.2">
      <c r="A207" s="261" t="s">
        <v>128</v>
      </c>
      <c r="B207" s="261"/>
      <c r="C207" s="261"/>
      <c r="D207" s="261"/>
      <c r="E207" s="261"/>
      <c r="F207" s="261"/>
      <c r="G207" s="261"/>
      <c r="H207" s="16">
        <f t="shared" ref="H207:N207" si="77">SUM(H205:H206)</f>
        <v>225000</v>
      </c>
      <c r="I207" s="16">
        <f t="shared" si="77"/>
        <v>6457.5</v>
      </c>
      <c r="J207" s="16">
        <f t="shared" si="77"/>
        <v>6840</v>
      </c>
      <c r="K207" s="16">
        <f t="shared" si="77"/>
        <v>30411.22</v>
      </c>
      <c r="L207" s="16">
        <f t="shared" si="77"/>
        <v>50</v>
      </c>
      <c r="M207" s="16">
        <f t="shared" si="77"/>
        <v>43758.720000000001</v>
      </c>
      <c r="N207" s="16">
        <f t="shared" si="77"/>
        <v>181241.28</v>
      </c>
    </row>
    <row r="208" spans="1:15" s="2" customFormat="1" ht="20.25" customHeight="1" thickBot="1" x14ac:dyDescent="0.25">
      <c r="A208" s="65"/>
      <c r="B208" s="65"/>
      <c r="C208" s="65"/>
      <c r="D208" s="65"/>
      <c r="E208" s="65"/>
      <c r="F208" s="65"/>
      <c r="G208" s="65"/>
      <c r="H208" s="6"/>
      <c r="I208" s="6"/>
      <c r="J208" s="6"/>
      <c r="K208" s="6"/>
      <c r="L208" s="6"/>
      <c r="M208" s="6"/>
      <c r="N208" s="6"/>
    </row>
    <row r="209" spans="1:15" s="2" customFormat="1" ht="23.25" customHeight="1" thickBot="1" x14ac:dyDescent="0.25">
      <c r="A209" s="264" t="s">
        <v>353</v>
      </c>
      <c r="B209" s="265"/>
      <c r="C209" s="265"/>
      <c r="D209" s="265"/>
      <c r="E209" s="265"/>
      <c r="F209" s="265"/>
      <c r="G209" s="265"/>
      <c r="H209" s="265"/>
      <c r="I209" s="265"/>
      <c r="J209" s="265"/>
      <c r="K209" s="265"/>
      <c r="L209" s="265"/>
      <c r="M209" s="265"/>
      <c r="N209" s="266"/>
    </row>
    <row r="210" spans="1:15" s="2" customFormat="1" ht="24.95" customHeight="1" x14ac:dyDescent="0.2">
      <c r="A210" s="108">
        <f>A206+1</f>
        <v>82</v>
      </c>
      <c r="B210" s="62" t="s">
        <v>422</v>
      </c>
      <c r="C210" s="161" t="s">
        <v>441</v>
      </c>
      <c r="D210" s="130" t="s">
        <v>380</v>
      </c>
      <c r="E210" s="129" t="s">
        <v>221</v>
      </c>
      <c r="F210" s="110" t="s">
        <v>547</v>
      </c>
      <c r="G210" s="110" t="s">
        <v>612</v>
      </c>
      <c r="H210" s="64">
        <v>70000</v>
      </c>
      <c r="I210" s="112">
        <f>H210*2.87%</f>
        <v>2009</v>
      </c>
      <c r="J210" s="112">
        <f>+H210*3.04%</f>
        <v>2128</v>
      </c>
      <c r="K210" s="64">
        <v>5368.45</v>
      </c>
      <c r="L210" s="111">
        <v>125</v>
      </c>
      <c r="M210" s="112">
        <f>SUM(I210:L210)</f>
        <v>9630.4500000000007</v>
      </c>
      <c r="N210" s="111">
        <f t="shared" ref="N210" si="78">+H210-M210</f>
        <v>60369.55</v>
      </c>
    </row>
    <row r="211" spans="1:15" s="2" customFormat="1" ht="24" customHeight="1" x14ac:dyDescent="0.2">
      <c r="A211" s="261" t="s">
        <v>128</v>
      </c>
      <c r="B211" s="261"/>
      <c r="C211" s="261"/>
      <c r="D211" s="261"/>
      <c r="E211" s="261"/>
      <c r="F211" s="261"/>
      <c r="G211" s="261"/>
      <c r="H211" s="16">
        <f>SUM(H210:H210)</f>
        <v>70000</v>
      </c>
      <c r="I211" s="16">
        <f t="shared" ref="I211:M211" si="79">SUM(I210:I210)</f>
        <v>2009</v>
      </c>
      <c r="J211" s="16">
        <f t="shared" si="79"/>
        <v>2128</v>
      </c>
      <c r="K211" s="16">
        <f t="shared" si="79"/>
        <v>5368.45</v>
      </c>
      <c r="L211" s="16">
        <f t="shared" si="79"/>
        <v>125</v>
      </c>
      <c r="M211" s="16">
        <f t="shared" si="79"/>
        <v>9630.4500000000007</v>
      </c>
      <c r="N211" s="16">
        <f>SUM(N210:N210)</f>
        <v>60369.55</v>
      </c>
    </row>
    <row r="212" spans="1:15" s="2" customFormat="1" ht="24.75" customHeight="1" thickBot="1" x14ac:dyDescent="0.25">
      <c r="A212" s="65"/>
      <c r="B212" s="65"/>
      <c r="C212" s="65"/>
      <c r="D212" s="65"/>
      <c r="E212" s="65"/>
      <c r="F212" s="65"/>
      <c r="G212" s="65"/>
      <c r="H212" s="6"/>
      <c r="I212" s="6"/>
      <c r="J212" s="6"/>
      <c r="K212" s="6"/>
      <c r="L212" s="6"/>
      <c r="M212" s="6"/>
      <c r="N212" s="6"/>
    </row>
    <row r="213" spans="1:15" s="2" customFormat="1" ht="23.25" customHeight="1" thickBot="1" x14ac:dyDescent="0.25">
      <c r="A213" s="271" t="s">
        <v>379</v>
      </c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3"/>
    </row>
    <row r="214" spans="1:15" s="2" customFormat="1" ht="33" customHeight="1" x14ac:dyDescent="0.2">
      <c r="A214" s="108">
        <f>+A210+1</f>
        <v>83</v>
      </c>
      <c r="B214" s="62" t="s">
        <v>423</v>
      </c>
      <c r="C214" s="161" t="s">
        <v>441</v>
      </c>
      <c r="D214" s="130" t="s">
        <v>381</v>
      </c>
      <c r="E214" s="129" t="s">
        <v>221</v>
      </c>
      <c r="F214" s="110" t="s">
        <v>547</v>
      </c>
      <c r="G214" s="110" t="s">
        <v>612</v>
      </c>
      <c r="H214" s="64">
        <v>90000</v>
      </c>
      <c r="I214" s="112">
        <f>H214*2.87%</f>
        <v>2583</v>
      </c>
      <c r="J214" s="112">
        <f>+H214*3.04%</f>
        <v>2736</v>
      </c>
      <c r="K214" s="64">
        <v>9753.1200000000008</v>
      </c>
      <c r="L214" s="111">
        <v>125</v>
      </c>
      <c r="M214" s="112">
        <f>SUM(I214:L214)</f>
        <v>15197.12</v>
      </c>
      <c r="N214" s="111">
        <f>+H214-M214</f>
        <v>74802.880000000005</v>
      </c>
    </row>
    <row r="215" spans="1:15" s="2" customFormat="1" ht="23.25" customHeight="1" x14ac:dyDescent="0.2">
      <c r="A215" s="261" t="s">
        <v>128</v>
      </c>
      <c r="B215" s="261"/>
      <c r="C215" s="261"/>
      <c r="D215" s="261"/>
      <c r="E215" s="261"/>
      <c r="F215" s="261"/>
      <c r="G215" s="261"/>
      <c r="H215" s="16">
        <f>SUM(H214:H214)</f>
        <v>90000</v>
      </c>
      <c r="I215" s="16">
        <f t="shared" ref="I215:N215" si="80">SUM(I214:I214)</f>
        <v>2583</v>
      </c>
      <c r="J215" s="16">
        <f t="shared" si="80"/>
        <v>2736</v>
      </c>
      <c r="K215" s="16">
        <f t="shared" si="80"/>
        <v>9753.1200000000008</v>
      </c>
      <c r="L215" s="16">
        <f t="shared" si="80"/>
        <v>125</v>
      </c>
      <c r="M215" s="16">
        <f t="shared" si="80"/>
        <v>15197.12</v>
      </c>
      <c r="N215" s="16">
        <f t="shared" si="80"/>
        <v>74802.880000000005</v>
      </c>
    </row>
    <row r="216" spans="1:15" s="71" customFormat="1" ht="24.95" customHeight="1" thickBot="1" x14ac:dyDescent="0.25">
      <c r="A216" s="65"/>
      <c r="B216" s="65"/>
      <c r="C216" s="65"/>
      <c r="D216" s="65"/>
      <c r="E216" s="65"/>
      <c r="F216" s="65"/>
      <c r="G216" s="65"/>
      <c r="H216" s="6"/>
      <c r="I216" s="6"/>
      <c r="J216" s="6"/>
      <c r="K216" s="6"/>
      <c r="L216" s="6"/>
      <c r="M216" s="6"/>
      <c r="N216" s="6"/>
      <c r="O216" s="2"/>
    </row>
    <row r="217" spans="1:15" s="114" customFormat="1" ht="32.25" customHeight="1" thickBot="1" x14ac:dyDescent="0.25">
      <c r="A217" s="258" t="s">
        <v>234</v>
      </c>
      <c r="B217" s="259"/>
      <c r="C217" s="259"/>
      <c r="D217" s="259"/>
      <c r="E217" s="259"/>
      <c r="F217" s="259"/>
      <c r="G217" s="259"/>
      <c r="H217" s="259"/>
      <c r="I217" s="259"/>
      <c r="J217" s="259"/>
      <c r="K217" s="259"/>
      <c r="L217" s="259"/>
      <c r="M217" s="259"/>
      <c r="N217" s="260"/>
      <c r="O217" s="1"/>
    </row>
    <row r="218" spans="1:15" s="114" customFormat="1" ht="32.25" customHeight="1" x14ac:dyDescent="0.2">
      <c r="A218" s="108">
        <f>+A214+1</f>
        <v>84</v>
      </c>
      <c r="B218" s="62" t="s">
        <v>424</v>
      </c>
      <c r="C218" s="161" t="s">
        <v>442</v>
      </c>
      <c r="D218" s="62" t="s">
        <v>425</v>
      </c>
      <c r="E218" s="129" t="s">
        <v>221</v>
      </c>
      <c r="F218" s="110" t="s">
        <v>547</v>
      </c>
      <c r="G218" s="110" t="s">
        <v>612</v>
      </c>
      <c r="H218" s="112">
        <v>45000</v>
      </c>
      <c r="I218" s="112">
        <f t="shared" ref="I218:I219" si="81">H218*2.87%</f>
        <v>1291.5</v>
      </c>
      <c r="J218" s="112">
        <f t="shared" ref="J218:J219" si="82">+H218*3.04%</f>
        <v>1368</v>
      </c>
      <c r="K218" s="5">
        <v>921.46</v>
      </c>
      <c r="L218" s="111">
        <f>25+1512.45+100</f>
        <v>1637.45</v>
      </c>
      <c r="M218" s="112">
        <f>SUM(I218:L218)</f>
        <v>5218.41</v>
      </c>
      <c r="N218" s="111">
        <f>+H218-M218</f>
        <v>39781.589999999997</v>
      </c>
      <c r="O218" s="1"/>
    </row>
    <row r="219" spans="1:15" ht="25.15" customHeight="1" x14ac:dyDescent="0.2">
      <c r="A219" s="108">
        <f>+A218+1</f>
        <v>85</v>
      </c>
      <c r="B219" s="62" t="s">
        <v>426</v>
      </c>
      <c r="C219" s="161" t="s">
        <v>442</v>
      </c>
      <c r="D219" s="62" t="s">
        <v>425</v>
      </c>
      <c r="E219" s="129" t="s">
        <v>221</v>
      </c>
      <c r="F219" s="26" t="s">
        <v>542</v>
      </c>
      <c r="G219" s="26" t="s">
        <v>597</v>
      </c>
      <c r="H219" s="112">
        <v>45000</v>
      </c>
      <c r="I219" s="112">
        <f t="shared" si="81"/>
        <v>1291.5</v>
      </c>
      <c r="J219" s="112">
        <f t="shared" si="82"/>
        <v>1368</v>
      </c>
      <c r="K219" s="5">
        <v>1148.32</v>
      </c>
      <c r="L219" s="111">
        <v>125</v>
      </c>
      <c r="M219" s="112">
        <f>SUM(I219:L219)</f>
        <v>3932.8199999999997</v>
      </c>
      <c r="N219" s="111">
        <f>+H219-M219</f>
        <v>41067.18</v>
      </c>
    </row>
    <row r="220" spans="1:15" ht="24.75" customHeight="1" x14ac:dyDescent="0.2">
      <c r="A220" s="261" t="s">
        <v>128</v>
      </c>
      <c r="B220" s="261"/>
      <c r="C220" s="261"/>
      <c r="D220" s="261"/>
      <c r="E220" s="261"/>
      <c r="F220" s="261"/>
      <c r="G220" s="261"/>
      <c r="H220" s="16">
        <f>SUM(H218:H219)</f>
        <v>90000</v>
      </c>
      <c r="I220" s="16">
        <f t="shared" ref="I220:M220" si="83">SUM(I218:I219)</f>
        <v>2583</v>
      </c>
      <c r="J220" s="16">
        <f t="shared" si="83"/>
        <v>2736</v>
      </c>
      <c r="K220" s="16">
        <f t="shared" si="83"/>
        <v>2069.7799999999997</v>
      </c>
      <c r="L220" s="16">
        <f t="shared" si="83"/>
        <v>1762.45</v>
      </c>
      <c r="M220" s="16">
        <f t="shared" si="83"/>
        <v>9151.23</v>
      </c>
      <c r="N220" s="16">
        <f>SUM(N218:N219)</f>
        <v>80848.76999999999</v>
      </c>
    </row>
    <row r="221" spans="1:15" s="71" customFormat="1" ht="24.95" customHeight="1" x14ac:dyDescent="0.2">
      <c r="A221" s="65"/>
      <c r="B221" s="65"/>
      <c r="C221" s="65"/>
      <c r="D221" s="65"/>
      <c r="E221" s="65"/>
      <c r="F221" s="65"/>
      <c r="G221" s="65"/>
      <c r="H221" s="6"/>
      <c r="I221" s="6"/>
      <c r="J221" s="6"/>
      <c r="K221" s="6"/>
      <c r="L221" s="6"/>
      <c r="M221" s="6"/>
      <c r="N221" s="6"/>
      <c r="O221" s="2"/>
    </row>
    <row r="222" spans="1:15" ht="25.5" customHeight="1" thickBot="1" x14ac:dyDescent="0.25">
      <c r="A222" s="65"/>
      <c r="B222" s="65"/>
      <c r="C222" s="65"/>
      <c r="D222" s="65"/>
      <c r="E222" s="65"/>
      <c r="F222" s="65"/>
      <c r="G222" s="65"/>
      <c r="H222" s="6"/>
      <c r="I222" s="6"/>
      <c r="J222" s="6"/>
      <c r="K222" s="6"/>
      <c r="L222" s="6"/>
      <c r="M222" s="6"/>
      <c r="N222" s="6"/>
    </row>
    <row r="223" spans="1:15" ht="24.75" customHeight="1" thickBot="1" x14ac:dyDescent="0.25">
      <c r="A223" s="258" t="s">
        <v>470</v>
      </c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259"/>
      <c r="N223" s="260"/>
    </row>
    <row r="224" spans="1:15" ht="29.25" customHeight="1" x14ac:dyDescent="0.2">
      <c r="A224" s="108">
        <f>+A219+1</f>
        <v>86</v>
      </c>
      <c r="B224" s="115" t="s">
        <v>149</v>
      </c>
      <c r="C224" s="118" t="s">
        <v>442</v>
      </c>
      <c r="D224" s="115" t="s">
        <v>427</v>
      </c>
      <c r="E224" s="109" t="s">
        <v>221</v>
      </c>
      <c r="F224" s="26" t="s">
        <v>579</v>
      </c>
      <c r="G224" s="26" t="s">
        <v>653</v>
      </c>
      <c r="H224" s="112">
        <v>60000</v>
      </c>
      <c r="I224" s="112">
        <f>H224*2.87%</f>
        <v>1722</v>
      </c>
      <c r="J224" s="112">
        <f>+H224*3.04%</f>
        <v>1824</v>
      </c>
      <c r="K224" s="112">
        <v>3184.16</v>
      </c>
      <c r="L224" s="111">
        <f>125+1512.45</f>
        <v>1637.45</v>
      </c>
      <c r="M224" s="112">
        <f>SUM(I224:L224)</f>
        <v>8367.61</v>
      </c>
      <c r="N224" s="111">
        <f>+H224-M224</f>
        <v>51632.39</v>
      </c>
    </row>
    <row r="225" spans="1:15" ht="26.25" customHeight="1" x14ac:dyDescent="0.2">
      <c r="A225" s="261" t="s">
        <v>128</v>
      </c>
      <c r="B225" s="261"/>
      <c r="C225" s="261"/>
      <c r="D225" s="261"/>
      <c r="E225" s="261"/>
      <c r="F225" s="261"/>
      <c r="G225" s="261"/>
      <c r="H225" s="16">
        <f>SUM(H224:H224)</f>
        <v>60000</v>
      </c>
      <c r="I225" s="16">
        <f t="shared" ref="I225:N225" si="84">SUM(I224:I224)</f>
        <v>1722</v>
      </c>
      <c r="J225" s="16">
        <f t="shared" si="84"/>
        <v>1824</v>
      </c>
      <c r="K225" s="16">
        <f t="shared" si="84"/>
        <v>3184.16</v>
      </c>
      <c r="L225" s="16">
        <f t="shared" si="84"/>
        <v>1637.45</v>
      </c>
      <c r="M225" s="16">
        <f t="shared" si="84"/>
        <v>8367.61</v>
      </c>
      <c r="N225" s="16">
        <f t="shared" si="84"/>
        <v>51632.39</v>
      </c>
    </row>
    <row r="226" spans="1:15" s="71" customFormat="1" ht="26.25" customHeight="1" x14ac:dyDescent="0.2">
      <c r="A226" s="65"/>
      <c r="B226" s="65"/>
      <c r="C226" s="65"/>
      <c r="D226" s="65"/>
      <c r="E226" s="65"/>
      <c r="F226" s="65"/>
      <c r="G226" s="65"/>
      <c r="H226" s="6"/>
      <c r="I226" s="6"/>
      <c r="J226" s="6"/>
      <c r="K226" s="6"/>
      <c r="L226" s="6"/>
      <c r="M226" s="6"/>
      <c r="N226" s="6"/>
      <c r="O226" s="2"/>
    </row>
    <row r="227" spans="1:15" ht="26.25" customHeight="1" thickBot="1" x14ac:dyDescent="0.25">
      <c r="D227" s="27"/>
      <c r="E227" s="27"/>
      <c r="F227" s="27"/>
      <c r="G227" s="27"/>
      <c r="I227" s="2"/>
      <c r="J227" s="2"/>
      <c r="K227" s="2"/>
      <c r="L227" s="2"/>
      <c r="M227" s="2"/>
      <c r="N227" s="7"/>
    </row>
    <row r="228" spans="1:15" ht="26.25" customHeight="1" thickBot="1" x14ac:dyDescent="0.25">
      <c r="A228" s="262" t="s">
        <v>428</v>
      </c>
      <c r="B228" s="263"/>
      <c r="C228" s="263"/>
      <c r="D228" s="263"/>
      <c r="E228" s="135"/>
      <c r="F228" s="63"/>
      <c r="G228" s="63"/>
    </row>
    <row r="229" spans="1:15" ht="26.25" customHeight="1" thickBot="1" x14ac:dyDescent="0.25">
      <c r="A229" s="159"/>
      <c r="B229" s="159"/>
      <c r="C229" s="159"/>
      <c r="D229" s="159"/>
      <c r="E229" s="159"/>
      <c r="H229" s="15">
        <f>+H12+H18+H24+H35+H40+H44+H50+H65+H71+H85+H93+H108+H124+H134+H138+H147+H157+H162+H166+H171+H180+H190+H198+H207++H225++H220+H215+H211+H184+H202+H28+H80+H55+H151+H118+H100+H129+H113+H59+H104+H88+H76+H194</f>
        <v>7785000</v>
      </c>
      <c r="I229" s="15">
        <f t="shared" ref="I229:N229" si="85">+I12+I18+I24+I35+I40+I44+I50+I65+I71+I85+I93+I108+I124+I134+I138+I147+I157+I162+I166+I171+I180+I190+I198+I207++I225++I220+I215+I211+I184+I202+I28+I80+I55+I151+I118+I100+I129+I113+I59+I104+I88+I76+I194</f>
        <v>223429.5</v>
      </c>
      <c r="J229" s="15">
        <f t="shared" si="85"/>
        <v>233654.39999999997</v>
      </c>
      <c r="K229" s="15">
        <f t="shared" si="85"/>
        <v>876549.80999999994</v>
      </c>
      <c r="L229" s="15">
        <f t="shared" si="85"/>
        <v>208228.33000000007</v>
      </c>
      <c r="M229" s="15">
        <f t="shared" si="85"/>
        <v>1541862.0399999998</v>
      </c>
      <c r="N229" s="15">
        <f t="shared" si="85"/>
        <v>6243137.9599999981</v>
      </c>
    </row>
    <row r="230" spans="1:15" x14ac:dyDescent="0.2">
      <c r="A230" s="159"/>
      <c r="B230" s="159"/>
      <c r="C230" s="159"/>
      <c r="D230" s="159"/>
      <c r="E230" s="159"/>
      <c r="H230" s="173"/>
      <c r="I230" s="173"/>
      <c r="J230" s="173"/>
      <c r="K230" s="173"/>
      <c r="L230" s="173"/>
      <c r="M230" s="173"/>
      <c r="N230" s="173"/>
    </row>
    <row r="231" spans="1:15" ht="20.25" customHeight="1" x14ac:dyDescent="0.25">
      <c r="B231" s="23" t="s">
        <v>207</v>
      </c>
      <c r="C231" s="158"/>
      <c r="D231" s="22"/>
      <c r="E231" s="22"/>
      <c r="F231" s="23" t="s">
        <v>515</v>
      </c>
    </row>
    <row r="232" spans="1:15" ht="15.75" customHeight="1" x14ac:dyDescent="0.25">
      <c r="B232" s="23" t="s">
        <v>516</v>
      </c>
      <c r="C232" s="158"/>
      <c r="D232" s="22"/>
      <c r="E232" s="22"/>
      <c r="F232" s="23" t="s">
        <v>517</v>
      </c>
    </row>
    <row r="234" spans="1:15" x14ac:dyDescent="0.2">
      <c r="H234" s="68"/>
    </row>
    <row r="64828" spans="2:14" s="4" customFormat="1" x14ac:dyDescent="0.2">
      <c r="B64828" s="25"/>
      <c r="D64828" s="25"/>
      <c r="E64828" s="25"/>
      <c r="F64828" s="25"/>
      <c r="G64828" s="25"/>
      <c r="H64828" s="2"/>
      <c r="I64828" s="1"/>
      <c r="J64828" s="1"/>
      <c r="K64828" s="1"/>
      <c r="L64828" s="1"/>
      <c r="M64828" s="1"/>
      <c r="N64828" s="1"/>
    </row>
    <row r="64829" spans="2:14" x14ac:dyDescent="0.2">
      <c r="I64829" s="4"/>
      <c r="J64829" s="4"/>
    </row>
    <row r="64830" spans="2:14" s="4" customFormat="1" x14ac:dyDescent="0.2">
      <c r="B64830" s="25"/>
      <c r="D64830" s="25"/>
      <c r="E64830" s="25"/>
      <c r="F64830" s="25"/>
      <c r="G64830" s="25"/>
      <c r="H64830" s="2"/>
      <c r="I64830" s="1"/>
      <c r="J64830" s="1"/>
      <c r="K64830" s="1"/>
      <c r="L64830" s="1"/>
      <c r="M64830" s="1"/>
      <c r="N64830" s="1"/>
    </row>
    <row r="64831" spans="2:14" x14ac:dyDescent="0.2">
      <c r="I64831" s="4"/>
      <c r="J64831" s="4"/>
    </row>
    <row r="64841" spans="2:14" x14ac:dyDescent="0.2">
      <c r="B64841" s="25">
        <f>SUM(B7:B64840)</f>
        <v>0</v>
      </c>
      <c r="L64841" s="4"/>
      <c r="M64841" s="4"/>
      <c r="N64841" s="4"/>
    </row>
    <row r="64843" spans="2:14" x14ac:dyDescent="0.2">
      <c r="B64843" s="25">
        <f>SUM(B64841)</f>
        <v>0</v>
      </c>
      <c r="L64843" s="4"/>
      <c r="M64843" s="4"/>
      <c r="N64843" s="4"/>
    </row>
    <row r="64844" spans="2:14" x14ac:dyDescent="0.2">
      <c r="K64844" s="4"/>
    </row>
    <row r="64846" spans="2:14" x14ac:dyDescent="0.2">
      <c r="K64846" s="4"/>
    </row>
    <row r="1048170" spans="13:13" x14ac:dyDescent="0.2">
      <c r="M1048170" s="11" t="e">
        <f>SUM(#REF!)</f>
        <v>#REF!</v>
      </c>
    </row>
  </sheetData>
  <mergeCells count="95">
    <mergeCell ref="A42:N42"/>
    <mergeCell ref="A100:G100"/>
    <mergeCell ref="A95:N95"/>
    <mergeCell ref="A53:N53"/>
    <mergeCell ref="A55:G55"/>
    <mergeCell ref="A57:N57"/>
    <mergeCell ref="A59:G59"/>
    <mergeCell ref="A96:N96"/>
    <mergeCell ref="A71:G71"/>
    <mergeCell ref="A82:N82"/>
    <mergeCell ref="A85:G85"/>
    <mergeCell ref="A50:G50"/>
    <mergeCell ref="A8:N8"/>
    <mergeCell ref="A12:G12"/>
    <mergeCell ref="A120:N120"/>
    <mergeCell ref="A14:N14"/>
    <mergeCell ref="A18:G18"/>
    <mergeCell ref="A44:G44"/>
    <mergeCell ref="A108:G108"/>
    <mergeCell ref="A20:N20"/>
    <mergeCell ref="A24:G24"/>
    <mergeCell ref="A90:N90"/>
    <mergeCell ref="A93:G93"/>
    <mergeCell ref="A37:N37"/>
    <mergeCell ref="A40:G40"/>
    <mergeCell ref="A30:N30"/>
    <mergeCell ref="A65:G65"/>
    <mergeCell ref="A46:N46"/>
    <mergeCell ref="A67:N67"/>
    <mergeCell ref="A62:N62"/>
    <mergeCell ref="A86:N86"/>
    <mergeCell ref="A196:N196"/>
    <mergeCell ref="A149:N149"/>
    <mergeCell ref="A151:G151"/>
    <mergeCell ref="A184:G184"/>
    <mergeCell ref="A115:N115"/>
    <mergeCell ref="A126:N126"/>
    <mergeCell ref="A129:G129"/>
    <mergeCell ref="A124:G124"/>
    <mergeCell ref="A192:N192"/>
    <mergeCell ref="A194:G194"/>
    <mergeCell ref="A166:G166"/>
    <mergeCell ref="A168:N168"/>
    <mergeCell ref="A171:G171"/>
    <mergeCell ref="A88:G88"/>
    <mergeCell ref="A74:N74"/>
    <mergeCell ref="A76:G76"/>
    <mergeCell ref="A73:N73"/>
    <mergeCell ref="A164:N164"/>
    <mergeCell ref="A78:N78"/>
    <mergeCell ref="A80:G80"/>
    <mergeCell ref="A102:N102"/>
    <mergeCell ref="A104:G104"/>
    <mergeCell ref="A110:N110"/>
    <mergeCell ref="A113:G113"/>
    <mergeCell ref="A225:G225"/>
    <mergeCell ref="A217:N217"/>
    <mergeCell ref="A204:N204"/>
    <mergeCell ref="A207:G207"/>
    <mergeCell ref="A220:G220"/>
    <mergeCell ref="A215:G215"/>
    <mergeCell ref="A213:N213"/>
    <mergeCell ref="A182:N182"/>
    <mergeCell ref="A198:G198"/>
    <mergeCell ref="A134:G134"/>
    <mergeCell ref="A140:N140"/>
    <mergeCell ref="A136:N136"/>
    <mergeCell ref="A138:G138"/>
    <mergeCell ref="A153:N153"/>
    <mergeCell ref="A147:G147"/>
    <mergeCell ref="A180:G180"/>
    <mergeCell ref="A186:N186"/>
    <mergeCell ref="A190:G190"/>
    <mergeCell ref="A26:N26"/>
    <mergeCell ref="A28:G28"/>
    <mergeCell ref="A35:G35"/>
    <mergeCell ref="A228:D228"/>
    <mergeCell ref="A106:N106"/>
    <mergeCell ref="A131:N131"/>
    <mergeCell ref="A157:G157"/>
    <mergeCell ref="A159:N159"/>
    <mergeCell ref="A162:G162"/>
    <mergeCell ref="A173:N173"/>
    <mergeCell ref="A118:G118"/>
    <mergeCell ref="A209:N209"/>
    <mergeCell ref="A211:G211"/>
    <mergeCell ref="A223:N223"/>
    <mergeCell ref="A200:N200"/>
    <mergeCell ref="A202:G202"/>
    <mergeCell ref="A2:N2"/>
    <mergeCell ref="A3:N3"/>
    <mergeCell ref="A4:N4"/>
    <mergeCell ref="A5:B5"/>
    <mergeCell ref="A6:B6"/>
    <mergeCell ref="I6:J6"/>
  </mergeCells>
  <phoneticPr fontId="18" type="noConversion"/>
  <pageMargins left="0.15748031496062992" right="0.15748031496062992" top="0.15748031496062992" bottom="0.15748031496062992" header="0.15748031496062992" footer="0.15748031496062992"/>
  <pageSetup fitToHeight="0" orientation="landscape" r:id="rId1"/>
  <rowBreaks count="8" manualBreakCount="8">
    <brk id="46" max="13" man="1"/>
    <brk id="78" max="13" man="1"/>
    <brk id="105" max="13" man="1"/>
    <brk id="142" max="13" man="1"/>
    <brk id="175" max="13" man="1"/>
    <brk id="203" max="13" man="1"/>
    <brk id="234" max="12" man="1"/>
    <brk id="239" max="12" man="1"/>
  </rowBreaks>
  <ignoredErrors>
    <ignoredError sqref="M218:M219 M178:M179 M210:N210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view="pageBreakPreview" topLeftCell="A3" zoomScaleNormal="93" zoomScaleSheetLayoutView="100" workbookViewId="0">
      <selection activeCell="J12" sqref="J12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4"/>
    <col min="14" max="16384" width="11.42578125" style="1"/>
  </cols>
  <sheetData>
    <row r="2" spans="1:13" ht="23.25" x14ac:dyDescent="0.35">
      <c r="A2" s="241" t="s">
        <v>429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</row>
    <row r="3" spans="1:13" ht="21" x14ac:dyDescent="0.35">
      <c r="A3" s="242" t="s">
        <v>430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</row>
    <row r="4" spans="1:13" ht="18.75" x14ac:dyDescent="0.3">
      <c r="A4" s="243" t="s">
        <v>668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22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22"/>
    </row>
    <row r="6" spans="1:13" s="2" customFormat="1" ht="21" customHeight="1" thickBot="1" x14ac:dyDescent="0.25">
      <c r="B6" s="3"/>
      <c r="C6" s="159"/>
      <c r="D6" s="3"/>
      <c r="E6" s="4"/>
      <c r="F6" s="6"/>
      <c r="G6" s="284" t="s">
        <v>123</v>
      </c>
      <c r="H6" s="285"/>
      <c r="M6" s="71"/>
    </row>
    <row r="7" spans="1:13" s="2" customFormat="1" ht="27" customHeight="1" x14ac:dyDescent="0.2">
      <c r="A7" s="13" t="s">
        <v>0</v>
      </c>
      <c r="B7" s="13" t="s">
        <v>376</v>
      </c>
      <c r="C7" s="36" t="s">
        <v>443</v>
      </c>
      <c r="D7" s="13" t="s">
        <v>129</v>
      </c>
      <c r="E7" s="13" t="s">
        <v>130</v>
      </c>
      <c r="F7" s="13" t="s">
        <v>127</v>
      </c>
      <c r="G7" s="13" t="s">
        <v>1</v>
      </c>
      <c r="H7" s="13" t="s">
        <v>2</v>
      </c>
      <c r="I7" s="14" t="s">
        <v>118</v>
      </c>
      <c r="J7" s="14" t="s">
        <v>120</v>
      </c>
      <c r="K7" s="14" t="s">
        <v>3</v>
      </c>
      <c r="L7" s="14" t="s">
        <v>119</v>
      </c>
      <c r="M7" s="71"/>
    </row>
    <row r="8" spans="1:13" s="105" customFormat="1" ht="19.899999999999999" customHeight="1" x14ac:dyDescent="0.25">
      <c r="A8" s="102">
        <v>4</v>
      </c>
      <c r="B8" s="121" t="s">
        <v>319</v>
      </c>
      <c r="C8" s="39" t="s">
        <v>442</v>
      </c>
      <c r="D8" s="122" t="s">
        <v>88</v>
      </c>
      <c r="E8" s="121" t="s">
        <v>197</v>
      </c>
      <c r="F8" s="90">
        <v>50000</v>
      </c>
      <c r="G8" s="90">
        <f>F8*2.87%</f>
        <v>1435</v>
      </c>
      <c r="H8" s="90">
        <f>+F8*3.04%</f>
        <v>1520</v>
      </c>
      <c r="I8" s="90">
        <v>1854</v>
      </c>
      <c r="J8" s="86">
        <f>2690.26+25</f>
        <v>2715.26</v>
      </c>
      <c r="K8" s="120">
        <f>SUM(G8:J8)</f>
        <v>7524.26</v>
      </c>
      <c r="L8" s="86">
        <f>+F8-K8</f>
        <v>42475.74</v>
      </c>
    </row>
    <row r="9" spans="1:13" s="106" customFormat="1" ht="20.100000000000001" customHeight="1" x14ac:dyDescent="0.25">
      <c r="A9" s="102">
        <v>5</v>
      </c>
      <c r="B9" s="121" t="s">
        <v>435</v>
      </c>
      <c r="C9" s="39" t="s">
        <v>441</v>
      </c>
      <c r="D9" s="122" t="s">
        <v>451</v>
      </c>
      <c r="E9" s="121" t="s">
        <v>436</v>
      </c>
      <c r="F9" s="103">
        <v>44000</v>
      </c>
      <c r="G9" s="103">
        <f t="shared" ref="G9:G13" si="0">F9*2.87%</f>
        <v>1262.8</v>
      </c>
      <c r="H9" s="103">
        <f t="shared" ref="H9" si="1">+F9*3.04%</f>
        <v>1337.6</v>
      </c>
      <c r="I9" s="103">
        <v>1007.19</v>
      </c>
      <c r="J9" s="104">
        <v>25</v>
      </c>
      <c r="K9" s="119">
        <f>+G9+H9+J9+I9</f>
        <v>3632.5899999999997</v>
      </c>
      <c r="L9" s="104">
        <f t="shared" ref="L9:L13" si="2">+F9-K9</f>
        <v>40367.410000000003</v>
      </c>
    </row>
    <row r="10" spans="1:13" s="105" customFormat="1" ht="20.100000000000001" customHeight="1" x14ac:dyDescent="0.25">
      <c r="A10" s="102">
        <v>6</v>
      </c>
      <c r="B10" s="121" t="s">
        <v>346</v>
      </c>
      <c r="C10" s="39" t="s">
        <v>441</v>
      </c>
      <c r="D10" s="122" t="s">
        <v>341</v>
      </c>
      <c r="E10" s="121" t="s">
        <v>101</v>
      </c>
      <c r="F10" s="90">
        <v>28875</v>
      </c>
      <c r="G10" s="90">
        <f t="shared" ref="G10:G11" si="3">F10*2.87%</f>
        <v>828.71249999999998</v>
      </c>
      <c r="H10" s="90">
        <f t="shared" ref="H10:H11" si="4">+F10*3.04%</f>
        <v>877.8</v>
      </c>
      <c r="I10" s="90"/>
      <c r="J10" s="92">
        <v>6572.99</v>
      </c>
      <c r="K10" s="120">
        <f>G10+H10+I10+J10</f>
        <v>8279.5024999999987</v>
      </c>
      <c r="L10" s="92">
        <f t="shared" ref="L10:L11" si="5">+F10-K10</f>
        <v>20595.497500000001</v>
      </c>
    </row>
    <row r="11" spans="1:13" s="105" customFormat="1" ht="20.100000000000001" customHeight="1" x14ac:dyDescent="0.25">
      <c r="A11" s="102">
        <v>7</v>
      </c>
      <c r="B11" s="121" t="s">
        <v>350</v>
      </c>
      <c r="C11" s="39" t="s">
        <v>441</v>
      </c>
      <c r="D11" s="122" t="s">
        <v>341</v>
      </c>
      <c r="E11" s="121" t="s">
        <v>38</v>
      </c>
      <c r="F11" s="90">
        <v>26565</v>
      </c>
      <c r="G11" s="90">
        <f t="shared" si="3"/>
        <v>762.41549999999995</v>
      </c>
      <c r="H11" s="90">
        <f t="shared" si="4"/>
        <v>807.57600000000002</v>
      </c>
      <c r="I11" s="90"/>
      <c r="J11" s="92">
        <f>2660.76+8339.97+25</f>
        <v>11025.73</v>
      </c>
      <c r="K11" s="120">
        <f>SUM(G11:J11)</f>
        <v>12595.7215</v>
      </c>
      <c r="L11" s="92">
        <f t="shared" si="5"/>
        <v>13969.2785</v>
      </c>
    </row>
    <row r="12" spans="1:13" s="105" customFormat="1" ht="20.100000000000001" customHeight="1" x14ac:dyDescent="0.25">
      <c r="A12" s="102">
        <v>8</v>
      </c>
      <c r="B12" s="121" t="s">
        <v>81</v>
      </c>
      <c r="C12" s="39" t="s">
        <v>442</v>
      </c>
      <c r="D12" s="122" t="s">
        <v>437</v>
      </c>
      <c r="E12" s="121" t="s">
        <v>368</v>
      </c>
      <c r="F12" s="103">
        <v>20356.599999999999</v>
      </c>
      <c r="G12" s="103">
        <f t="shared" si="0"/>
        <v>584.23442</v>
      </c>
      <c r="H12" s="103">
        <f t="shared" ref="H12:H13" si="6">+F12*3.04%</f>
        <v>618.84064000000001</v>
      </c>
      <c r="I12" s="103"/>
      <c r="J12" s="104">
        <v>25</v>
      </c>
      <c r="K12" s="119">
        <f>+G12+H12+J12+I12</f>
        <v>1228.0750600000001</v>
      </c>
      <c r="L12" s="104">
        <f t="shared" si="2"/>
        <v>19128.524939999999</v>
      </c>
    </row>
    <row r="13" spans="1:13" s="105" customFormat="1" ht="20.100000000000001" customHeight="1" x14ac:dyDescent="0.25">
      <c r="A13" s="102">
        <f>+A12+1</f>
        <v>9</v>
      </c>
      <c r="B13" s="121" t="s">
        <v>661</v>
      </c>
      <c r="C13" s="39" t="s">
        <v>442</v>
      </c>
      <c r="D13" s="122" t="s">
        <v>662</v>
      </c>
      <c r="E13" s="121" t="s">
        <v>151</v>
      </c>
      <c r="F13" s="103">
        <v>93500</v>
      </c>
      <c r="G13" s="103">
        <f t="shared" si="0"/>
        <v>2683.45</v>
      </c>
      <c r="H13" s="103">
        <f t="shared" si="6"/>
        <v>2842.4</v>
      </c>
      <c r="I13" s="103">
        <v>10576.47</v>
      </c>
      <c r="J13" s="104">
        <v>25</v>
      </c>
      <c r="K13" s="119">
        <f>+G13+H13+J13+I13</f>
        <v>16127.32</v>
      </c>
      <c r="L13" s="104">
        <f t="shared" si="2"/>
        <v>77372.679999999993</v>
      </c>
    </row>
    <row r="14" spans="1:13" s="107" customFormat="1" ht="20.100000000000001" customHeight="1" x14ac:dyDescent="0.25">
      <c r="A14" s="72"/>
      <c r="B14" s="211" t="s">
        <v>431</v>
      </c>
      <c r="C14" s="74"/>
      <c r="D14" s="73"/>
      <c r="E14" s="74"/>
      <c r="F14" s="75">
        <f>SUM(F8:F13)</f>
        <v>263296.59999999998</v>
      </c>
      <c r="G14" s="75">
        <f t="shared" ref="G14:L14" si="7">SUM(G8:G13)</f>
        <v>7556.6124199999995</v>
      </c>
      <c r="H14" s="75">
        <f t="shared" si="7"/>
        <v>8004.2166400000006</v>
      </c>
      <c r="I14" s="75">
        <f t="shared" si="7"/>
        <v>13437.66</v>
      </c>
      <c r="J14" s="75">
        <f t="shared" si="7"/>
        <v>20388.98</v>
      </c>
      <c r="K14" s="75">
        <f t="shared" si="7"/>
        <v>49387.469060000003</v>
      </c>
      <c r="L14" s="75">
        <f t="shared" si="7"/>
        <v>213909.13093999997</v>
      </c>
      <c r="M14" s="223"/>
    </row>
    <row r="15" spans="1:13" ht="15.75" x14ac:dyDescent="0.25">
      <c r="D15" s="20"/>
      <c r="E15"/>
      <c r="F15" s="22"/>
    </row>
    <row r="16" spans="1:13" ht="15.75" x14ac:dyDescent="0.25">
      <c r="D16" s="20"/>
      <c r="E16"/>
      <c r="F16" s="22"/>
    </row>
    <row r="17" spans="2:8" ht="15.75" x14ac:dyDescent="0.25">
      <c r="B17" s="21"/>
      <c r="C17" s="157"/>
      <c r="D17" s="22"/>
      <c r="E17" s="21"/>
      <c r="F17"/>
      <c r="H17"/>
    </row>
    <row r="18" spans="2:8" ht="15.75" x14ac:dyDescent="0.25">
      <c r="B18" s="23" t="s">
        <v>207</v>
      </c>
      <c r="C18" s="158"/>
      <c r="D18" s="22"/>
      <c r="E18" s="23" t="s">
        <v>515</v>
      </c>
      <c r="F18" s="22"/>
      <c r="H18" s="23"/>
    </row>
    <row r="19" spans="2:8" ht="15.75" x14ac:dyDescent="0.25">
      <c r="B19" s="23" t="s">
        <v>516</v>
      </c>
      <c r="C19" s="158"/>
      <c r="D19" s="22"/>
      <c r="E19" s="23" t="s">
        <v>517</v>
      </c>
      <c r="F19" s="22"/>
      <c r="H19" s="23"/>
    </row>
    <row r="23" spans="2:8" hidden="1" x14ac:dyDescent="0.2"/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scale="53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B40F31-A8CA-4DE0-8774-263B7F41FE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bb6b0d22-0a16-4c1a-9b76-95dfb845d415"/>
    <ds:schemaRef ds:uri="http://schemas.microsoft.com/office/infopath/2007/PartnerControls"/>
    <ds:schemaRef ds:uri="http://schemas.openxmlformats.org/package/2006/metadata/core-properties"/>
    <ds:schemaRef ds:uri="d39205a1-5442-419a-b1e5-b39410ee3123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2023-02-03T13:10:29Z</cp:lastPrinted>
  <dcterms:created xsi:type="dcterms:W3CDTF">2019-01-11T19:06:47Z</dcterms:created>
  <dcterms:modified xsi:type="dcterms:W3CDTF">2023-03-03T19:14:30Z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