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3/ABRIL 2023-PORTAL - copia/"/>
    </mc:Choice>
  </mc:AlternateContent>
  <xr:revisionPtr revIDLastSave="8977" documentId="8_{22043E63-9978-4333-BF7E-9AAC7FE5390F}" xr6:coauthVersionLast="47" xr6:coauthVersionMax="47" xr10:uidLastSave="{7EAA0831-ECBE-4DEA-AF0E-22AA253A7825}"/>
  <bookViews>
    <workbookView xWindow="19090" yWindow="-110" windowWidth="19420" windowHeight="10300" tabRatio="599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'!$A$1:$P$404</definedName>
    <definedName name="_xlnm.Print_Area" localSheetId="1">'PERSONAL TEMPORAL'!$A$1:$R$244</definedName>
    <definedName name="_xlnm.Print_Area" localSheetId="2">'SUPLENCIA FIJOS'!$B$1:$L$136</definedName>
    <definedName name="_xlnm.Print_Area" localSheetId="3">'TRAMITE PENSION '!$A$1:$L$21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4" l="1"/>
  <c r="H126" i="16"/>
  <c r="I126" i="16"/>
  <c r="J126" i="16"/>
  <c r="K126" i="16"/>
  <c r="L126" i="16"/>
  <c r="G126" i="16"/>
  <c r="B70" i="16"/>
  <c r="K58" i="16"/>
  <c r="K10" i="16"/>
  <c r="J201" i="13"/>
  <c r="J158" i="13"/>
  <c r="P238" i="13"/>
  <c r="O238" i="13"/>
  <c r="K238" i="13"/>
  <c r="H238" i="13"/>
  <c r="J237" i="13"/>
  <c r="J238" i="13" s="1"/>
  <c r="I237" i="13"/>
  <c r="I238" i="13" s="1"/>
  <c r="O234" i="13"/>
  <c r="I228" i="13"/>
  <c r="J228" i="13"/>
  <c r="K229" i="13"/>
  <c r="O229" i="13"/>
  <c r="P229" i="13"/>
  <c r="H229" i="13"/>
  <c r="O219" i="13"/>
  <c r="O210" i="13"/>
  <c r="P210" i="13"/>
  <c r="J192" i="13"/>
  <c r="I192" i="13"/>
  <c r="K193" i="13"/>
  <c r="O193" i="13"/>
  <c r="P193" i="13"/>
  <c r="H193" i="13"/>
  <c r="O188" i="13"/>
  <c r="P188" i="13"/>
  <c r="O179" i="13"/>
  <c r="P179" i="13"/>
  <c r="J173" i="13"/>
  <c r="O170" i="13"/>
  <c r="P170" i="13"/>
  <c r="O165" i="13"/>
  <c r="P165" i="13"/>
  <c r="O155" i="13"/>
  <c r="P155" i="13"/>
  <c r="O146" i="13"/>
  <c r="O137" i="13"/>
  <c r="K137" i="13"/>
  <c r="H137" i="13"/>
  <c r="P137" i="13"/>
  <c r="J136" i="13"/>
  <c r="J137" i="13" s="1"/>
  <c r="I136" i="13"/>
  <c r="I137" i="13" s="1"/>
  <c r="O142" i="13"/>
  <c r="J131" i="13"/>
  <c r="O133" i="13"/>
  <c r="P133" i="13"/>
  <c r="K128" i="13"/>
  <c r="O128" i="13"/>
  <c r="P128" i="13"/>
  <c r="J126" i="13"/>
  <c r="J127" i="13"/>
  <c r="I126" i="13"/>
  <c r="I127" i="13"/>
  <c r="H128" i="13"/>
  <c r="J124" i="13"/>
  <c r="O116" i="13"/>
  <c r="P116" i="13"/>
  <c r="O111" i="13"/>
  <c r="P111" i="13"/>
  <c r="J100" i="13"/>
  <c r="P96" i="13"/>
  <c r="O96" i="13"/>
  <c r="K96" i="13"/>
  <c r="H96" i="13"/>
  <c r="J95" i="13"/>
  <c r="I95" i="13"/>
  <c r="O92" i="13"/>
  <c r="P92" i="13"/>
  <c r="O87" i="13"/>
  <c r="P87" i="13"/>
  <c r="O84" i="13"/>
  <c r="P84" i="13"/>
  <c r="O75" i="13"/>
  <c r="P75" i="13"/>
  <c r="O70" i="13"/>
  <c r="P70" i="13"/>
  <c r="O64" i="13"/>
  <c r="O58" i="13"/>
  <c r="O54" i="13"/>
  <c r="P54" i="13"/>
  <c r="O49" i="13"/>
  <c r="P49" i="13"/>
  <c r="O44" i="13"/>
  <c r="P44" i="13"/>
  <c r="O40" i="13"/>
  <c r="O35" i="13"/>
  <c r="J21" i="13"/>
  <c r="O24" i="13"/>
  <c r="J17" i="13"/>
  <c r="O18" i="13"/>
  <c r="P18" i="13"/>
  <c r="O12" i="13"/>
  <c r="P12" i="13"/>
  <c r="O26" i="4"/>
  <c r="H25" i="4"/>
  <c r="N32" i="4"/>
  <c r="N396" i="4" s="1"/>
  <c r="O32" i="4"/>
  <c r="H203" i="4"/>
  <c r="G396" i="4"/>
  <c r="I396" i="4"/>
  <c r="M396" i="4"/>
  <c r="F396" i="4"/>
  <c r="O393" i="4"/>
  <c r="P393" i="4" s="1"/>
  <c r="P394" i="4" s="1"/>
  <c r="G394" i="4"/>
  <c r="H394" i="4"/>
  <c r="I394" i="4"/>
  <c r="J394" i="4"/>
  <c r="K394" i="4"/>
  <c r="L394" i="4"/>
  <c r="M394" i="4"/>
  <c r="N394" i="4"/>
  <c r="O394" i="4"/>
  <c r="F394" i="4"/>
  <c r="G393" i="4"/>
  <c r="J393" i="4" s="1"/>
  <c r="H393" i="4"/>
  <c r="A393" i="4"/>
  <c r="I359" i="4"/>
  <c r="M359" i="4"/>
  <c r="N359" i="4"/>
  <c r="F359" i="4"/>
  <c r="M355" i="4"/>
  <c r="N355" i="4"/>
  <c r="M351" i="4"/>
  <c r="M347" i="4"/>
  <c r="M342" i="4"/>
  <c r="I338" i="4"/>
  <c r="M338" i="4"/>
  <c r="F338" i="4"/>
  <c r="G337" i="4"/>
  <c r="J337" i="4" s="1"/>
  <c r="H337" i="4"/>
  <c r="L305" i="4"/>
  <c r="L306" i="4"/>
  <c r="L307" i="4"/>
  <c r="L308" i="4"/>
  <c r="L309" i="4"/>
  <c r="G305" i="4"/>
  <c r="H305" i="4"/>
  <c r="G306" i="4"/>
  <c r="H306" i="4"/>
  <c r="G307" i="4"/>
  <c r="H307" i="4"/>
  <c r="G308" i="4"/>
  <c r="J308" i="4" s="1"/>
  <c r="H308" i="4"/>
  <c r="G309" i="4"/>
  <c r="H309" i="4"/>
  <c r="I310" i="4"/>
  <c r="M310" i="4"/>
  <c r="F310" i="4"/>
  <c r="G304" i="4"/>
  <c r="H304" i="4"/>
  <c r="M276" i="4"/>
  <c r="N276" i="4"/>
  <c r="M271" i="4"/>
  <c r="N271" i="4"/>
  <c r="I271" i="4"/>
  <c r="F271" i="4"/>
  <c r="H270" i="4"/>
  <c r="G270" i="4"/>
  <c r="G271" i="4" s="1"/>
  <c r="M267" i="4"/>
  <c r="N267" i="4"/>
  <c r="M261" i="4"/>
  <c r="O240" i="13" l="1"/>
  <c r="L237" i="13"/>
  <c r="L238" i="13" s="1"/>
  <c r="L228" i="13"/>
  <c r="M228" i="13" s="1"/>
  <c r="L192" i="13"/>
  <c r="L126" i="13"/>
  <c r="M126" i="13" s="1"/>
  <c r="N126" i="13" s="1"/>
  <c r="Q126" i="13" s="1"/>
  <c r="R126" i="13" s="1"/>
  <c r="L136" i="13"/>
  <c r="L127" i="13"/>
  <c r="M127" i="13" s="1"/>
  <c r="N127" i="13" s="1"/>
  <c r="Q127" i="13" s="1"/>
  <c r="R127" i="13" s="1"/>
  <c r="L95" i="13"/>
  <c r="M95" i="13" s="1"/>
  <c r="I96" i="13"/>
  <c r="J96" i="13"/>
  <c r="K393" i="4"/>
  <c r="O309" i="4"/>
  <c r="P309" i="4" s="1"/>
  <c r="O307" i="4"/>
  <c r="P307" i="4" s="1"/>
  <c r="J307" i="4"/>
  <c r="O306" i="4"/>
  <c r="P306" i="4" s="1"/>
  <c r="J306" i="4"/>
  <c r="J309" i="4"/>
  <c r="O308" i="4"/>
  <c r="P308" i="4" s="1"/>
  <c r="K337" i="4"/>
  <c r="J304" i="4"/>
  <c r="K304" i="4" s="1"/>
  <c r="O305" i="4"/>
  <c r="P305" i="4" s="1"/>
  <c r="J305" i="4"/>
  <c r="H271" i="4"/>
  <c r="J270" i="4"/>
  <c r="M256" i="4"/>
  <c r="M247" i="4"/>
  <c r="M242" i="4"/>
  <c r="M235" i="4"/>
  <c r="N235" i="4"/>
  <c r="M227" i="4"/>
  <c r="N227" i="4"/>
  <c r="M222" i="4"/>
  <c r="M209" i="4"/>
  <c r="M196" i="4"/>
  <c r="N187" i="4"/>
  <c r="M187" i="4"/>
  <c r="H177" i="4"/>
  <c r="M179" i="4"/>
  <c r="M175" i="4"/>
  <c r="N175" i="4"/>
  <c r="M171" i="4"/>
  <c r="M165" i="4"/>
  <c r="M158" i="4"/>
  <c r="N158" i="4"/>
  <c r="M153" i="4"/>
  <c r="M140" i="4"/>
  <c r="M131" i="4"/>
  <c r="M125" i="4"/>
  <c r="M118" i="4"/>
  <c r="M113" i="4"/>
  <c r="H103" i="4"/>
  <c r="M105" i="4"/>
  <c r="M97" i="4"/>
  <c r="M90" i="4"/>
  <c r="N90" i="4"/>
  <c r="M84" i="4"/>
  <c r="M78" i="4"/>
  <c r="M74" i="4"/>
  <c r="N74" i="4"/>
  <c r="M65" i="4"/>
  <c r="M59" i="4"/>
  <c r="N59" i="4"/>
  <c r="M51" i="4"/>
  <c r="N51" i="4"/>
  <c r="M46" i="4"/>
  <c r="M32" i="4"/>
  <c r="M39" i="4"/>
  <c r="H21" i="4"/>
  <c r="H8" i="4"/>
  <c r="A21" i="4"/>
  <c r="I18" i="4"/>
  <c r="M18" i="4"/>
  <c r="N18" i="4"/>
  <c r="F18" i="4"/>
  <c r="G17" i="4"/>
  <c r="H17" i="4"/>
  <c r="M237" i="13" l="1"/>
  <c r="M238" i="13" s="1"/>
  <c r="N228" i="13"/>
  <c r="M192" i="13"/>
  <c r="N192" i="13" s="1"/>
  <c r="Q192" i="13" s="1"/>
  <c r="R192" i="13" s="1"/>
  <c r="M136" i="13"/>
  <c r="L137" i="13"/>
  <c r="L96" i="13"/>
  <c r="N95" i="13"/>
  <c r="M96" i="13"/>
  <c r="L393" i="4"/>
  <c r="L337" i="4"/>
  <c r="O337" i="4" s="1"/>
  <c r="L304" i="4"/>
  <c r="J271" i="4"/>
  <c r="K270" i="4"/>
  <c r="L270" i="4" s="1"/>
  <c r="O270" i="4" s="1"/>
  <c r="J17" i="4"/>
  <c r="K17" i="4" s="1"/>
  <c r="L17" i="4" s="1"/>
  <c r="O17" i="4" s="1"/>
  <c r="P17" i="4" s="1"/>
  <c r="N237" i="13" l="1"/>
  <c r="Q237" i="13" s="1"/>
  <c r="Q228" i="13"/>
  <c r="R228" i="13" s="1"/>
  <c r="N136" i="13"/>
  <c r="M137" i="13"/>
  <c r="N96" i="13"/>
  <c r="Q95" i="13"/>
  <c r="P337" i="4"/>
  <c r="O304" i="4"/>
  <c r="P304" i="4" s="1"/>
  <c r="K271" i="4"/>
  <c r="N238" i="13" l="1"/>
  <c r="Q238" i="13"/>
  <c r="R237" i="13"/>
  <c r="R238" i="13" s="1"/>
  <c r="N137" i="13"/>
  <c r="Q136" i="13"/>
  <c r="Q96" i="13"/>
  <c r="R95" i="13"/>
  <c r="R96" i="13" s="1"/>
  <c r="L271" i="4"/>
  <c r="Q137" i="13" l="1"/>
  <c r="R136" i="13"/>
  <c r="R137" i="13" s="1"/>
  <c r="O271" i="4"/>
  <c r="P270" i="4"/>
  <c r="P271" i="4" s="1"/>
  <c r="K101" i="16" l="1"/>
  <c r="K22" i="16"/>
  <c r="J11" i="14"/>
  <c r="K234" i="13"/>
  <c r="P234" i="13"/>
  <c r="K223" i="13"/>
  <c r="P223" i="13"/>
  <c r="K219" i="13"/>
  <c r="P219" i="13"/>
  <c r="K215" i="13"/>
  <c r="P215" i="13"/>
  <c r="K210" i="13"/>
  <c r="K206" i="13"/>
  <c r="P206" i="13"/>
  <c r="J202" i="13"/>
  <c r="K202" i="13"/>
  <c r="P202" i="13"/>
  <c r="K198" i="13"/>
  <c r="P198" i="13"/>
  <c r="K188" i="13"/>
  <c r="K179" i="13"/>
  <c r="J174" i="13"/>
  <c r="K174" i="13"/>
  <c r="P174" i="13"/>
  <c r="K170" i="13"/>
  <c r="K165" i="13"/>
  <c r="J159" i="13"/>
  <c r="K159" i="13"/>
  <c r="P159" i="13"/>
  <c r="K155" i="13"/>
  <c r="K146" i="13"/>
  <c r="P146" i="13"/>
  <c r="P141" i="13"/>
  <c r="P142" i="13" s="1"/>
  <c r="K142" i="13"/>
  <c r="K133" i="13"/>
  <c r="K121" i="13"/>
  <c r="P121" i="13"/>
  <c r="K116" i="13"/>
  <c r="K111" i="13"/>
  <c r="K107" i="13"/>
  <c r="P107" i="13"/>
  <c r="K103" i="13"/>
  <c r="P103" i="13"/>
  <c r="K92" i="13"/>
  <c r="K87" i="13"/>
  <c r="K84" i="13"/>
  <c r="K79" i="13"/>
  <c r="I75" i="13"/>
  <c r="J75" i="13"/>
  <c r="K70" i="13"/>
  <c r="K64" i="13"/>
  <c r="K58" i="13"/>
  <c r="K54" i="13"/>
  <c r="K49" i="13"/>
  <c r="K44" i="13"/>
  <c r="K40" i="13"/>
  <c r="P40" i="13"/>
  <c r="K35" i="13"/>
  <c r="K28" i="13"/>
  <c r="P28" i="13"/>
  <c r="K24" i="13"/>
  <c r="K18" i="13"/>
  <c r="Q13" i="13"/>
  <c r="K12" i="13"/>
  <c r="L17" i="13"/>
  <c r="M17" i="13" s="1"/>
  <c r="G374" i="4"/>
  <c r="H374" i="4"/>
  <c r="I370" i="4"/>
  <c r="N370" i="4"/>
  <c r="I365" i="4"/>
  <c r="N365" i="4"/>
  <c r="I355" i="4"/>
  <c r="I351" i="4"/>
  <c r="N351" i="4"/>
  <c r="I347" i="4"/>
  <c r="N347" i="4"/>
  <c r="I342" i="4"/>
  <c r="N342" i="4"/>
  <c r="I318" i="4"/>
  <c r="N318" i="4"/>
  <c r="I276" i="4"/>
  <c r="I267" i="4"/>
  <c r="I261" i="4"/>
  <c r="N261" i="4"/>
  <c r="I256" i="4"/>
  <c r="I251" i="4"/>
  <c r="N251" i="4"/>
  <c r="I247" i="4"/>
  <c r="I242" i="4"/>
  <c r="N242" i="4"/>
  <c r="I235" i="4"/>
  <c r="I231" i="4"/>
  <c r="N231" i="4"/>
  <c r="I227" i="4"/>
  <c r="I222" i="4"/>
  <c r="N222" i="4"/>
  <c r="G217" i="4"/>
  <c r="H217" i="4"/>
  <c r="I217" i="4"/>
  <c r="N217" i="4"/>
  <c r="I213" i="4"/>
  <c r="N213" i="4"/>
  <c r="I209" i="4"/>
  <c r="I204" i="4"/>
  <c r="N204" i="4"/>
  <c r="I200" i="4"/>
  <c r="N200" i="4"/>
  <c r="I196" i="4"/>
  <c r="I187" i="4"/>
  <c r="I175" i="4"/>
  <c r="I179" i="4"/>
  <c r="N179" i="4"/>
  <c r="I171" i="4"/>
  <c r="N171" i="4"/>
  <c r="I165" i="4"/>
  <c r="N165" i="4"/>
  <c r="I158" i="4"/>
  <c r="I153" i="4"/>
  <c r="N153" i="4"/>
  <c r="I145" i="4"/>
  <c r="N145" i="4"/>
  <c r="I140" i="4"/>
  <c r="N140" i="4"/>
  <c r="I131" i="4"/>
  <c r="I125" i="4"/>
  <c r="N125" i="4"/>
  <c r="I118" i="4"/>
  <c r="N118" i="4"/>
  <c r="I113" i="4"/>
  <c r="N113" i="4"/>
  <c r="I105" i="4"/>
  <c r="N105" i="4"/>
  <c r="I101" i="4"/>
  <c r="N101" i="4"/>
  <c r="I97" i="4"/>
  <c r="I90" i="4"/>
  <c r="I84" i="4"/>
  <c r="N84" i="4"/>
  <c r="I78" i="4"/>
  <c r="I74" i="4"/>
  <c r="I65" i="4"/>
  <c r="I59" i="4"/>
  <c r="I51" i="4"/>
  <c r="I46" i="4"/>
  <c r="I39" i="4"/>
  <c r="I32" i="4"/>
  <c r="I22" i="4"/>
  <c r="J33" i="4"/>
  <c r="K33" i="4" s="1"/>
  <c r="L33" i="4" s="1"/>
  <c r="O33" i="4" s="1"/>
  <c r="J41" i="4"/>
  <c r="K41" i="4" s="1"/>
  <c r="L41" i="4" s="1"/>
  <c r="J49" i="4"/>
  <c r="J94" i="4"/>
  <c r="K94" i="4" s="1"/>
  <c r="J103" i="4"/>
  <c r="K103" i="4" s="1"/>
  <c r="L103" i="4" s="1"/>
  <c r="J130" i="4"/>
  <c r="K130" i="4" s="1"/>
  <c r="L130" i="4" s="1"/>
  <c r="J148" i="4"/>
  <c r="K148" i="4" s="1"/>
  <c r="J156" i="4"/>
  <c r="K156" i="4" s="1"/>
  <c r="J177" i="4"/>
  <c r="K177" i="4" s="1"/>
  <c r="J216" i="4"/>
  <c r="K216" i="4" s="1"/>
  <c r="L216" i="4" s="1"/>
  <c r="O216" i="4" s="1"/>
  <c r="O217" i="4" s="1"/>
  <c r="J226" i="4"/>
  <c r="K226" i="4" s="1"/>
  <c r="O1000244" i="4"/>
  <c r="N38" i="4"/>
  <c r="K240" i="13" l="1"/>
  <c r="N17" i="13"/>
  <c r="Q17" i="13" s="1"/>
  <c r="L75" i="13"/>
  <c r="M75" i="13" s="1"/>
  <c r="L226" i="4"/>
  <c r="O226" i="4" s="1"/>
  <c r="L177" i="4"/>
  <c r="O177" i="4" s="1"/>
  <c r="L156" i="4"/>
  <c r="O156" i="4" s="1"/>
  <c r="L148" i="4"/>
  <c r="O148" i="4" s="1"/>
  <c r="L94" i="4"/>
  <c r="O94" i="4" s="1"/>
  <c r="J374" i="4"/>
  <c r="K374" i="4" s="1"/>
  <c r="L217" i="4"/>
  <c r="K217" i="4"/>
  <c r="J217" i="4"/>
  <c r="N39" i="4"/>
  <c r="K49" i="4"/>
  <c r="L374" i="4" l="1"/>
  <c r="O374" i="4" s="1"/>
  <c r="P374" i="4" s="1"/>
  <c r="O103" i="4"/>
  <c r="L49" i="4"/>
  <c r="O41" i="4"/>
  <c r="O49" i="4" l="1"/>
  <c r="H202" i="13" l="1"/>
  <c r="I201" i="13"/>
  <c r="N375" i="4"/>
  <c r="L201" i="13" l="1"/>
  <c r="I202" i="13"/>
  <c r="N336" i="4"/>
  <c r="N338" i="4" s="1"/>
  <c r="N290" i="4"/>
  <c r="H275" i="4"/>
  <c r="N195" i="4"/>
  <c r="N196" i="4" s="1"/>
  <c r="M201" i="13" l="1"/>
  <c r="L202" i="13"/>
  <c r="O130" i="4"/>
  <c r="N201" i="13" l="1"/>
  <c r="M202" i="13"/>
  <c r="J14" i="14"/>
  <c r="G14" i="14"/>
  <c r="H14" i="14"/>
  <c r="I14" i="14"/>
  <c r="F14" i="14"/>
  <c r="L13" i="14"/>
  <c r="K13" i="14"/>
  <c r="G13" i="14"/>
  <c r="H13" i="14"/>
  <c r="A13" i="14"/>
  <c r="K109" i="16"/>
  <c r="P57" i="13"/>
  <c r="P58" i="13" s="1"/>
  <c r="P32" i="13"/>
  <c r="H18" i="13"/>
  <c r="R17" i="13"/>
  <c r="A15" i="13"/>
  <c r="A16" i="13" s="1"/>
  <c r="A17" i="13" s="1"/>
  <c r="A21" i="13" s="1"/>
  <c r="Q201" i="13" l="1"/>
  <c r="N202" i="13"/>
  <c r="N390" i="4"/>
  <c r="N207" i="4"/>
  <c r="N209" i="4" s="1"/>
  <c r="N95" i="4"/>
  <c r="N97" i="4" s="1"/>
  <c r="N42" i="4"/>
  <c r="F84" i="4"/>
  <c r="H82" i="4"/>
  <c r="G82" i="4"/>
  <c r="A15" i="4"/>
  <c r="A16" i="4" s="1"/>
  <c r="Q202" i="13" l="1"/>
  <c r="R201" i="13"/>
  <c r="R202" i="13" s="1"/>
  <c r="J82" i="4"/>
  <c r="K82" i="4" s="1"/>
  <c r="N46" i="4"/>
  <c r="N78" i="4"/>
  <c r="P78" i="13"/>
  <c r="P79" i="13" s="1"/>
  <c r="H35" i="13"/>
  <c r="H215" i="13"/>
  <c r="L82" i="4" l="1"/>
  <c r="O82" i="4" s="1"/>
  <c r="P82" i="4" s="1"/>
  <c r="N283" i="4"/>
  <c r="N310" i="4" s="1"/>
  <c r="N245" i="4"/>
  <c r="N247" i="4" s="1"/>
  <c r="N127" i="4"/>
  <c r="N131" i="4" s="1"/>
  <c r="F171" i="4"/>
  <c r="G170" i="4"/>
  <c r="H170" i="4"/>
  <c r="F118" i="4"/>
  <c r="H117" i="4"/>
  <c r="G117" i="4"/>
  <c r="F158" i="4"/>
  <c r="H157" i="4"/>
  <c r="H158" i="4" s="1"/>
  <c r="G157" i="4"/>
  <c r="F204" i="4"/>
  <c r="G303" i="4"/>
  <c r="H303" i="4"/>
  <c r="G15" i="4"/>
  <c r="H15" i="4"/>
  <c r="J117" i="4" l="1"/>
  <c r="K117" i="4" s="1"/>
  <c r="J170" i="4"/>
  <c r="K170" i="4" s="1"/>
  <c r="J157" i="4"/>
  <c r="J303" i="4"/>
  <c r="K303" i="4" s="1"/>
  <c r="L303" i="4" s="1"/>
  <c r="J15" i="4"/>
  <c r="K15" i="4" s="1"/>
  <c r="G158" i="4"/>
  <c r="O303" i="4" l="1"/>
  <c r="P303" i="4" s="1"/>
  <c r="L170" i="4"/>
  <c r="O170" i="4" s="1"/>
  <c r="P170" i="4" s="1"/>
  <c r="L117" i="4"/>
  <c r="O117" i="4" s="1"/>
  <c r="P117" i="4" s="1"/>
  <c r="L15" i="4"/>
  <c r="O15" i="4" s="1"/>
  <c r="P15" i="4" s="1"/>
  <c r="K157" i="4"/>
  <c r="L157" i="4" s="1"/>
  <c r="J158" i="4"/>
  <c r="K158" i="4" l="1"/>
  <c r="G124" i="16"/>
  <c r="G115" i="16"/>
  <c r="G82" i="16"/>
  <c r="G77" i="16"/>
  <c r="G72" i="16"/>
  <c r="F179" i="4"/>
  <c r="F26" i="4"/>
  <c r="F32" i="4"/>
  <c r="F39" i="4"/>
  <c r="F97" i="4"/>
  <c r="F267" i="4"/>
  <c r="F370" i="4"/>
  <c r="B10" i="16"/>
  <c r="H82" i="16"/>
  <c r="I82" i="16"/>
  <c r="J82" i="16"/>
  <c r="K81" i="16"/>
  <c r="L81" i="16" s="1"/>
  <c r="H77" i="16"/>
  <c r="I77" i="16"/>
  <c r="J77" i="16"/>
  <c r="K76" i="16"/>
  <c r="L76" i="16" s="1"/>
  <c r="J119" i="16"/>
  <c r="I119" i="16"/>
  <c r="H119" i="16"/>
  <c r="G119" i="16"/>
  <c r="K118" i="16"/>
  <c r="L118" i="16" s="1"/>
  <c r="L119" i="16" s="1"/>
  <c r="H124" i="16"/>
  <c r="I124" i="16"/>
  <c r="J124" i="16"/>
  <c r="K123" i="16"/>
  <c r="L123" i="16" s="1"/>
  <c r="K122" i="16"/>
  <c r="O157" i="4" l="1"/>
  <c r="O158" i="4" s="1"/>
  <c r="L158" i="4"/>
  <c r="K124" i="16"/>
  <c r="K119" i="16"/>
  <c r="J90" i="16" l="1"/>
  <c r="I90" i="16"/>
  <c r="H90" i="16"/>
  <c r="G90" i="16"/>
  <c r="K89" i="16"/>
  <c r="K90" i="16" s="1"/>
  <c r="P34" i="13"/>
  <c r="P35" i="13" s="1"/>
  <c r="L89" i="16" l="1"/>
  <c r="L90" i="16" s="1"/>
  <c r="I21" i="13" l="1"/>
  <c r="H24" i="13"/>
  <c r="J16" i="13"/>
  <c r="I16" i="13"/>
  <c r="A22" i="13"/>
  <c r="J11" i="13"/>
  <c r="I11" i="13"/>
  <c r="H12" i="13"/>
  <c r="N255" i="4"/>
  <c r="N256" i="4" s="1"/>
  <c r="F187" i="4"/>
  <c r="L21" i="13" l="1"/>
  <c r="M21" i="13" s="1"/>
  <c r="N21" i="13" s="1"/>
  <c r="L16" i="13"/>
  <c r="M16" i="13" s="1"/>
  <c r="L11" i="13"/>
  <c r="M11" i="13" s="1"/>
  <c r="N11" i="13" l="1"/>
  <c r="Q11" i="13" s="1"/>
  <c r="R11" i="13" s="1"/>
  <c r="N16" i="13"/>
  <c r="Q16" i="13" s="1"/>
  <c r="R16" i="13" s="1"/>
  <c r="N64" i="4"/>
  <c r="F196" i="4"/>
  <c r="G195" i="4"/>
  <c r="H195" i="4"/>
  <c r="Q21" i="13" l="1"/>
  <c r="J195" i="4"/>
  <c r="K195" i="4" s="1"/>
  <c r="N65" i="4"/>
  <c r="L195" i="4" l="1"/>
  <c r="O195" i="4" s="1"/>
  <c r="P195" i="4" s="1"/>
  <c r="H87" i="13"/>
  <c r="J86" i="13"/>
  <c r="J87" i="13" s="1"/>
  <c r="I86" i="13"/>
  <c r="I87" i="13" s="1"/>
  <c r="H179" i="13"/>
  <c r="I178" i="13"/>
  <c r="J178" i="13"/>
  <c r="I164" i="13"/>
  <c r="J164" i="13"/>
  <c r="H165" i="13"/>
  <c r="H103" i="13"/>
  <c r="I102" i="13"/>
  <c r="J102" i="13"/>
  <c r="P62" i="13"/>
  <c r="P64" i="13" s="1"/>
  <c r="P23" i="13"/>
  <c r="P24" i="13" s="1"/>
  <c r="P240" i="13" s="1"/>
  <c r="L178" i="13" l="1"/>
  <c r="M178" i="13" s="1"/>
  <c r="L102" i="13"/>
  <c r="M102" i="13" s="1"/>
  <c r="L164" i="13"/>
  <c r="M164" i="13" s="1"/>
  <c r="L86" i="13"/>
  <c r="N178" i="13" l="1"/>
  <c r="Q178" i="13" s="1"/>
  <c r="R178" i="13" s="1"/>
  <c r="N164" i="13"/>
  <c r="Q164" i="13" s="1"/>
  <c r="R164" i="13" s="1"/>
  <c r="N102" i="13"/>
  <c r="Q102" i="13" s="1"/>
  <c r="R102" i="13" s="1"/>
  <c r="M86" i="13"/>
  <c r="N86" i="13" s="1"/>
  <c r="L87" i="13"/>
  <c r="M87" i="13" l="1"/>
  <c r="K105" i="16"/>
  <c r="K106" i="16" s="1"/>
  <c r="Q86" i="13" l="1"/>
  <c r="N87" i="13"/>
  <c r="L105" i="16"/>
  <c r="L106" i="16" s="1"/>
  <c r="Q87" i="13" l="1"/>
  <c r="R86" i="13"/>
  <c r="R87" i="13" s="1"/>
  <c r="J214" i="13"/>
  <c r="I214" i="13"/>
  <c r="J23" i="13"/>
  <c r="I23" i="13"/>
  <c r="J10" i="13"/>
  <c r="I10" i="13"/>
  <c r="I9" i="13"/>
  <c r="I12" i="13" l="1"/>
  <c r="L10" i="13"/>
  <c r="M10" i="13" s="1"/>
  <c r="N10" i="13" s="1"/>
  <c r="L23" i="13"/>
  <c r="M23" i="13" s="1"/>
  <c r="L214" i="13"/>
  <c r="M214" i="13" s="1"/>
  <c r="N214" i="13" s="1"/>
  <c r="Q214" i="13" s="1"/>
  <c r="R214" i="13" s="1"/>
  <c r="N23" i="13" l="1"/>
  <c r="Q23" i="13" s="1"/>
  <c r="R23" i="13" s="1"/>
  <c r="Q10" i="13"/>
  <c r="G336" i="4"/>
  <c r="H336" i="4"/>
  <c r="R10" i="13" l="1"/>
  <c r="J336" i="4"/>
  <c r="K336" i="4" s="1"/>
  <c r="H182" i="4"/>
  <c r="G182" i="4"/>
  <c r="F113" i="4"/>
  <c r="H110" i="4"/>
  <c r="G110" i="4"/>
  <c r="H83" i="4"/>
  <c r="G83" i="4"/>
  <c r="F59" i="4"/>
  <c r="H58" i="4"/>
  <c r="G58" i="4"/>
  <c r="G62" i="4"/>
  <c r="H62" i="4"/>
  <c r="G63" i="4"/>
  <c r="H63" i="4"/>
  <c r="F46" i="4"/>
  <c r="P41" i="4"/>
  <c r="P94" i="4"/>
  <c r="L336" i="4" l="1"/>
  <c r="O336" i="4" s="1"/>
  <c r="P336" i="4" s="1"/>
  <c r="J58" i="4"/>
  <c r="K58" i="4" s="1"/>
  <c r="J182" i="4"/>
  <c r="K182" i="4" s="1"/>
  <c r="J83" i="4"/>
  <c r="K83" i="4" s="1"/>
  <c r="J62" i="4"/>
  <c r="K62" i="4" s="1"/>
  <c r="L62" i="4" s="1"/>
  <c r="J63" i="4"/>
  <c r="K63" i="4" s="1"/>
  <c r="J110" i="4"/>
  <c r="K110" i="4" s="1"/>
  <c r="L182" i="4" l="1"/>
  <c r="O182" i="4" s="1"/>
  <c r="P182" i="4" s="1"/>
  <c r="L110" i="4"/>
  <c r="O110" i="4" s="1"/>
  <c r="P110" i="4" s="1"/>
  <c r="L63" i="4"/>
  <c r="O63" i="4" s="1"/>
  <c r="P63" i="4" s="1"/>
  <c r="L83" i="4"/>
  <c r="O83" i="4" s="1"/>
  <c r="P83" i="4" s="1"/>
  <c r="L58" i="4"/>
  <c r="O58" i="4" s="1"/>
  <c r="P58" i="4" s="1"/>
  <c r="H70" i="13"/>
  <c r="J67" i="13"/>
  <c r="I67" i="13"/>
  <c r="J31" i="13"/>
  <c r="I31" i="13"/>
  <c r="J110" i="16"/>
  <c r="I110" i="16"/>
  <c r="H110" i="16"/>
  <c r="G110" i="16"/>
  <c r="K110" i="16"/>
  <c r="L31" i="13" l="1"/>
  <c r="L67" i="13"/>
  <c r="O62" i="4"/>
  <c r="L109" i="16"/>
  <c r="L110" i="16" s="1"/>
  <c r="K75" i="16"/>
  <c r="K77" i="16" s="1"/>
  <c r="J59" i="16"/>
  <c r="I59" i="16"/>
  <c r="H59" i="16"/>
  <c r="G59" i="16"/>
  <c r="K59" i="16"/>
  <c r="K62" i="16"/>
  <c r="L62" i="16" s="1"/>
  <c r="L63" i="16" s="1"/>
  <c r="G63" i="16"/>
  <c r="H63" i="16"/>
  <c r="I63" i="16"/>
  <c r="J63" i="16"/>
  <c r="K66" i="16"/>
  <c r="K67" i="16" s="1"/>
  <c r="G67" i="16"/>
  <c r="H67" i="16"/>
  <c r="I67" i="16"/>
  <c r="J67" i="16"/>
  <c r="F90" i="4"/>
  <c r="H184" i="4"/>
  <c r="G184" i="4"/>
  <c r="H183" i="4"/>
  <c r="G183" i="4"/>
  <c r="F140" i="4"/>
  <c r="H134" i="4"/>
  <c r="G134" i="4"/>
  <c r="H89" i="4"/>
  <c r="G89" i="4"/>
  <c r="H38" i="4"/>
  <c r="G38" i="4"/>
  <c r="M67" i="13" l="1"/>
  <c r="N67" i="13" s="1"/>
  <c r="J38" i="4"/>
  <c r="K38" i="4" s="1"/>
  <c r="L38" i="4" s="1"/>
  <c r="O38" i="4" s="1"/>
  <c r="P38" i="4" s="1"/>
  <c r="J184" i="4"/>
  <c r="K184" i="4" s="1"/>
  <c r="M31" i="13"/>
  <c r="N31" i="13" s="1"/>
  <c r="J134" i="4"/>
  <c r="K134" i="4" s="1"/>
  <c r="L134" i="4" s="1"/>
  <c r="J89" i="4"/>
  <c r="K89" i="4" s="1"/>
  <c r="J183" i="4"/>
  <c r="P62" i="4"/>
  <c r="L66" i="16"/>
  <c r="L67" i="16" s="1"/>
  <c r="L75" i="16"/>
  <c r="L77" i="16" s="1"/>
  <c r="K63" i="16"/>
  <c r="L58" i="16"/>
  <c r="L59" i="16" s="1"/>
  <c r="L184" i="4" l="1"/>
  <c r="O184" i="4" s="1"/>
  <c r="P184" i="4" s="1"/>
  <c r="L89" i="4"/>
  <c r="O89" i="4" s="1"/>
  <c r="P89" i="4" s="1"/>
  <c r="K183" i="4"/>
  <c r="L183" i="4" s="1"/>
  <c r="Q67" i="13" l="1"/>
  <c r="Q31" i="13"/>
  <c r="R31" i="13" s="1"/>
  <c r="O134" i="4"/>
  <c r="H133" i="13"/>
  <c r="J132" i="13"/>
  <c r="J133" i="13" s="1"/>
  <c r="I132" i="13"/>
  <c r="I131" i="13"/>
  <c r="F165" i="4"/>
  <c r="L131" i="13" l="1"/>
  <c r="I133" i="13"/>
  <c r="R67" i="13"/>
  <c r="L132" i="13"/>
  <c r="M132" i="13" s="1"/>
  <c r="O183" i="4"/>
  <c r="P134" i="4"/>
  <c r="N132" i="13" l="1"/>
  <c r="Q132" i="13" s="1"/>
  <c r="R132" i="13" s="1"/>
  <c r="M131" i="13"/>
  <c r="N131" i="13" s="1"/>
  <c r="L133" i="13"/>
  <c r="P183" i="4"/>
  <c r="F318" i="4"/>
  <c r="G317" i="4"/>
  <c r="H317" i="4"/>
  <c r="M133" i="13" l="1"/>
  <c r="J317" i="4"/>
  <c r="K317" i="4" s="1"/>
  <c r="L317" i="4" s="1"/>
  <c r="O317" i="4" s="1"/>
  <c r="P317" i="4" s="1"/>
  <c r="K71" i="16"/>
  <c r="H223" i="13"/>
  <c r="H219" i="13"/>
  <c r="H210" i="13"/>
  <c r="H206" i="13"/>
  <c r="H198" i="13"/>
  <c r="H188" i="13"/>
  <c r="H174" i="13"/>
  <c r="H170" i="13"/>
  <c r="H159" i="13"/>
  <c r="H155" i="13"/>
  <c r="H146" i="13"/>
  <c r="H142" i="13"/>
  <c r="H121" i="13"/>
  <c r="H111" i="13"/>
  <c r="H107" i="13"/>
  <c r="H92" i="13"/>
  <c r="H84" i="13"/>
  <c r="H79" i="13"/>
  <c r="H64" i="13"/>
  <c r="H58" i="13"/>
  <c r="H54" i="13"/>
  <c r="H49" i="13"/>
  <c r="H44" i="13"/>
  <c r="H40" i="13"/>
  <c r="H28" i="13"/>
  <c r="Q131" i="13" l="1"/>
  <c r="Q133" i="13" s="1"/>
  <c r="N133" i="13"/>
  <c r="J19" i="16"/>
  <c r="G19" i="16"/>
  <c r="I18" i="16"/>
  <c r="I19" i="16" s="1"/>
  <c r="H18" i="16"/>
  <c r="H19" i="16" s="1"/>
  <c r="K18" i="16" l="1"/>
  <c r="K19" i="16" s="1"/>
  <c r="L18" i="16" l="1"/>
  <c r="L19" i="16" s="1"/>
  <c r="N22" i="4" l="1"/>
  <c r="F22" i="4"/>
  <c r="J125" i="13" l="1"/>
  <c r="J128" i="13" s="1"/>
  <c r="I125" i="13"/>
  <c r="L125" i="13" l="1"/>
  <c r="M125" i="13" s="1"/>
  <c r="J141" i="13"/>
  <c r="I141" i="13"/>
  <c r="J191" i="13"/>
  <c r="J193" i="13" s="1"/>
  <c r="I191" i="13"/>
  <c r="I193" i="13" s="1"/>
  <c r="N125" i="13" l="1"/>
  <c r="Q125" i="13" s="1"/>
  <c r="R125" i="13" s="1"/>
  <c r="L141" i="13"/>
  <c r="M141" i="13" s="1"/>
  <c r="L191" i="13"/>
  <c r="L193" i="13" s="1"/>
  <c r="H234" i="13"/>
  <c r="H240" i="13" s="1"/>
  <c r="H116" i="13"/>
  <c r="K50" i="16"/>
  <c r="H72" i="16"/>
  <c r="I72" i="16"/>
  <c r="J72" i="16"/>
  <c r="K54" i="16"/>
  <c r="L54" i="16" s="1"/>
  <c r="F256" i="4"/>
  <c r="N141" i="13" l="1"/>
  <c r="Q141" i="13" s="1"/>
  <c r="R141" i="13" s="1"/>
  <c r="M191" i="13"/>
  <c r="J106" i="13"/>
  <c r="J107" i="13" s="1"/>
  <c r="I106" i="13"/>
  <c r="I114" i="13"/>
  <c r="J114" i="13"/>
  <c r="I184" i="13"/>
  <c r="J184" i="13"/>
  <c r="G240" i="4"/>
  <c r="H240" i="4"/>
  <c r="N191" i="13" l="1"/>
  <c r="M193" i="13"/>
  <c r="L184" i="13"/>
  <c r="M184" i="13" s="1"/>
  <c r="L106" i="13"/>
  <c r="L114" i="13"/>
  <c r="J240" i="4"/>
  <c r="K240" i="4" s="1"/>
  <c r="I107" i="13"/>
  <c r="Q191" i="13" l="1"/>
  <c r="Q193" i="13" s="1"/>
  <c r="N193" i="13"/>
  <c r="N184" i="13"/>
  <c r="Q184" i="13" s="1"/>
  <c r="R184" i="13" s="1"/>
  <c r="M114" i="13"/>
  <c r="N114" i="13" s="1"/>
  <c r="M106" i="13"/>
  <c r="L107" i="13"/>
  <c r="L240" i="4"/>
  <c r="O240" i="4" s="1"/>
  <c r="P240" i="4" s="1"/>
  <c r="J218" i="13"/>
  <c r="J219" i="13" s="1"/>
  <c r="I218" i="13"/>
  <c r="I219" i="13" s="1"/>
  <c r="J74" i="13"/>
  <c r="I74" i="13"/>
  <c r="J227" i="13"/>
  <c r="I227" i="13"/>
  <c r="J226" i="13"/>
  <c r="I226" i="13"/>
  <c r="I222" i="13"/>
  <c r="I223" i="13" s="1"/>
  <c r="J209" i="13"/>
  <c r="J210" i="13" s="1"/>
  <c r="I209" i="13"/>
  <c r="I210" i="13" s="1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73" i="4"/>
  <c r="G363" i="4"/>
  <c r="H363" i="4"/>
  <c r="G364" i="4"/>
  <c r="H364" i="4"/>
  <c r="I183" i="13"/>
  <c r="J183" i="13"/>
  <c r="I119" i="13"/>
  <c r="J119" i="13"/>
  <c r="J115" i="13"/>
  <c r="J116" i="13" s="1"/>
  <c r="I115" i="13"/>
  <c r="I69" i="13"/>
  <c r="J69" i="13"/>
  <c r="J57" i="13"/>
  <c r="J58" i="13" s="1"/>
  <c r="I57" i="13"/>
  <c r="I58" i="13" s="1"/>
  <c r="I33" i="13"/>
  <c r="J33" i="13"/>
  <c r="J27" i="13"/>
  <c r="I27" i="13"/>
  <c r="I28" i="13" s="1"/>
  <c r="J9" i="13"/>
  <c r="J12" i="13" s="1"/>
  <c r="J86" i="16"/>
  <c r="I86" i="16"/>
  <c r="H86" i="16"/>
  <c r="G86" i="16"/>
  <c r="K85" i="16"/>
  <c r="K86" i="16" s="1"/>
  <c r="L122" i="16"/>
  <c r="L124" i="16" s="1"/>
  <c r="K93" i="16"/>
  <c r="K94" i="16" s="1"/>
  <c r="K26" i="16"/>
  <c r="K27" i="16" s="1"/>
  <c r="J27" i="16"/>
  <c r="I27" i="16"/>
  <c r="H27" i="16"/>
  <c r="G27" i="16"/>
  <c r="J15" i="16"/>
  <c r="G15" i="16"/>
  <c r="I14" i="16"/>
  <c r="I15" i="16" s="1"/>
  <c r="H14" i="16"/>
  <c r="G11" i="16"/>
  <c r="K11" i="16"/>
  <c r="J11" i="16"/>
  <c r="I11" i="16"/>
  <c r="H26" i="4"/>
  <c r="H396" i="4" s="1"/>
  <c r="N26" i="4"/>
  <c r="F365" i="4"/>
  <c r="F355" i="4"/>
  <c r="F351" i="4"/>
  <c r="F347" i="4"/>
  <c r="F342" i="4"/>
  <c r="F276" i="4"/>
  <c r="F261" i="4"/>
  <c r="F247" i="4"/>
  <c r="F242" i="4"/>
  <c r="F235" i="4"/>
  <c r="F231" i="4"/>
  <c r="F227" i="4"/>
  <c r="F222" i="4"/>
  <c r="F217" i="4"/>
  <c r="F213" i="4"/>
  <c r="F209" i="4"/>
  <c r="F200" i="4"/>
  <c r="F175" i="4"/>
  <c r="F153" i="4"/>
  <c r="F145" i="4"/>
  <c r="F131" i="4"/>
  <c r="F125" i="4"/>
  <c r="F105" i="4"/>
  <c r="F101" i="4"/>
  <c r="F78" i="4"/>
  <c r="F74" i="4"/>
  <c r="F65" i="4"/>
  <c r="F51" i="4"/>
  <c r="G283" i="4"/>
  <c r="H283" i="4"/>
  <c r="G284" i="4"/>
  <c r="H284" i="4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282" i="4"/>
  <c r="G280" i="4"/>
  <c r="G278" i="4"/>
  <c r="H278" i="4"/>
  <c r="G279" i="4"/>
  <c r="H279" i="4"/>
  <c r="H280" i="4"/>
  <c r="G281" i="4"/>
  <c r="H281" i="4"/>
  <c r="H282" i="4"/>
  <c r="H116" i="4"/>
  <c r="H118" i="4" s="1"/>
  <c r="H112" i="4"/>
  <c r="G109" i="4"/>
  <c r="I229" i="13" l="1"/>
  <c r="J229" i="13"/>
  <c r="L119" i="13"/>
  <c r="M119" i="13" s="1"/>
  <c r="N119" i="13" s="1"/>
  <c r="L227" i="13"/>
  <c r="M227" i="13" s="1"/>
  <c r="R191" i="13"/>
  <c r="R193" i="13" s="1"/>
  <c r="L74" i="13"/>
  <c r="M74" i="13" s="1"/>
  <c r="L69" i="13"/>
  <c r="M69" i="13" s="1"/>
  <c r="N106" i="13"/>
  <c r="M107" i="13"/>
  <c r="H310" i="4"/>
  <c r="G310" i="4"/>
  <c r="L183" i="13"/>
  <c r="L209" i="13"/>
  <c r="L27" i="13"/>
  <c r="J28" i="13"/>
  <c r="L218" i="13"/>
  <c r="L33" i="13"/>
  <c r="M33" i="13" s="1"/>
  <c r="L115" i="13"/>
  <c r="L57" i="13"/>
  <c r="L226" i="13"/>
  <c r="L229" i="13" s="1"/>
  <c r="L9" i="13"/>
  <c r="M9" i="13" s="1"/>
  <c r="J285" i="4"/>
  <c r="K285" i="4" s="1"/>
  <c r="L285" i="4" s="1"/>
  <c r="J279" i="4"/>
  <c r="K279" i="4" s="1"/>
  <c r="L279" i="4" s="1"/>
  <c r="J289" i="4"/>
  <c r="K289" i="4" s="1"/>
  <c r="L289" i="4" s="1"/>
  <c r="J301" i="4"/>
  <c r="K301" i="4" s="1"/>
  <c r="L301" i="4" s="1"/>
  <c r="J297" i="4"/>
  <c r="K297" i="4" s="1"/>
  <c r="L297" i="4" s="1"/>
  <c r="J293" i="4"/>
  <c r="K293" i="4" s="1"/>
  <c r="L293" i="4" s="1"/>
  <c r="J278" i="4"/>
  <c r="J300" i="4"/>
  <c r="K300" i="4" s="1"/>
  <c r="L300" i="4" s="1"/>
  <c r="J296" i="4"/>
  <c r="K296" i="4" s="1"/>
  <c r="L296" i="4" s="1"/>
  <c r="J292" i="4"/>
  <c r="K292" i="4" s="1"/>
  <c r="L292" i="4" s="1"/>
  <c r="J288" i="4"/>
  <c r="K288" i="4" s="1"/>
  <c r="L288" i="4" s="1"/>
  <c r="J284" i="4"/>
  <c r="K284" i="4" s="1"/>
  <c r="L284" i="4" s="1"/>
  <c r="J299" i="4"/>
  <c r="K299" i="4" s="1"/>
  <c r="L299" i="4" s="1"/>
  <c r="J295" i="4"/>
  <c r="K295" i="4" s="1"/>
  <c r="L295" i="4" s="1"/>
  <c r="J291" i="4"/>
  <c r="K291" i="4" s="1"/>
  <c r="L291" i="4" s="1"/>
  <c r="J287" i="4"/>
  <c r="K287" i="4" s="1"/>
  <c r="L287" i="4" s="1"/>
  <c r="J283" i="4"/>
  <c r="K283" i="4" s="1"/>
  <c r="L283" i="4" s="1"/>
  <c r="J302" i="4"/>
  <c r="K302" i="4" s="1"/>
  <c r="L302" i="4" s="1"/>
  <c r="J298" i="4"/>
  <c r="K298" i="4" s="1"/>
  <c r="L298" i="4" s="1"/>
  <c r="J294" i="4"/>
  <c r="K294" i="4" s="1"/>
  <c r="L294" i="4" s="1"/>
  <c r="J290" i="4"/>
  <c r="K290" i="4" s="1"/>
  <c r="L290" i="4" s="1"/>
  <c r="J286" i="4"/>
  <c r="K286" i="4" s="1"/>
  <c r="L286" i="4" s="1"/>
  <c r="J282" i="4"/>
  <c r="J281" i="4"/>
  <c r="K281" i="4" s="1"/>
  <c r="L281" i="4" s="1"/>
  <c r="J364" i="4"/>
  <c r="K364" i="4" s="1"/>
  <c r="L364" i="4" s="1"/>
  <c r="O364" i="4" s="1"/>
  <c r="P364" i="4" s="1"/>
  <c r="J280" i="4"/>
  <c r="K280" i="4" s="1"/>
  <c r="J363" i="4"/>
  <c r="K363" i="4" s="1"/>
  <c r="L363" i="4" s="1"/>
  <c r="O363" i="4" s="1"/>
  <c r="P363" i="4" s="1"/>
  <c r="I116" i="13"/>
  <c r="R131" i="13"/>
  <c r="R133" i="13" s="1"/>
  <c r="L85" i="16"/>
  <c r="L86" i="16" s="1"/>
  <c r="K14" i="16"/>
  <c r="K15" i="16" s="1"/>
  <c r="L26" i="16"/>
  <c r="L27" i="16" s="1"/>
  <c r="H15" i="16"/>
  <c r="L10" i="16"/>
  <c r="L11" i="16" s="1"/>
  <c r="H11" i="16"/>
  <c r="G8" i="4"/>
  <c r="G9" i="4"/>
  <c r="H9" i="4"/>
  <c r="H10" i="4"/>
  <c r="G10" i="4"/>
  <c r="G11" i="4"/>
  <c r="H11" i="4"/>
  <c r="H13" i="4"/>
  <c r="G13" i="4"/>
  <c r="G14" i="4"/>
  <c r="H14" i="4"/>
  <c r="G12" i="4"/>
  <c r="N227" i="13" l="1"/>
  <c r="Q227" i="13" s="1"/>
  <c r="N69" i="13"/>
  <c r="Q69" i="13" s="1"/>
  <c r="R69" i="13" s="1"/>
  <c r="M12" i="13"/>
  <c r="N9" i="13"/>
  <c r="N74" i="13"/>
  <c r="N75" i="13" s="1"/>
  <c r="N33" i="13"/>
  <c r="Q33" i="13" s="1"/>
  <c r="R33" i="13" s="1"/>
  <c r="M115" i="13"/>
  <c r="N115" i="13" s="1"/>
  <c r="L116" i="13"/>
  <c r="Q106" i="13"/>
  <c r="N107" i="13"/>
  <c r="M57" i="13"/>
  <c r="N57" i="13" s="1"/>
  <c r="L58" i="13"/>
  <c r="M218" i="13"/>
  <c r="N218" i="13" s="1"/>
  <c r="L219" i="13"/>
  <c r="Q114" i="13"/>
  <c r="M209" i="13"/>
  <c r="N209" i="13" s="1"/>
  <c r="N210" i="13" s="1"/>
  <c r="L210" i="13"/>
  <c r="K278" i="4"/>
  <c r="J310" i="4"/>
  <c r="L280" i="4"/>
  <c r="O280" i="4" s="1"/>
  <c r="O281" i="4"/>
  <c r="O291" i="4"/>
  <c r="O286" i="4"/>
  <c r="O295" i="4"/>
  <c r="O293" i="4"/>
  <c r="O287" i="4"/>
  <c r="O290" i="4"/>
  <c r="O299" i="4"/>
  <c r="O297" i="4"/>
  <c r="O294" i="4"/>
  <c r="O284" i="4"/>
  <c r="O301" i="4"/>
  <c r="O300" i="4"/>
  <c r="O298" i="4"/>
  <c r="O288" i="4"/>
  <c r="O289" i="4"/>
  <c r="O302" i="4"/>
  <c r="O292" i="4"/>
  <c r="O279" i="4"/>
  <c r="O283" i="4"/>
  <c r="O296" i="4"/>
  <c r="O285" i="4"/>
  <c r="L278" i="4"/>
  <c r="M226" i="13"/>
  <c r="M183" i="13"/>
  <c r="N183" i="13" s="1"/>
  <c r="L12" i="13"/>
  <c r="L28" i="13"/>
  <c r="M27" i="13"/>
  <c r="K282" i="4"/>
  <c r="L282" i="4" s="1"/>
  <c r="J10" i="4"/>
  <c r="K10" i="4" s="1"/>
  <c r="J8" i="4"/>
  <c r="J13" i="4"/>
  <c r="K13" i="4" s="1"/>
  <c r="J9" i="4"/>
  <c r="K9" i="4" s="1"/>
  <c r="J11" i="4"/>
  <c r="K11" i="4" s="1"/>
  <c r="J14" i="4"/>
  <c r="K14" i="4" s="1"/>
  <c r="L14" i="16"/>
  <c r="L15" i="16" s="1"/>
  <c r="N226" i="13" l="1"/>
  <c r="N229" i="13" s="1"/>
  <c r="M229" i="13"/>
  <c r="Q74" i="13"/>
  <c r="Q75" i="13" s="1"/>
  <c r="R114" i="13"/>
  <c r="M219" i="13"/>
  <c r="M116" i="13"/>
  <c r="M58" i="13"/>
  <c r="M210" i="13"/>
  <c r="Q107" i="13"/>
  <c r="R106" i="13"/>
  <c r="R107" i="13" s="1"/>
  <c r="L310" i="4"/>
  <c r="K310" i="4"/>
  <c r="O278" i="4"/>
  <c r="L11" i="4"/>
  <c r="O11" i="4" s="1"/>
  <c r="P11" i="4" s="1"/>
  <c r="L13" i="4"/>
  <c r="O13" i="4" s="1"/>
  <c r="P13" i="4" s="1"/>
  <c r="L14" i="4"/>
  <c r="O14" i="4" s="1"/>
  <c r="L9" i="4"/>
  <c r="O9" i="4" s="1"/>
  <c r="P9" i="4" s="1"/>
  <c r="L10" i="4"/>
  <c r="O10" i="4" s="1"/>
  <c r="Q119" i="13"/>
  <c r="R119" i="13" s="1"/>
  <c r="N27" i="13"/>
  <c r="M28" i="13"/>
  <c r="N12" i="13"/>
  <c r="K8" i="4"/>
  <c r="J162" i="13"/>
  <c r="I162" i="13"/>
  <c r="I100" i="13"/>
  <c r="L100" i="13" l="1"/>
  <c r="Q57" i="13"/>
  <c r="N58" i="13"/>
  <c r="Q115" i="13"/>
  <c r="N116" i="13"/>
  <c r="Q218" i="13"/>
  <c r="N219" i="13"/>
  <c r="Q209" i="13"/>
  <c r="Q210" i="13" s="1"/>
  <c r="P14" i="4"/>
  <c r="L8" i="4"/>
  <c r="P10" i="4"/>
  <c r="Q226" i="13"/>
  <c r="Q229" i="13" s="1"/>
  <c r="Q183" i="13"/>
  <c r="R183" i="13" s="1"/>
  <c r="L162" i="13"/>
  <c r="Q9" i="13"/>
  <c r="Q12" i="13" s="1"/>
  <c r="Q27" i="13"/>
  <c r="Q28" i="13" s="1"/>
  <c r="N28" i="13"/>
  <c r="O282" i="4"/>
  <c r="O310" i="4" s="1"/>
  <c r="H115" i="16"/>
  <c r="I115" i="16"/>
  <c r="J115" i="16"/>
  <c r="K113" i="16"/>
  <c r="L113" i="16" s="1"/>
  <c r="Q219" i="13" l="1"/>
  <c r="R218" i="13"/>
  <c r="R219" i="13" s="1"/>
  <c r="Q58" i="13"/>
  <c r="R57" i="13"/>
  <c r="R58" i="13" s="1"/>
  <c r="R115" i="13"/>
  <c r="R116" i="13" s="1"/>
  <c r="Q116" i="13"/>
  <c r="M162" i="13"/>
  <c r="N162" i="13" s="1"/>
  <c r="R209" i="13"/>
  <c r="R210" i="13" s="1"/>
  <c r="M100" i="13"/>
  <c r="N100" i="13" s="1"/>
  <c r="R9" i="13"/>
  <c r="R12" i="13" s="1"/>
  <c r="O8" i="4"/>
  <c r="K70" i="16"/>
  <c r="K114" i="16"/>
  <c r="K115" i="16" s="1"/>
  <c r="J213" i="13"/>
  <c r="J215" i="13" s="1"/>
  <c r="J101" i="13"/>
  <c r="J103" i="13" s="1"/>
  <c r="K80" i="16"/>
  <c r="K82" i="16" s="1"/>
  <c r="J102" i="16"/>
  <c r="I102" i="16"/>
  <c r="H102" i="16"/>
  <c r="G102" i="16"/>
  <c r="K102" i="16"/>
  <c r="J51" i="16"/>
  <c r="I51" i="16"/>
  <c r="H51" i="16"/>
  <c r="G51" i="16"/>
  <c r="K51" i="16"/>
  <c r="H204" i="4" l="1"/>
  <c r="P8" i="4"/>
  <c r="L70" i="16"/>
  <c r="K72" i="16"/>
  <c r="L80" i="16"/>
  <c r="L82" i="16" s="1"/>
  <c r="L71" i="16"/>
  <c r="L101" i="16"/>
  <c r="L102" i="16" s="1"/>
  <c r="L50" i="16"/>
  <c r="L51" i="16" s="1"/>
  <c r="Q100" i="13" l="1"/>
  <c r="Q162" i="13"/>
  <c r="L72" i="16"/>
  <c r="F251" i="4"/>
  <c r="G369" i="4"/>
  <c r="H369" i="4"/>
  <c r="P280" i="4"/>
  <c r="G334" i="4"/>
  <c r="H334" i="4"/>
  <c r="J120" i="13"/>
  <c r="J121" i="13" s="1"/>
  <c r="I120" i="13"/>
  <c r="I121" i="13" s="1"/>
  <c r="H341" i="4"/>
  <c r="H342" i="4" s="1"/>
  <c r="G341" i="4"/>
  <c r="G342" i="4" s="1"/>
  <c r="H193" i="4"/>
  <c r="G193" i="4"/>
  <c r="I158" i="13"/>
  <c r="R100" i="13" l="1"/>
  <c r="R162" i="13"/>
  <c r="L120" i="13"/>
  <c r="I159" i="13"/>
  <c r="L158" i="13"/>
  <c r="J341" i="4"/>
  <c r="J334" i="4"/>
  <c r="K334" i="4" s="1"/>
  <c r="J369" i="4"/>
  <c r="K369" i="4" s="1"/>
  <c r="L369" i="4" s="1"/>
  <c r="O369" i="4" s="1"/>
  <c r="P369" i="4" s="1"/>
  <c r="J193" i="4"/>
  <c r="K193" i="4" s="1"/>
  <c r="P300" i="4"/>
  <c r="P302" i="4"/>
  <c r="P301" i="4"/>
  <c r="M158" i="13" l="1"/>
  <c r="L159" i="13"/>
  <c r="L334" i="4"/>
  <c r="O334" i="4" s="1"/>
  <c r="P334" i="4" s="1"/>
  <c r="L193" i="4"/>
  <c r="O193" i="4" s="1"/>
  <c r="P193" i="4" s="1"/>
  <c r="M120" i="13"/>
  <c r="N120" i="13" s="1"/>
  <c r="L121" i="13"/>
  <c r="K341" i="4"/>
  <c r="L341" i="4" s="1"/>
  <c r="O341" i="4" s="1"/>
  <c r="P341" i="4" s="1"/>
  <c r="J342" i="4"/>
  <c r="N158" i="13" l="1"/>
  <c r="M159" i="13"/>
  <c r="M121" i="13"/>
  <c r="K342" i="4"/>
  <c r="J39" i="16"/>
  <c r="I39" i="16"/>
  <c r="H39" i="16"/>
  <c r="G39" i="16"/>
  <c r="K38" i="16"/>
  <c r="L38" i="16" s="1"/>
  <c r="L39" i="16" s="1"/>
  <c r="J53" i="13"/>
  <c r="J54" i="13" s="1"/>
  <c r="I53" i="13"/>
  <c r="I54" i="13" s="1"/>
  <c r="G152" i="4"/>
  <c r="Q158" i="13" l="1"/>
  <c r="N159" i="13"/>
  <c r="Q120" i="13"/>
  <c r="N121" i="13"/>
  <c r="L53" i="13"/>
  <c r="L342" i="4"/>
  <c r="B14" i="16"/>
  <c r="P157" i="4"/>
  <c r="K39" i="16"/>
  <c r="M53" i="13" l="1"/>
  <c r="L54" i="13"/>
  <c r="Q159" i="13"/>
  <c r="R158" i="13"/>
  <c r="R159" i="13" s="1"/>
  <c r="Q121" i="13"/>
  <c r="R120" i="13"/>
  <c r="R121" i="13" s="1"/>
  <c r="O342" i="4"/>
  <c r="P342" i="4"/>
  <c r="B18" i="16"/>
  <c r="B22" i="16" s="1"/>
  <c r="B26" i="16" s="1"/>
  <c r="B30" i="16" s="1"/>
  <c r="M54" i="13" l="1"/>
  <c r="N53" i="13" s="1"/>
  <c r="I196" i="13"/>
  <c r="I182" i="13"/>
  <c r="J182" i="13"/>
  <c r="G71" i="4"/>
  <c r="H71" i="4"/>
  <c r="A25" i="4"/>
  <c r="H11" i="14"/>
  <c r="G11" i="14"/>
  <c r="H10" i="14"/>
  <c r="G10" i="14"/>
  <c r="K10" i="14" s="1"/>
  <c r="H8" i="14"/>
  <c r="G8" i="14"/>
  <c r="J196" i="13"/>
  <c r="J78" i="13"/>
  <c r="I78" i="13"/>
  <c r="I79" i="13" s="1"/>
  <c r="I83" i="13"/>
  <c r="J83" i="13"/>
  <c r="I82" i="13"/>
  <c r="G316" i="4"/>
  <c r="H316" i="4"/>
  <c r="I84" i="13" l="1"/>
  <c r="L83" i="13"/>
  <c r="M83" i="13" s="1"/>
  <c r="N83" i="13" s="1"/>
  <c r="Q83" i="13" s="1"/>
  <c r="R83" i="13" s="1"/>
  <c r="L196" i="13"/>
  <c r="M196" i="13" s="1"/>
  <c r="N196" i="13" s="1"/>
  <c r="Q196" i="13" s="1"/>
  <c r="R196" i="13" s="1"/>
  <c r="L182" i="13"/>
  <c r="M182" i="13" s="1"/>
  <c r="Q53" i="13"/>
  <c r="N54" i="13"/>
  <c r="J79" i="13"/>
  <c r="L78" i="13"/>
  <c r="J71" i="4"/>
  <c r="K71" i="4" s="1"/>
  <c r="J316" i="4"/>
  <c r="K316" i="4" s="1"/>
  <c r="L316" i="4" s="1"/>
  <c r="O316" i="4" s="1"/>
  <c r="P316" i="4" s="1"/>
  <c r="K8" i="14"/>
  <c r="L8" i="14" s="1"/>
  <c r="K11" i="14"/>
  <c r="L11" i="14" s="1"/>
  <c r="P216" i="4"/>
  <c r="P217" i="4" s="1"/>
  <c r="L10" i="14"/>
  <c r="N182" i="13" l="1"/>
  <c r="Q182" i="13" s="1"/>
  <c r="R182" i="13" s="1"/>
  <c r="M78" i="13"/>
  <c r="L79" i="13"/>
  <c r="R53" i="13"/>
  <c r="R54" i="13" s="1"/>
  <c r="Q54" i="13"/>
  <c r="L71" i="4"/>
  <c r="O71" i="4" s="1"/>
  <c r="L14" i="14"/>
  <c r="K14" i="14"/>
  <c r="A29" i="4"/>
  <c r="A30" i="4" s="1"/>
  <c r="A31" i="4" s="1"/>
  <c r="A35" i="4" s="1"/>
  <c r="A36" i="4" s="1"/>
  <c r="A37" i="4" s="1"/>
  <c r="P278" i="4"/>
  <c r="N78" i="13" l="1"/>
  <c r="M79" i="13"/>
  <c r="A38" i="4"/>
  <c r="A41" i="4" s="1"/>
  <c r="A42" i="4" s="1"/>
  <c r="A43" i="4" s="1"/>
  <c r="A44" i="4" s="1"/>
  <c r="A45" i="4" s="1"/>
  <c r="J197" i="13"/>
  <c r="I197" i="13"/>
  <c r="I187" i="13"/>
  <c r="I186" i="13"/>
  <c r="J186" i="13"/>
  <c r="J187" i="13"/>
  <c r="I185" i="13"/>
  <c r="J185" i="13"/>
  <c r="J177" i="13"/>
  <c r="J179" i="13" s="1"/>
  <c r="I177" i="13"/>
  <c r="I173" i="13"/>
  <c r="L173" i="13" s="1"/>
  <c r="J168" i="13"/>
  <c r="I168" i="13"/>
  <c r="I48" i="13"/>
  <c r="J48" i="13"/>
  <c r="J39" i="13"/>
  <c r="I39" i="13"/>
  <c r="I32" i="13"/>
  <c r="J32" i="13"/>
  <c r="H321" i="4"/>
  <c r="H322" i="4"/>
  <c r="H323" i="4"/>
  <c r="H324" i="4"/>
  <c r="H325" i="4"/>
  <c r="H326" i="4"/>
  <c r="H331" i="4"/>
  <c r="H327" i="4"/>
  <c r="H330" i="4"/>
  <c r="H333" i="4"/>
  <c r="H328" i="4"/>
  <c r="H329" i="4"/>
  <c r="H332" i="4"/>
  <c r="H335" i="4"/>
  <c r="G321" i="4"/>
  <c r="G322" i="4"/>
  <c r="G323" i="4"/>
  <c r="G324" i="4"/>
  <c r="G325" i="4"/>
  <c r="G326" i="4"/>
  <c r="G331" i="4"/>
  <c r="G327" i="4"/>
  <c r="G330" i="4"/>
  <c r="G333" i="4"/>
  <c r="G328" i="4"/>
  <c r="G329" i="4"/>
  <c r="G332" i="4"/>
  <c r="G335" i="4"/>
  <c r="G320" i="4"/>
  <c r="H320" i="4"/>
  <c r="G315" i="4"/>
  <c r="H315" i="4"/>
  <c r="G76" i="4"/>
  <c r="H76" i="4"/>
  <c r="H68" i="4"/>
  <c r="G68" i="4"/>
  <c r="H22" i="4"/>
  <c r="B34" i="16"/>
  <c r="B38" i="16" s="1"/>
  <c r="B42" i="16" s="1"/>
  <c r="K999975" i="16"/>
  <c r="C16650" i="16"/>
  <c r="C16652" i="16" s="1"/>
  <c r="J106" i="16"/>
  <c r="G106" i="16"/>
  <c r="J98" i="16"/>
  <c r="G98" i="16"/>
  <c r="K97" i="16"/>
  <c r="L97" i="16" s="1"/>
  <c r="I98" i="16"/>
  <c r="J94" i="16"/>
  <c r="G94" i="16"/>
  <c r="L93" i="16"/>
  <c r="I94" i="16"/>
  <c r="J55" i="16"/>
  <c r="G55" i="16"/>
  <c r="J47" i="16"/>
  <c r="G47" i="16"/>
  <c r="I47" i="16"/>
  <c r="H47" i="16"/>
  <c r="K46" i="16"/>
  <c r="L46" i="16" s="1"/>
  <c r="J43" i="16"/>
  <c r="G43" i="16"/>
  <c r="K42" i="16"/>
  <c r="L42" i="16" s="1"/>
  <c r="J35" i="16"/>
  <c r="G35" i="16"/>
  <c r="I35" i="16"/>
  <c r="K34" i="16"/>
  <c r="J31" i="16"/>
  <c r="G31" i="16"/>
  <c r="K30" i="16"/>
  <c r="L30" i="16" s="1"/>
  <c r="J23" i="16"/>
  <c r="G23" i="16"/>
  <c r="I23" i="16"/>
  <c r="H23" i="16"/>
  <c r="L22" i="16"/>
  <c r="L48" i="13" l="1"/>
  <c r="M48" i="13" s="1"/>
  <c r="M173" i="13"/>
  <c r="L174" i="13"/>
  <c r="L197" i="13"/>
  <c r="M197" i="13" s="1"/>
  <c r="N197" i="13" s="1"/>
  <c r="Q197" i="13" s="1"/>
  <c r="R197" i="13" s="1"/>
  <c r="J188" i="13"/>
  <c r="Q78" i="13"/>
  <c r="N79" i="13"/>
  <c r="H338" i="4"/>
  <c r="G338" i="4"/>
  <c r="L185" i="13"/>
  <c r="M185" i="13" s="1"/>
  <c r="L32" i="13"/>
  <c r="L39" i="13"/>
  <c r="M39" i="13" s="1"/>
  <c r="L187" i="13"/>
  <c r="L177" i="13"/>
  <c r="L168" i="13"/>
  <c r="L186" i="13"/>
  <c r="M186" i="13" s="1"/>
  <c r="J329" i="4"/>
  <c r="K329" i="4" s="1"/>
  <c r="J333" i="4"/>
  <c r="K333" i="4" s="1"/>
  <c r="J327" i="4"/>
  <c r="K327" i="4" s="1"/>
  <c r="J321" i="4"/>
  <c r="K321" i="4" s="1"/>
  <c r="J324" i="4"/>
  <c r="K324" i="4" s="1"/>
  <c r="J335" i="4"/>
  <c r="K335" i="4" s="1"/>
  <c r="J76" i="4"/>
  <c r="K76" i="4" s="1"/>
  <c r="J326" i="4"/>
  <c r="J328" i="4"/>
  <c r="K328" i="4" s="1"/>
  <c r="J332" i="4"/>
  <c r="K332" i="4" s="1"/>
  <c r="J325" i="4"/>
  <c r="K325" i="4" s="1"/>
  <c r="J323" i="4"/>
  <c r="K323" i="4" s="1"/>
  <c r="J68" i="4"/>
  <c r="J330" i="4"/>
  <c r="K330" i="4" s="1"/>
  <c r="J322" i="4"/>
  <c r="K322" i="4" s="1"/>
  <c r="J320" i="4"/>
  <c r="J331" i="4"/>
  <c r="K331" i="4" s="1"/>
  <c r="J315" i="4"/>
  <c r="K315" i="4" s="1"/>
  <c r="L315" i="4" s="1"/>
  <c r="O315" i="4" s="1"/>
  <c r="P315" i="4" s="1"/>
  <c r="I179" i="13"/>
  <c r="I188" i="13"/>
  <c r="R27" i="13"/>
  <c r="R28" i="13" s="1"/>
  <c r="L98" i="16"/>
  <c r="I43" i="16"/>
  <c r="I106" i="16"/>
  <c r="H98" i="16"/>
  <c r="H43" i="16"/>
  <c r="I55" i="16"/>
  <c r="I31" i="16"/>
  <c r="H35" i="16"/>
  <c r="H55" i="16"/>
  <c r="H94" i="16"/>
  <c r="L34" i="16"/>
  <c r="H31" i="16"/>
  <c r="H106" i="16"/>
  <c r="L114" i="16"/>
  <c r="L115" i="16" s="1"/>
  <c r="N186" i="13" l="1"/>
  <c r="Q186" i="13" s="1"/>
  <c r="N185" i="13"/>
  <c r="Q185" i="13" s="1"/>
  <c r="N39" i="13"/>
  <c r="Q39" i="13" s="1"/>
  <c r="R39" i="13" s="1"/>
  <c r="N48" i="13"/>
  <c r="Q48" i="13" s="1"/>
  <c r="R48" i="13" s="1"/>
  <c r="Q79" i="13"/>
  <c r="R78" i="13"/>
  <c r="R79" i="13" s="1"/>
  <c r="M168" i="13"/>
  <c r="N168" i="13" s="1"/>
  <c r="M177" i="13"/>
  <c r="N177" i="13" s="1"/>
  <c r="L179" i="13"/>
  <c r="N173" i="13"/>
  <c r="M174" i="13"/>
  <c r="J338" i="4"/>
  <c r="L330" i="4"/>
  <c r="O330" i="4" s="1"/>
  <c r="P330" i="4" s="1"/>
  <c r="L335" i="4"/>
  <c r="O335" i="4" s="1"/>
  <c r="P335" i="4" s="1"/>
  <c r="L323" i="4"/>
  <c r="O323" i="4" s="1"/>
  <c r="P323" i="4" s="1"/>
  <c r="L328" i="4"/>
  <c r="O328" i="4" s="1"/>
  <c r="P328" i="4" s="1"/>
  <c r="L321" i="4"/>
  <c r="O321" i="4" s="1"/>
  <c r="P321" i="4" s="1"/>
  <c r="L325" i="4"/>
  <c r="O325" i="4" s="1"/>
  <c r="P325" i="4" s="1"/>
  <c r="L327" i="4"/>
  <c r="O327" i="4" s="1"/>
  <c r="P327" i="4" s="1"/>
  <c r="L333" i="4"/>
  <c r="O333" i="4" s="1"/>
  <c r="P333" i="4" s="1"/>
  <c r="L329" i="4"/>
  <c r="O329" i="4" s="1"/>
  <c r="P329" i="4" s="1"/>
  <c r="L324" i="4"/>
  <c r="O324" i="4" s="1"/>
  <c r="P324" i="4" s="1"/>
  <c r="L332" i="4"/>
  <c r="O332" i="4" s="1"/>
  <c r="P332" i="4" s="1"/>
  <c r="L331" i="4"/>
  <c r="O331" i="4" s="1"/>
  <c r="P331" i="4" s="1"/>
  <c r="K320" i="4"/>
  <c r="K338" i="4" s="1"/>
  <c r="L322" i="4"/>
  <c r="O322" i="4" s="1"/>
  <c r="P322" i="4" s="1"/>
  <c r="M187" i="13"/>
  <c r="N187" i="13" s="1"/>
  <c r="L188" i="13"/>
  <c r="M32" i="13"/>
  <c r="N32" i="13" s="1"/>
  <c r="K326" i="4"/>
  <c r="L326" i="4" s="1"/>
  <c r="L76" i="4"/>
  <c r="K68" i="4"/>
  <c r="L68" i="4" s="1"/>
  <c r="L35" i="16"/>
  <c r="K98" i="16"/>
  <c r="K47" i="16"/>
  <c r="K23" i="16"/>
  <c r="K35" i="16"/>
  <c r="L94" i="16"/>
  <c r="L23" i="16"/>
  <c r="K43" i="16"/>
  <c r="L43" i="16"/>
  <c r="L47" i="16"/>
  <c r="K55" i="16"/>
  <c r="L31" i="16"/>
  <c r="K31" i="16"/>
  <c r="L55" i="16"/>
  <c r="Q173" i="13" l="1"/>
  <c r="Q174" i="13" s="1"/>
  <c r="N174" i="13"/>
  <c r="M179" i="13"/>
  <c r="L320" i="4"/>
  <c r="L338" i="4" s="1"/>
  <c r="M188" i="13"/>
  <c r="O76" i="4"/>
  <c r="G87" i="4"/>
  <c r="H87" i="4"/>
  <c r="G362" i="4"/>
  <c r="G365" i="4" s="1"/>
  <c r="H362" i="4"/>
  <c r="H365" i="4" s="1"/>
  <c r="G250" i="4"/>
  <c r="H250" i="4"/>
  <c r="J110" i="13"/>
  <c r="J111" i="13" s="1"/>
  <c r="I110" i="13"/>
  <c r="Q177" i="13" l="1"/>
  <c r="Q179" i="13" s="1"/>
  <c r="N179" i="13"/>
  <c r="Q168" i="13"/>
  <c r="O320" i="4"/>
  <c r="Q187" i="13"/>
  <c r="N188" i="13"/>
  <c r="Q32" i="13"/>
  <c r="L110" i="13"/>
  <c r="O326" i="4"/>
  <c r="J87" i="4"/>
  <c r="O68" i="4"/>
  <c r="J362" i="4"/>
  <c r="J250" i="4"/>
  <c r="G251" i="4"/>
  <c r="J68" i="13"/>
  <c r="J70" i="13" s="1"/>
  <c r="I68" i="13"/>
  <c r="I70" i="13" s="1"/>
  <c r="J222" i="13"/>
  <c r="J223" i="13" s="1"/>
  <c r="I163" i="13"/>
  <c r="I165" i="13" s="1"/>
  <c r="J163" i="13"/>
  <c r="J165" i="13" s="1"/>
  <c r="H251" i="4"/>
  <c r="H266" i="4"/>
  <c r="G266" i="4"/>
  <c r="H265" i="4"/>
  <c r="G265" i="4"/>
  <c r="H264" i="4"/>
  <c r="G264" i="4"/>
  <c r="G246" i="4"/>
  <c r="H246" i="4"/>
  <c r="J152" i="13"/>
  <c r="I152" i="13"/>
  <c r="M110" i="13" l="1"/>
  <c r="N110" i="13" s="1"/>
  <c r="N111" i="13" s="1"/>
  <c r="L111" i="13"/>
  <c r="R168" i="13"/>
  <c r="O338" i="4"/>
  <c r="P320" i="4"/>
  <c r="J265" i="4"/>
  <c r="K265" i="4" s="1"/>
  <c r="L265" i="4" s="1"/>
  <c r="O265" i="4" s="1"/>
  <c r="P265" i="4" s="1"/>
  <c r="R187" i="13"/>
  <c r="Q188" i="13"/>
  <c r="L163" i="13"/>
  <c r="L68" i="13"/>
  <c r="L222" i="13"/>
  <c r="L152" i="13"/>
  <c r="M152" i="13" s="1"/>
  <c r="R32" i="13"/>
  <c r="K362" i="4"/>
  <c r="J365" i="4"/>
  <c r="P326" i="4"/>
  <c r="K250" i="4"/>
  <c r="J251" i="4"/>
  <c r="J264" i="4"/>
  <c r="J266" i="4"/>
  <c r="K266" i="4" s="1"/>
  <c r="K87" i="4"/>
  <c r="L87" i="4" s="1"/>
  <c r="J246" i="4"/>
  <c r="K246" i="4" s="1"/>
  <c r="G267" i="4"/>
  <c r="H267" i="4"/>
  <c r="P295" i="4"/>
  <c r="R227" i="13"/>
  <c r="J15" i="13"/>
  <c r="I15" i="13"/>
  <c r="I18" i="13" s="1"/>
  <c r="I213" i="13"/>
  <c r="I215" i="13" s="1"/>
  <c r="R186" i="13"/>
  <c r="J198" i="13"/>
  <c r="I198" i="13"/>
  <c r="N152" i="13" l="1"/>
  <c r="Q152" i="13" s="1"/>
  <c r="M163" i="13"/>
  <c r="N163" i="13" s="1"/>
  <c r="Q163" i="13" s="1"/>
  <c r="L165" i="13"/>
  <c r="M111" i="13"/>
  <c r="M222" i="13"/>
  <c r="L223" i="13"/>
  <c r="M68" i="13"/>
  <c r="N68" i="13" s="1"/>
  <c r="N70" i="13" s="1"/>
  <c r="L70" i="13"/>
  <c r="P338" i="4"/>
  <c r="L266" i="4"/>
  <c r="O266" i="4" s="1"/>
  <c r="P266" i="4" s="1"/>
  <c r="L246" i="4"/>
  <c r="O246" i="4" s="1"/>
  <c r="P246" i="4" s="1"/>
  <c r="L213" i="13"/>
  <c r="L15" i="13"/>
  <c r="J18" i="13"/>
  <c r="L362" i="4"/>
  <c r="K365" i="4"/>
  <c r="K264" i="4"/>
  <c r="L264" i="4" s="1"/>
  <c r="J267" i="4"/>
  <c r="L250" i="4"/>
  <c r="K251" i="4"/>
  <c r="R74" i="13"/>
  <c r="R75" i="13" s="1"/>
  <c r="M213" i="13" l="1"/>
  <c r="L215" i="13"/>
  <c r="Q110" i="13"/>
  <c r="Q111" i="13" s="1"/>
  <c r="M70" i="13"/>
  <c r="N222" i="13"/>
  <c r="M223" i="13"/>
  <c r="M165" i="13"/>
  <c r="L198" i="13"/>
  <c r="M15" i="13"/>
  <c r="N15" i="13" s="1"/>
  <c r="L18" i="13"/>
  <c r="O362" i="4"/>
  <c r="L365" i="4"/>
  <c r="K267" i="4"/>
  <c r="O250" i="4"/>
  <c r="L251" i="4"/>
  <c r="O87" i="4"/>
  <c r="Q222" i="13" l="1"/>
  <c r="N223" i="13"/>
  <c r="R110" i="13"/>
  <c r="R111" i="13" s="1"/>
  <c r="Q68" i="13"/>
  <c r="Q70" i="13" s="1"/>
  <c r="N165" i="13"/>
  <c r="N213" i="13"/>
  <c r="M215" i="13"/>
  <c r="M198" i="13"/>
  <c r="M18" i="13"/>
  <c r="O365" i="4"/>
  <c r="P362" i="4"/>
  <c r="P365" i="4" s="1"/>
  <c r="O264" i="4"/>
  <c r="O267" i="4" s="1"/>
  <c r="L267" i="4"/>
  <c r="O251" i="4"/>
  <c r="P250" i="4"/>
  <c r="P251" i="4" s="1"/>
  <c r="P87" i="4"/>
  <c r="J169" i="13"/>
  <c r="J170" i="13" s="1"/>
  <c r="I169" i="13"/>
  <c r="I170" i="13" s="1"/>
  <c r="J149" i="13"/>
  <c r="I149" i="13"/>
  <c r="I91" i="13"/>
  <c r="J91" i="13"/>
  <c r="J82" i="13"/>
  <c r="J84" i="13" s="1"/>
  <c r="J47" i="13"/>
  <c r="I47" i="13"/>
  <c r="I22" i="13"/>
  <c r="I24" i="13" s="1"/>
  <c r="J22" i="13"/>
  <c r="L91" i="13" l="1"/>
  <c r="M91" i="13" s="1"/>
  <c r="Q165" i="13"/>
  <c r="R163" i="13"/>
  <c r="R165" i="13" s="1"/>
  <c r="R68" i="13"/>
  <c r="R70" i="13" s="1"/>
  <c r="L47" i="13"/>
  <c r="M47" i="13" s="1"/>
  <c r="Q213" i="13"/>
  <c r="N215" i="13"/>
  <c r="R222" i="13"/>
  <c r="R223" i="13" s="1"/>
  <c r="Q223" i="13"/>
  <c r="N198" i="13"/>
  <c r="J24" i="13"/>
  <c r="L22" i="13"/>
  <c r="L149" i="13"/>
  <c r="M149" i="13" s="1"/>
  <c r="Q15" i="13"/>
  <c r="N18" i="13"/>
  <c r="L82" i="13"/>
  <c r="L169" i="13"/>
  <c r="P264" i="4"/>
  <c r="P267" i="4" s="1"/>
  <c r="J49" i="13"/>
  <c r="I49" i="13"/>
  <c r="N149" i="13" l="1"/>
  <c r="Q149" i="13" s="1"/>
  <c r="R149" i="13" s="1"/>
  <c r="N91" i="13"/>
  <c r="Q91" i="13" s="1"/>
  <c r="R91" i="13" s="1"/>
  <c r="L49" i="13"/>
  <c r="Q215" i="13"/>
  <c r="R213" i="13"/>
  <c r="R215" i="13" s="1"/>
  <c r="M169" i="13"/>
  <c r="N169" i="13" s="1"/>
  <c r="N170" i="13" s="1"/>
  <c r="L170" i="13"/>
  <c r="M82" i="13"/>
  <c r="N82" i="13" s="1"/>
  <c r="L84" i="13"/>
  <c r="Q198" i="13"/>
  <c r="R198" i="13"/>
  <c r="Q18" i="13"/>
  <c r="R15" i="13"/>
  <c r="R18" i="13" s="1"/>
  <c r="M22" i="13"/>
  <c r="N22" i="13" s="1"/>
  <c r="L24" i="13"/>
  <c r="N47" i="13"/>
  <c r="M49" i="13"/>
  <c r="R152" i="13"/>
  <c r="M84" i="13" l="1"/>
  <c r="M170" i="13"/>
  <c r="Q47" i="13"/>
  <c r="Q49" i="13" s="1"/>
  <c r="N49" i="13"/>
  <c r="M24" i="13"/>
  <c r="H9" i="14"/>
  <c r="G389" i="4"/>
  <c r="J389" i="4" s="1"/>
  <c r="K389" i="4" s="1"/>
  <c r="G392" i="4"/>
  <c r="G391" i="4"/>
  <c r="J391" i="4" s="1"/>
  <c r="K391" i="4" s="1"/>
  <c r="G390" i="4"/>
  <c r="G386" i="4"/>
  <c r="G385" i="4"/>
  <c r="G380" i="4"/>
  <c r="G388" i="4"/>
  <c r="G384" i="4"/>
  <c r="G383" i="4"/>
  <c r="J383" i="4" s="1"/>
  <c r="K383" i="4" s="1"/>
  <c r="G382" i="4"/>
  <c r="G379" i="4"/>
  <c r="G387" i="4"/>
  <c r="G381" i="4"/>
  <c r="J381" i="4" s="1"/>
  <c r="K381" i="4" s="1"/>
  <c r="G378" i="4"/>
  <c r="G377" i="4"/>
  <c r="G376" i="4"/>
  <c r="G208" i="4"/>
  <c r="G375" i="4"/>
  <c r="J375" i="4" s="1"/>
  <c r="G373" i="4"/>
  <c r="G16" i="4"/>
  <c r="G18" i="4" s="1"/>
  <c r="Q169" i="13" l="1"/>
  <c r="Q170" i="13" s="1"/>
  <c r="Q82" i="13"/>
  <c r="Q84" i="13" s="1"/>
  <c r="N84" i="13"/>
  <c r="L383" i="4"/>
  <c r="O383" i="4" s="1"/>
  <c r="P383" i="4" s="1"/>
  <c r="L391" i="4"/>
  <c r="O391" i="4" s="1"/>
  <c r="P391" i="4" s="1"/>
  <c r="L389" i="4"/>
  <c r="O389" i="4" s="1"/>
  <c r="P389" i="4" s="1"/>
  <c r="L381" i="4"/>
  <c r="O381" i="4" s="1"/>
  <c r="P381" i="4" s="1"/>
  <c r="Q22" i="13"/>
  <c r="N24" i="13"/>
  <c r="R47" i="13"/>
  <c r="R49" i="13" s="1"/>
  <c r="K375" i="4"/>
  <c r="J379" i="4"/>
  <c r="J390" i="4"/>
  <c r="K390" i="4" s="1"/>
  <c r="J385" i="4"/>
  <c r="K385" i="4" s="1"/>
  <c r="J387" i="4"/>
  <c r="K387" i="4" s="1"/>
  <c r="J373" i="4"/>
  <c r="J384" i="4"/>
  <c r="K384" i="4" s="1"/>
  <c r="J382" i="4"/>
  <c r="K382" i="4" s="1"/>
  <c r="J376" i="4"/>
  <c r="J386" i="4"/>
  <c r="K386" i="4" s="1"/>
  <c r="J392" i="4"/>
  <c r="K392" i="4" s="1"/>
  <c r="J377" i="4"/>
  <c r="J388" i="4"/>
  <c r="K388" i="4" s="1"/>
  <c r="J378" i="4"/>
  <c r="J380" i="4"/>
  <c r="K380" i="4" s="1"/>
  <c r="P279" i="4"/>
  <c r="P297" i="4"/>
  <c r="P299" i="4"/>
  <c r="P294" i="4"/>
  <c r="P298" i="4"/>
  <c r="R169" i="13" l="1"/>
  <c r="R170" i="13" s="1"/>
  <c r="R82" i="13"/>
  <c r="R84" i="13" s="1"/>
  <c r="L392" i="4"/>
  <c r="O392" i="4" s="1"/>
  <c r="P392" i="4" s="1"/>
  <c r="L386" i="4"/>
  <c r="O386" i="4" s="1"/>
  <c r="P386" i="4" s="1"/>
  <c r="L384" i="4"/>
  <c r="O384" i="4" s="1"/>
  <c r="P384" i="4" s="1"/>
  <c r="L380" i="4"/>
  <c r="O380" i="4" s="1"/>
  <c r="P380" i="4" s="1"/>
  <c r="L390" i="4"/>
  <c r="O390" i="4" s="1"/>
  <c r="P390" i="4" s="1"/>
  <c r="L387" i="4"/>
  <c r="O387" i="4" s="1"/>
  <c r="P387" i="4" s="1"/>
  <c r="L375" i="4"/>
  <c r="O375" i="4" s="1"/>
  <c r="L382" i="4"/>
  <c r="O382" i="4" s="1"/>
  <c r="P382" i="4" s="1"/>
  <c r="L385" i="4"/>
  <c r="O385" i="4" s="1"/>
  <c r="P385" i="4" s="1"/>
  <c r="L388" i="4"/>
  <c r="Q24" i="13"/>
  <c r="R22" i="13"/>
  <c r="K373" i="4"/>
  <c r="K379" i="4"/>
  <c r="K378" i="4"/>
  <c r="K377" i="4"/>
  <c r="K376" i="4"/>
  <c r="G225" i="4"/>
  <c r="H368" i="4"/>
  <c r="H370" i="4" s="1"/>
  <c r="G368" i="4"/>
  <c r="G370" i="4" s="1"/>
  <c r="H354" i="4"/>
  <c r="H355" i="4" s="1"/>
  <c r="G354" i="4"/>
  <c r="H350" i="4"/>
  <c r="H351" i="4" s="1"/>
  <c r="G350" i="4"/>
  <c r="H314" i="4"/>
  <c r="G314" i="4"/>
  <c r="H313" i="4"/>
  <c r="G313" i="4"/>
  <c r="H230" i="4"/>
  <c r="G230" i="4"/>
  <c r="L376" i="4" l="1"/>
  <c r="O376" i="4" s="1"/>
  <c r="L379" i="4"/>
  <c r="O379" i="4" s="1"/>
  <c r="L373" i="4"/>
  <c r="O373" i="4" s="1"/>
  <c r="O377" i="4"/>
  <c r="L377" i="4"/>
  <c r="L378" i="4"/>
  <c r="O378" i="4" s="1"/>
  <c r="O388" i="4"/>
  <c r="P388" i="4" s="1"/>
  <c r="J230" i="4"/>
  <c r="K230" i="4" s="1"/>
  <c r="J313" i="4"/>
  <c r="K313" i="4" s="1"/>
  <c r="L313" i="4" s="1"/>
  <c r="O313" i="4" s="1"/>
  <c r="J354" i="4"/>
  <c r="K354" i="4" s="1"/>
  <c r="L354" i="4" s="1"/>
  <c r="G355" i="4"/>
  <c r="H318" i="4"/>
  <c r="J350" i="4"/>
  <c r="J368" i="4"/>
  <c r="J314" i="4"/>
  <c r="G351" i="4"/>
  <c r="G318" i="4"/>
  <c r="G227" i="4"/>
  <c r="P226" i="4"/>
  <c r="J231" i="4" l="1"/>
  <c r="J355" i="4"/>
  <c r="K368" i="4"/>
  <c r="J370" i="4"/>
  <c r="K355" i="4"/>
  <c r="K350" i="4"/>
  <c r="L350" i="4" s="1"/>
  <c r="J351" i="4"/>
  <c r="K314" i="4"/>
  <c r="J318" i="4"/>
  <c r="L230" i="4"/>
  <c r="K231" i="4"/>
  <c r="P313" i="4"/>
  <c r="L368" i="4" l="1"/>
  <c r="K370" i="4"/>
  <c r="L355" i="4"/>
  <c r="O354" i="4"/>
  <c r="K351" i="4"/>
  <c r="L314" i="4"/>
  <c r="K318" i="4"/>
  <c r="L231" i="4"/>
  <c r="O230" i="4"/>
  <c r="H35" i="4"/>
  <c r="H104" i="4"/>
  <c r="H105" i="4" s="1"/>
  <c r="G104" i="4"/>
  <c r="H136" i="4"/>
  <c r="G136" i="4"/>
  <c r="J104" i="4" l="1"/>
  <c r="O368" i="4"/>
  <c r="L370" i="4"/>
  <c r="O355" i="4"/>
  <c r="P354" i="4"/>
  <c r="P355" i="4" s="1"/>
  <c r="O350" i="4"/>
  <c r="L351" i="4"/>
  <c r="O314" i="4"/>
  <c r="L318" i="4"/>
  <c r="J136" i="4"/>
  <c r="K136" i="4" s="1"/>
  <c r="O231" i="4"/>
  <c r="P230" i="4"/>
  <c r="P231" i="4" s="1"/>
  <c r="K104" i="4"/>
  <c r="L104" i="4" s="1"/>
  <c r="J105" i="4"/>
  <c r="G105" i="4"/>
  <c r="L136" i="4" l="1"/>
  <c r="O136" i="4" s="1"/>
  <c r="P136" i="4" s="1"/>
  <c r="O370" i="4"/>
  <c r="P368" i="4"/>
  <c r="P370" i="4" s="1"/>
  <c r="O351" i="4"/>
  <c r="P350" i="4"/>
  <c r="P351" i="4" s="1"/>
  <c r="O318" i="4"/>
  <c r="P314" i="4"/>
  <c r="P318" i="4" s="1"/>
  <c r="K105" i="4"/>
  <c r="J90" i="13"/>
  <c r="J92" i="13" s="1"/>
  <c r="I90" i="13"/>
  <c r="I92" i="13" s="1"/>
  <c r="I63" i="13"/>
  <c r="J63" i="13"/>
  <c r="P49" i="4"/>
  <c r="L63" i="13" l="1"/>
  <c r="M63" i="13" s="1"/>
  <c r="L90" i="13"/>
  <c r="O104" i="4"/>
  <c r="L105" i="4"/>
  <c r="N63" i="13" l="1"/>
  <c r="Q63" i="13" s="1"/>
  <c r="R63" i="13" s="1"/>
  <c r="M90" i="13"/>
  <c r="L92" i="13"/>
  <c r="O105" i="4"/>
  <c r="P104" i="4"/>
  <c r="N90" i="13" l="1"/>
  <c r="N92" i="13" s="1"/>
  <c r="M92" i="13"/>
  <c r="P130" i="4"/>
  <c r="Q90" i="13" l="1"/>
  <c r="G151" i="4"/>
  <c r="H151" i="4"/>
  <c r="G194" i="4"/>
  <c r="H194" i="4"/>
  <c r="G185" i="4"/>
  <c r="H185" i="4"/>
  <c r="Q92" i="13" l="1"/>
  <c r="R90" i="13"/>
  <c r="R92" i="13" s="1"/>
  <c r="J185" i="4"/>
  <c r="K185" i="4" s="1"/>
  <c r="J194" i="4"/>
  <c r="K194" i="4" s="1"/>
  <c r="J151" i="4"/>
  <c r="K151" i="4" s="1"/>
  <c r="P291" i="4"/>
  <c r="G124" i="4"/>
  <c r="H124" i="4"/>
  <c r="G144" i="4"/>
  <c r="H144" i="4"/>
  <c r="L194" i="4" l="1"/>
  <c r="O194" i="4" s="1"/>
  <c r="P194" i="4" s="1"/>
  <c r="L185" i="4"/>
  <c r="O185" i="4" s="1"/>
  <c r="P185" i="4" s="1"/>
  <c r="L151" i="4"/>
  <c r="O151" i="4" s="1"/>
  <c r="P151" i="4" s="1"/>
  <c r="J144" i="4"/>
  <c r="K144" i="4" s="1"/>
  <c r="J124" i="4"/>
  <c r="K124" i="4" s="1"/>
  <c r="G129" i="4"/>
  <c r="G50" i="4"/>
  <c r="L124" i="4" l="1"/>
  <c r="O124" i="4" s="1"/>
  <c r="P124" i="4" s="1"/>
  <c r="L144" i="4"/>
  <c r="O144" i="4" s="1"/>
  <c r="P144" i="4" s="1"/>
  <c r="G51" i="4"/>
  <c r="I174" i="13"/>
  <c r="I151" i="13"/>
  <c r="J151" i="13"/>
  <c r="L151" i="13" l="1"/>
  <c r="M151" i="13" s="1"/>
  <c r="N151" i="13" s="1"/>
  <c r="R173" i="13"/>
  <c r="R174" i="13" s="1"/>
  <c r="H162" i="4"/>
  <c r="H163" i="4" l="1"/>
  <c r="Q151" i="13" l="1"/>
  <c r="G128" i="4"/>
  <c r="H128" i="4"/>
  <c r="G122" i="4"/>
  <c r="H122" i="4"/>
  <c r="J122" i="4" l="1"/>
  <c r="K122" i="4" s="1"/>
  <c r="J128" i="4"/>
  <c r="K128" i="4" s="1"/>
  <c r="L128" i="4" l="1"/>
  <c r="O128" i="4" s="1"/>
  <c r="P128" i="4" s="1"/>
  <c r="L122" i="4"/>
  <c r="O122" i="4" s="1"/>
  <c r="P122" i="4" s="1"/>
  <c r="J153" i="13"/>
  <c r="I153" i="13"/>
  <c r="J154" i="13"/>
  <c r="I154" i="13"/>
  <c r="H109" i="4"/>
  <c r="J109" i="4" s="1"/>
  <c r="K109" i="4" s="1"/>
  <c r="H108" i="4"/>
  <c r="G108" i="4"/>
  <c r="G111" i="4"/>
  <c r="H135" i="4"/>
  <c r="G163" i="4"/>
  <c r="G135" i="4"/>
  <c r="G70" i="4"/>
  <c r="H70" i="4"/>
  <c r="G164" i="4"/>
  <c r="G36" i="4"/>
  <c r="H36" i="4"/>
  <c r="G35" i="4"/>
  <c r="H56" i="4"/>
  <c r="G56" i="4"/>
  <c r="G199" i="4"/>
  <c r="H199" i="4"/>
  <c r="H50" i="4"/>
  <c r="J50" i="4" s="1"/>
  <c r="H164" i="4"/>
  <c r="G30" i="4"/>
  <c r="H30" i="4"/>
  <c r="G42" i="4"/>
  <c r="H42" i="4"/>
  <c r="G45" i="4"/>
  <c r="H45" i="4"/>
  <c r="G96" i="4"/>
  <c r="H96" i="4"/>
  <c r="L154" i="13" l="1"/>
  <c r="M154" i="13" s="1"/>
  <c r="J56" i="4"/>
  <c r="K56" i="4" s="1"/>
  <c r="L56" i="4" s="1"/>
  <c r="L109" i="4"/>
  <c r="O109" i="4" s="1"/>
  <c r="P109" i="4" s="1"/>
  <c r="L153" i="13"/>
  <c r="M153" i="13" s="1"/>
  <c r="J108" i="4"/>
  <c r="K108" i="4" s="1"/>
  <c r="J135" i="4"/>
  <c r="K135" i="4" s="1"/>
  <c r="L135" i="4" s="1"/>
  <c r="J70" i="4"/>
  <c r="K70" i="4" s="1"/>
  <c r="O56" i="4"/>
  <c r="J163" i="4"/>
  <c r="K163" i="4" s="1"/>
  <c r="J30" i="4"/>
  <c r="K30" i="4" s="1"/>
  <c r="J42" i="4"/>
  <c r="J35" i="4"/>
  <c r="J96" i="4"/>
  <c r="K96" i="4" s="1"/>
  <c r="J36" i="4"/>
  <c r="K36" i="4" s="1"/>
  <c r="K50" i="4"/>
  <c r="L50" i="4" s="1"/>
  <c r="J51" i="4"/>
  <c r="H200" i="4"/>
  <c r="J164" i="4"/>
  <c r="K164" i="4" s="1"/>
  <c r="J45" i="4"/>
  <c r="K45" i="4" s="1"/>
  <c r="J199" i="4"/>
  <c r="H51" i="4"/>
  <c r="G200" i="4"/>
  <c r="R226" i="13"/>
  <c r="R229" i="13" s="1"/>
  <c r="N154" i="13" l="1"/>
  <c r="Q154" i="13" s="1"/>
  <c r="R154" i="13" s="1"/>
  <c r="N153" i="13"/>
  <c r="Q153" i="13" s="1"/>
  <c r="R153" i="13" s="1"/>
  <c r="L164" i="4"/>
  <c r="O164" i="4" s="1"/>
  <c r="L163" i="4"/>
  <c r="O163" i="4" s="1"/>
  <c r="L108" i="4"/>
  <c r="O108" i="4" s="1"/>
  <c r="P108" i="4" s="1"/>
  <c r="L96" i="4"/>
  <c r="O96" i="4" s="1"/>
  <c r="L70" i="4"/>
  <c r="O70" i="4" s="1"/>
  <c r="L45" i="4"/>
  <c r="O45" i="4" s="1"/>
  <c r="P45" i="4" s="1"/>
  <c r="L36" i="4"/>
  <c r="O36" i="4" s="1"/>
  <c r="L30" i="4"/>
  <c r="O30" i="4" s="1"/>
  <c r="K199" i="4"/>
  <c r="J200" i="4"/>
  <c r="K42" i="4"/>
  <c r="L42" i="4" s="1"/>
  <c r="K51" i="4"/>
  <c r="K35" i="4"/>
  <c r="L35" i="4" s="1"/>
  <c r="R185" i="13"/>
  <c r="R188" i="13" s="1"/>
  <c r="L199" i="4" l="1"/>
  <c r="K200" i="4"/>
  <c r="O135" i="4"/>
  <c r="O50" i="4"/>
  <c r="O51" i="4" s="1"/>
  <c r="L51" i="4"/>
  <c r="J62" i="13"/>
  <c r="I62" i="13"/>
  <c r="I64" i="13" s="1"/>
  <c r="L62" i="13" l="1"/>
  <c r="J64" i="13"/>
  <c r="O199" i="4"/>
  <c r="O200" i="4" s="1"/>
  <c r="L200" i="4"/>
  <c r="O35" i="4"/>
  <c r="O42" i="4"/>
  <c r="M62" i="13" l="1"/>
  <c r="N62" i="13" s="1"/>
  <c r="L64" i="13"/>
  <c r="P199" i="4"/>
  <c r="P200" i="4" s="1"/>
  <c r="P177" i="4"/>
  <c r="M64" i="13" l="1"/>
  <c r="R177" i="13"/>
  <c r="R179" i="13" s="1"/>
  <c r="Q62" i="13" l="1"/>
  <c r="N64" i="13"/>
  <c r="P70" i="4"/>
  <c r="P71" i="4"/>
  <c r="P36" i="4"/>
  <c r="Q64" i="13" l="1"/>
  <c r="R62" i="13"/>
  <c r="R64" i="13" s="1"/>
  <c r="P35" i="4"/>
  <c r="A23" i="13"/>
  <c r="A27" i="13" s="1"/>
  <c r="I34" i="13"/>
  <c r="I35" i="13" s="1"/>
  <c r="J34" i="13"/>
  <c r="I145" i="13"/>
  <c r="I146" i="13" s="1"/>
  <c r="J145" i="13"/>
  <c r="J146" i="13" s="1"/>
  <c r="L145" i="13" l="1"/>
  <c r="L34" i="13"/>
  <c r="J35" i="13"/>
  <c r="J233" i="13"/>
  <c r="J234" i="13" s="1"/>
  <c r="I233" i="13"/>
  <c r="I234" i="13" s="1"/>
  <c r="M145" i="13" l="1"/>
  <c r="N145" i="13" s="1"/>
  <c r="L146" i="13"/>
  <c r="L233" i="13"/>
  <c r="M34" i="13"/>
  <c r="N34" i="13" s="1"/>
  <c r="L35" i="13"/>
  <c r="R21" i="13"/>
  <c r="R24" i="13" s="1"/>
  <c r="H64" i="4"/>
  <c r="H190" i="4"/>
  <c r="H191" i="4"/>
  <c r="H192" i="4"/>
  <c r="G64" i="4"/>
  <c r="G190" i="4"/>
  <c r="G191" i="4"/>
  <c r="G192" i="4"/>
  <c r="J64" i="4" l="1"/>
  <c r="K64" i="4" s="1"/>
  <c r="L64" i="4" s="1"/>
  <c r="M233" i="13"/>
  <c r="N233" i="13" s="1"/>
  <c r="N234" i="13" s="1"/>
  <c r="L234" i="13"/>
  <c r="M146" i="13"/>
  <c r="M35" i="13"/>
  <c r="H196" i="4"/>
  <c r="G196" i="4"/>
  <c r="J192" i="4"/>
  <c r="K192" i="4" s="1"/>
  <c r="J191" i="4"/>
  <c r="J190" i="4"/>
  <c r="K190" i="4" s="1"/>
  <c r="H174" i="4"/>
  <c r="H175" i="4" s="1"/>
  <c r="G174" i="4"/>
  <c r="L190" i="4" l="1"/>
  <c r="O190" i="4" s="1"/>
  <c r="P190" i="4" s="1"/>
  <c r="J65" i="4"/>
  <c r="L192" i="4"/>
  <c r="O192" i="4" s="1"/>
  <c r="P192" i="4" s="1"/>
  <c r="M234" i="13"/>
  <c r="Q145" i="13"/>
  <c r="N146" i="13"/>
  <c r="Q34" i="13"/>
  <c r="N35" i="13"/>
  <c r="K191" i="4"/>
  <c r="L191" i="4" s="1"/>
  <c r="J196" i="4"/>
  <c r="J174" i="4"/>
  <c r="K65" i="4"/>
  <c r="G175" i="4"/>
  <c r="P96" i="4"/>
  <c r="Q233" i="13" l="1"/>
  <c r="R145" i="13"/>
  <c r="R146" i="13" s="1"/>
  <c r="Q146" i="13"/>
  <c r="Q35" i="13"/>
  <c r="R34" i="13"/>
  <c r="R35" i="13" s="1"/>
  <c r="K174" i="4"/>
  <c r="L174" i="4" s="1"/>
  <c r="J175" i="4"/>
  <c r="K196" i="4"/>
  <c r="L65" i="4"/>
  <c r="O64" i="4"/>
  <c r="Q234" i="13" l="1"/>
  <c r="R233" i="13"/>
  <c r="R234" i="13" s="1"/>
  <c r="K175" i="4"/>
  <c r="O191" i="4"/>
  <c r="L196" i="4"/>
  <c r="O65" i="4"/>
  <c r="P64" i="4"/>
  <c r="P65" i="4" s="1"/>
  <c r="J205" i="13"/>
  <c r="I205" i="13"/>
  <c r="I206" i="13" s="1"/>
  <c r="J140" i="13"/>
  <c r="J142" i="13" s="1"/>
  <c r="I140" i="13"/>
  <c r="I142" i="13" s="1"/>
  <c r="J150" i="13"/>
  <c r="J155" i="13" s="1"/>
  <c r="I150" i="13"/>
  <c r="I155" i="13" s="1"/>
  <c r="I124" i="13"/>
  <c r="I128" i="13" s="1"/>
  <c r="J43" i="13"/>
  <c r="I43" i="13"/>
  <c r="I44" i="13" s="1"/>
  <c r="J38" i="13"/>
  <c r="I38" i="13"/>
  <c r="I40" i="13" s="1"/>
  <c r="H16" i="4"/>
  <c r="J16" i="4" s="1"/>
  <c r="K16" i="4" s="1"/>
  <c r="L16" i="4" s="1"/>
  <c r="O16" i="4" s="1"/>
  <c r="H346" i="4"/>
  <c r="G346" i="4"/>
  <c r="H345" i="4"/>
  <c r="G345" i="4"/>
  <c r="L124" i="13" l="1"/>
  <c r="L128" i="13" s="1"/>
  <c r="L205" i="13"/>
  <c r="J206" i="13"/>
  <c r="J346" i="4"/>
  <c r="K346" i="4" s="1"/>
  <c r="L346" i="4" s="1"/>
  <c r="J44" i="13"/>
  <c r="L43" i="13"/>
  <c r="L150" i="13"/>
  <c r="J40" i="13"/>
  <c r="L38" i="13"/>
  <c r="L140" i="13"/>
  <c r="J345" i="4"/>
  <c r="O174" i="4"/>
  <c r="L175" i="4"/>
  <c r="P191" i="4"/>
  <c r="P196" i="4" s="1"/>
  <c r="O196" i="4"/>
  <c r="O346" i="4"/>
  <c r="P346" i="4" s="1"/>
  <c r="G347" i="4"/>
  <c r="H347" i="4"/>
  <c r="P377" i="4"/>
  <c r="P375" i="4"/>
  <c r="P373" i="4"/>
  <c r="G274" i="4"/>
  <c r="H274" i="4"/>
  <c r="H276" i="4" s="1"/>
  <c r="G275" i="4"/>
  <c r="H358" i="4"/>
  <c r="H359" i="4" s="1"/>
  <c r="G358" i="4"/>
  <c r="G359" i="4" s="1"/>
  <c r="G254" i="4"/>
  <c r="H254" i="4"/>
  <c r="G259" i="4"/>
  <c r="H259" i="4"/>
  <c r="G260" i="4"/>
  <c r="H260" i="4"/>
  <c r="G255" i="4"/>
  <c r="H255" i="4"/>
  <c r="H12" i="4"/>
  <c r="H18" i="4" s="1"/>
  <c r="G245" i="4"/>
  <c r="H245" i="4"/>
  <c r="H241" i="4"/>
  <c r="G241" i="4"/>
  <c r="H238" i="4"/>
  <c r="G238" i="4"/>
  <c r="H231" i="4"/>
  <c r="G231" i="4"/>
  <c r="H225" i="4"/>
  <c r="H221" i="4"/>
  <c r="G221" i="4"/>
  <c r="H220" i="4"/>
  <c r="G220" i="4"/>
  <c r="H239" i="4"/>
  <c r="G239" i="4"/>
  <c r="H212" i="4"/>
  <c r="H213" i="4" s="1"/>
  <c r="G212" i="4"/>
  <c r="H178" i="4"/>
  <c r="G178" i="4"/>
  <c r="H207" i="4"/>
  <c r="G207" i="4"/>
  <c r="H206" i="4"/>
  <c r="G206" i="4"/>
  <c r="H208" i="4"/>
  <c r="G203" i="4"/>
  <c r="H186" i="4"/>
  <c r="H187" i="4" s="1"/>
  <c r="G186" i="4"/>
  <c r="H169" i="4"/>
  <c r="G169" i="4"/>
  <c r="H138" i="4"/>
  <c r="G138" i="4"/>
  <c r="H149" i="4"/>
  <c r="G149" i="4"/>
  <c r="H123" i="4"/>
  <c r="G123" i="4"/>
  <c r="H139" i="4"/>
  <c r="G139" i="4"/>
  <c r="H152" i="4"/>
  <c r="H137" i="4"/>
  <c r="G137" i="4"/>
  <c r="H121" i="4"/>
  <c r="G121" i="4"/>
  <c r="H129" i="4"/>
  <c r="J129" i="4" s="1"/>
  <c r="K129" i="4" s="1"/>
  <c r="H143" i="4"/>
  <c r="H145" i="4" s="1"/>
  <c r="G143" i="4"/>
  <c r="G112" i="4"/>
  <c r="J112" i="4" s="1"/>
  <c r="K112" i="4" s="1"/>
  <c r="H93" i="4"/>
  <c r="G93" i="4"/>
  <c r="H127" i="4"/>
  <c r="G127" i="4"/>
  <c r="H44" i="4"/>
  <c r="G44" i="4"/>
  <c r="H111" i="4"/>
  <c r="J111" i="4" s="1"/>
  <c r="H72" i="4"/>
  <c r="G72" i="4"/>
  <c r="H150" i="4"/>
  <c r="G150" i="4"/>
  <c r="H161" i="4"/>
  <c r="H165" i="4" s="1"/>
  <c r="G161" i="4"/>
  <c r="G116" i="4"/>
  <c r="J116" i="4" s="1"/>
  <c r="G29" i="4"/>
  <c r="H29" i="4"/>
  <c r="G54" i="4"/>
  <c r="H54" i="4"/>
  <c r="G88" i="4"/>
  <c r="H88" i="4"/>
  <c r="H90" i="4" s="1"/>
  <c r="G43" i="4"/>
  <c r="H43" i="4"/>
  <c r="G21" i="4"/>
  <c r="G25" i="4"/>
  <c r="J25" i="4" s="1"/>
  <c r="K25" i="4" s="1"/>
  <c r="L25" i="4" s="1"/>
  <c r="O25" i="4" s="1"/>
  <c r="G81" i="4"/>
  <c r="H81" i="4"/>
  <c r="H84" i="4" s="1"/>
  <c r="G77" i="4"/>
  <c r="H77" i="4"/>
  <c r="H78" i="4" s="1"/>
  <c r="G31" i="4"/>
  <c r="H31" i="4"/>
  <c r="G37" i="4"/>
  <c r="H37" i="4"/>
  <c r="G65" i="4"/>
  <c r="H65" i="4"/>
  <c r="G69" i="4"/>
  <c r="H69" i="4"/>
  <c r="G100" i="4"/>
  <c r="H100" i="4"/>
  <c r="G162" i="4"/>
  <c r="H95" i="4"/>
  <c r="G95" i="4"/>
  <c r="H73" i="4"/>
  <c r="G73" i="4"/>
  <c r="H57" i="4"/>
  <c r="G57" i="4"/>
  <c r="H55" i="4"/>
  <c r="G55" i="4"/>
  <c r="J240" i="13" l="1"/>
  <c r="M140" i="13"/>
  <c r="N140" i="13" s="1"/>
  <c r="N142" i="13" s="1"/>
  <c r="L142" i="13"/>
  <c r="M205" i="13"/>
  <c r="L206" i="13"/>
  <c r="M124" i="13"/>
  <c r="M150" i="13"/>
  <c r="N150" i="13" s="1"/>
  <c r="L155" i="13"/>
  <c r="L129" i="4"/>
  <c r="O129" i="4" s="1"/>
  <c r="L112" i="4"/>
  <c r="O112" i="4" s="1"/>
  <c r="P112" i="4" s="1"/>
  <c r="G209" i="4"/>
  <c r="G261" i="4"/>
  <c r="L44" i="13"/>
  <c r="M43" i="13"/>
  <c r="N43" i="13" s="1"/>
  <c r="L40" i="13"/>
  <c r="M38" i="13"/>
  <c r="N38" i="13" s="1"/>
  <c r="K345" i="4"/>
  <c r="L345" i="4" s="1"/>
  <c r="J347" i="4"/>
  <c r="G276" i="4"/>
  <c r="H261" i="4"/>
  <c r="H209" i="4"/>
  <c r="J238" i="4"/>
  <c r="K238" i="4" s="1"/>
  <c r="J44" i="4"/>
  <c r="K44" i="4" s="1"/>
  <c r="J241" i="4"/>
  <c r="K241" i="4" s="1"/>
  <c r="J255" i="4"/>
  <c r="K255" i="4" s="1"/>
  <c r="J57" i="4"/>
  <c r="K57" i="4" s="1"/>
  <c r="J127" i="4"/>
  <c r="K127" i="4" s="1"/>
  <c r="L127" i="4" s="1"/>
  <c r="J93" i="4"/>
  <c r="K93" i="4" s="1"/>
  <c r="L93" i="4" s="1"/>
  <c r="J137" i="4"/>
  <c r="K137" i="4" s="1"/>
  <c r="L137" i="4" s="1"/>
  <c r="J260" i="4"/>
  <c r="K260" i="4" s="1"/>
  <c r="J73" i="4"/>
  <c r="K73" i="4" s="1"/>
  <c r="O175" i="4"/>
  <c r="P174" i="4"/>
  <c r="P175" i="4" s="1"/>
  <c r="J150" i="4"/>
  <c r="K150" i="4" s="1"/>
  <c r="H125" i="4"/>
  <c r="J149" i="4"/>
  <c r="K149" i="4" s="1"/>
  <c r="J212" i="4"/>
  <c r="J121" i="4"/>
  <c r="G125" i="4"/>
  <c r="K116" i="4"/>
  <c r="L116" i="4" s="1"/>
  <c r="J118" i="4"/>
  <c r="K111" i="4"/>
  <c r="L111" i="4" s="1"/>
  <c r="J113" i="4"/>
  <c r="J100" i="4"/>
  <c r="J31" i="4"/>
  <c r="K31" i="4" s="1"/>
  <c r="J43" i="4"/>
  <c r="J161" i="4"/>
  <c r="J123" i="4"/>
  <c r="K123" i="4" s="1"/>
  <c r="J186" i="4"/>
  <c r="J178" i="4"/>
  <c r="J221" i="4"/>
  <c r="K221" i="4" s="1"/>
  <c r="J275" i="4"/>
  <c r="J203" i="4"/>
  <c r="J225" i="4"/>
  <c r="J245" i="4"/>
  <c r="J274" i="4"/>
  <c r="K274" i="4" s="1"/>
  <c r="H247" i="4"/>
  <c r="J69" i="4"/>
  <c r="J88" i="4"/>
  <c r="J208" i="4"/>
  <c r="K208" i="4" s="1"/>
  <c r="J259" i="4"/>
  <c r="J77" i="4"/>
  <c r="J95" i="4"/>
  <c r="K95" i="4" s="1"/>
  <c r="J81" i="4"/>
  <c r="J54" i="4"/>
  <c r="J72" i="4"/>
  <c r="K72" i="4" s="1"/>
  <c r="J138" i="4"/>
  <c r="K138" i="4" s="1"/>
  <c r="J206" i="4"/>
  <c r="J239" i="4"/>
  <c r="H171" i="4"/>
  <c r="J152" i="4"/>
  <c r="J254" i="4"/>
  <c r="H179" i="4"/>
  <c r="H39" i="4"/>
  <c r="J55" i="4"/>
  <c r="K55" i="4" s="1"/>
  <c r="J162" i="4"/>
  <c r="K162" i="4" s="1"/>
  <c r="J37" i="4"/>
  <c r="J21" i="4"/>
  <c r="J29" i="4"/>
  <c r="J143" i="4"/>
  <c r="J139" i="4"/>
  <c r="K139" i="4" s="1"/>
  <c r="J169" i="4"/>
  <c r="J207" i="4"/>
  <c r="K207" i="4" s="1"/>
  <c r="J220" i="4"/>
  <c r="J358" i="4"/>
  <c r="J359" i="4" s="1"/>
  <c r="G118" i="4"/>
  <c r="G78" i="4"/>
  <c r="G90" i="4"/>
  <c r="G204" i="4"/>
  <c r="G213" i="4"/>
  <c r="G247" i="4"/>
  <c r="G187" i="4"/>
  <c r="J12" i="4"/>
  <c r="J18" i="4" s="1"/>
  <c r="G84" i="4"/>
  <c r="G26" i="4"/>
  <c r="J26" i="4" s="1"/>
  <c r="G113" i="4"/>
  <c r="G179" i="4"/>
  <c r="G39" i="4"/>
  <c r="G22" i="4"/>
  <c r="G145" i="4"/>
  <c r="G171" i="4"/>
  <c r="G46" i="4"/>
  <c r="H140" i="4"/>
  <c r="H113" i="4"/>
  <c r="H59" i="4"/>
  <c r="G59" i="4"/>
  <c r="H46" i="4"/>
  <c r="G140" i="4"/>
  <c r="G165" i="4"/>
  <c r="H101" i="4"/>
  <c r="H227" i="4"/>
  <c r="H222" i="4"/>
  <c r="G153" i="4"/>
  <c r="G74" i="4"/>
  <c r="G32" i="4"/>
  <c r="G131" i="4"/>
  <c r="H153" i="4"/>
  <c r="G101" i="4"/>
  <c r="H256" i="4"/>
  <c r="H74" i="4"/>
  <c r="H32" i="4"/>
  <c r="G256" i="4"/>
  <c r="G97" i="4"/>
  <c r="H131" i="4"/>
  <c r="G242" i="4"/>
  <c r="H97" i="4"/>
  <c r="G222" i="4"/>
  <c r="H242" i="4"/>
  <c r="P16" i="4"/>
  <c r="P282" i="4"/>
  <c r="P292" i="4"/>
  <c r="P293" i="4"/>
  <c r="P289" i="4"/>
  <c r="P283" i="4"/>
  <c r="P290" i="4"/>
  <c r="P288" i="4"/>
  <c r="P286" i="4"/>
  <c r="P287" i="4"/>
  <c r="P285" i="4"/>
  <c r="P284" i="4"/>
  <c r="P163" i="4"/>
  <c r="P376" i="4"/>
  <c r="P164" i="4"/>
  <c r="P103" i="4"/>
  <c r="P105" i="4" s="1"/>
  <c r="P378" i="4"/>
  <c r="P379" i="4"/>
  <c r="G12" i="14"/>
  <c r="H12" i="14"/>
  <c r="G9" i="14"/>
  <c r="K9" i="14" s="1"/>
  <c r="N124" i="13" l="1"/>
  <c r="N128" i="13" s="1"/>
  <c r="M128" i="13"/>
  <c r="N205" i="13"/>
  <c r="M206" i="13"/>
  <c r="M155" i="13"/>
  <c r="M142" i="13"/>
  <c r="K26" i="4"/>
  <c r="J396" i="4"/>
  <c r="L274" i="4"/>
  <c r="O274" i="4" s="1"/>
  <c r="P274" i="4" s="1"/>
  <c r="L260" i="4"/>
  <c r="O260" i="4" s="1"/>
  <c r="P260" i="4" s="1"/>
  <c r="L238" i="4"/>
  <c r="O238" i="4" s="1"/>
  <c r="P238" i="4" s="1"/>
  <c r="L241" i="4"/>
  <c r="O241" i="4" s="1"/>
  <c r="P241" i="4" s="1"/>
  <c r="L162" i="4"/>
  <c r="O162" i="4" s="1"/>
  <c r="P162" i="4" s="1"/>
  <c r="L208" i="4"/>
  <c r="O208" i="4" s="1"/>
  <c r="P208" i="4" s="1"/>
  <c r="L207" i="4"/>
  <c r="O207" i="4" s="1"/>
  <c r="P207" i="4" s="1"/>
  <c r="L221" i="4"/>
  <c r="O221" i="4" s="1"/>
  <c r="P221" i="4" s="1"/>
  <c r="L255" i="4"/>
  <c r="O255" i="4" s="1"/>
  <c r="P255" i="4" s="1"/>
  <c r="L149" i="4"/>
  <c r="O149" i="4" s="1"/>
  <c r="P149" i="4" s="1"/>
  <c r="L138" i="4"/>
  <c r="O138" i="4" s="1"/>
  <c r="P138" i="4" s="1"/>
  <c r="L150" i="4"/>
  <c r="O150" i="4" s="1"/>
  <c r="P150" i="4" s="1"/>
  <c r="L139" i="4"/>
  <c r="O139" i="4" s="1"/>
  <c r="P139" i="4" s="1"/>
  <c r="L123" i="4"/>
  <c r="O123" i="4" s="1"/>
  <c r="P123" i="4" s="1"/>
  <c r="L72" i="4"/>
  <c r="O72" i="4" s="1"/>
  <c r="P72" i="4" s="1"/>
  <c r="L57" i="4"/>
  <c r="O57" i="4" s="1"/>
  <c r="P57" i="4" s="1"/>
  <c r="L95" i="4"/>
  <c r="O95" i="4" s="1"/>
  <c r="P95" i="4" s="1"/>
  <c r="L73" i="4"/>
  <c r="O73" i="4" s="1"/>
  <c r="P73" i="4" s="1"/>
  <c r="L55" i="4"/>
  <c r="O55" i="4" s="1"/>
  <c r="P55" i="4" s="1"/>
  <c r="L44" i="4"/>
  <c r="O44" i="4" s="1"/>
  <c r="P44" i="4" s="1"/>
  <c r="L31" i="4"/>
  <c r="O31" i="4" s="1"/>
  <c r="P31" i="4" s="1"/>
  <c r="M40" i="13"/>
  <c r="M44" i="13"/>
  <c r="K347" i="4"/>
  <c r="K358" i="4"/>
  <c r="K275" i="4"/>
  <c r="L275" i="4" s="1"/>
  <c r="J276" i="4"/>
  <c r="K254" i="4"/>
  <c r="L254" i="4" s="1"/>
  <c r="J256" i="4"/>
  <c r="K245" i="4"/>
  <c r="L245" i="4" s="1"/>
  <c r="J247" i="4"/>
  <c r="K259" i="4"/>
  <c r="L259" i="4" s="1"/>
  <c r="J261" i="4"/>
  <c r="K239" i="4"/>
  <c r="L239" i="4" s="1"/>
  <c r="J242" i="4"/>
  <c r="J131" i="4"/>
  <c r="K169" i="4"/>
  <c r="L169" i="4" s="1"/>
  <c r="J171" i="4"/>
  <c r="K178" i="4"/>
  <c r="L178" i="4" s="1"/>
  <c r="J179" i="4"/>
  <c r="K220" i="4"/>
  <c r="L220" i="4" s="1"/>
  <c r="J222" i="4"/>
  <c r="K212" i="4"/>
  <c r="J213" i="4"/>
  <c r="K206" i="4"/>
  <c r="L206" i="4" s="1"/>
  <c r="J209" i="4"/>
  <c r="K225" i="4"/>
  <c r="L225" i="4" s="1"/>
  <c r="J227" i="4"/>
  <c r="K203" i="4"/>
  <c r="J204" i="4"/>
  <c r="K186" i="4"/>
  <c r="L186" i="4" s="1"/>
  <c r="J187" i="4"/>
  <c r="K161" i="4"/>
  <c r="L161" i="4" s="1"/>
  <c r="J165" i="4"/>
  <c r="K152" i="4"/>
  <c r="L152" i="4" s="1"/>
  <c r="J153" i="4"/>
  <c r="K143" i="4"/>
  <c r="L143" i="4" s="1"/>
  <c r="J145" i="4"/>
  <c r="K131" i="4"/>
  <c r="K121" i="4"/>
  <c r="L121" i="4" s="1"/>
  <c r="J125" i="4"/>
  <c r="J140" i="4"/>
  <c r="K140" i="4"/>
  <c r="K118" i="4"/>
  <c r="K113" i="4"/>
  <c r="K21" i="4"/>
  <c r="J22" i="4"/>
  <c r="K69" i="4"/>
  <c r="L69" i="4" s="1"/>
  <c r="J74" i="4"/>
  <c r="J32" i="4"/>
  <c r="K29" i="4"/>
  <c r="L29" i="4" s="1"/>
  <c r="K37" i="4"/>
  <c r="L37" i="4" s="1"/>
  <c r="J39" i="4"/>
  <c r="K54" i="4"/>
  <c r="L54" i="4" s="1"/>
  <c r="J59" i="4"/>
  <c r="J84" i="4"/>
  <c r="K81" i="4"/>
  <c r="L81" i="4" s="1"/>
  <c r="K43" i="4"/>
  <c r="L43" i="4" s="1"/>
  <c r="J46" i="4"/>
  <c r="K77" i="4"/>
  <c r="L77" i="4" s="1"/>
  <c r="J78" i="4"/>
  <c r="K88" i="4"/>
  <c r="L88" i="4" s="1"/>
  <c r="J90" i="4"/>
  <c r="J97" i="4"/>
  <c r="K12" i="4"/>
  <c r="K18" i="4" s="1"/>
  <c r="K97" i="4"/>
  <c r="J101" i="4"/>
  <c r="K100" i="4"/>
  <c r="L100" i="4" s="1"/>
  <c r="K12" i="14"/>
  <c r="P76" i="4"/>
  <c r="P156" i="4"/>
  <c r="P158" i="4" s="1"/>
  <c r="P296" i="4"/>
  <c r="P281" i="4"/>
  <c r="L12" i="14"/>
  <c r="P56" i="4"/>
  <c r="P50" i="4"/>
  <c r="P51" i="4" s="1"/>
  <c r="P30" i="4"/>
  <c r="P135" i="4"/>
  <c r="P129" i="4"/>
  <c r="P42" i="4"/>
  <c r="P148" i="4"/>
  <c r="P25" i="4"/>
  <c r="P26" i="4" s="1"/>
  <c r="P396" i="4" s="1"/>
  <c r="P68" i="4"/>
  <c r="Q124" i="13" l="1"/>
  <c r="Q128" i="13" s="1"/>
  <c r="Q140" i="13"/>
  <c r="Q150" i="13"/>
  <c r="Q155" i="13" s="1"/>
  <c r="N155" i="13"/>
  <c r="Q205" i="13"/>
  <c r="N206" i="13"/>
  <c r="L26" i="4"/>
  <c r="K396" i="4"/>
  <c r="K359" i="4"/>
  <c r="L358" i="4"/>
  <c r="L359" i="4" s="1"/>
  <c r="P310" i="4"/>
  <c r="L12" i="4"/>
  <c r="L18" i="4" s="1"/>
  <c r="Q43" i="13"/>
  <c r="N44" i="13"/>
  <c r="Q38" i="13"/>
  <c r="N40" i="13"/>
  <c r="L347" i="4"/>
  <c r="O345" i="4"/>
  <c r="K276" i="4"/>
  <c r="K247" i="4"/>
  <c r="K256" i="4"/>
  <c r="K261" i="4"/>
  <c r="K242" i="4"/>
  <c r="K179" i="4"/>
  <c r="K171" i="4"/>
  <c r="K227" i="4"/>
  <c r="K209" i="4"/>
  <c r="L212" i="4"/>
  <c r="K213" i="4"/>
  <c r="L203" i="4"/>
  <c r="K204" i="4"/>
  <c r="K222" i="4"/>
  <c r="K187" i="4"/>
  <c r="K165" i="4"/>
  <c r="K153" i="4"/>
  <c r="K145" i="4"/>
  <c r="K125" i="4"/>
  <c r="O127" i="4"/>
  <c r="L131" i="4"/>
  <c r="L140" i="4"/>
  <c r="O137" i="4"/>
  <c r="O116" i="4"/>
  <c r="L118" i="4"/>
  <c r="O111" i="4"/>
  <c r="L113" i="4"/>
  <c r="K84" i="4"/>
  <c r="K46" i="4"/>
  <c r="K59" i="4"/>
  <c r="K101" i="4"/>
  <c r="K39" i="4"/>
  <c r="K90" i="4"/>
  <c r="K74" i="4"/>
  <c r="K32" i="4"/>
  <c r="O93" i="4"/>
  <c r="L97" i="4"/>
  <c r="K78" i="4"/>
  <c r="L21" i="4"/>
  <c r="K22" i="4"/>
  <c r="L9" i="14"/>
  <c r="Q142" i="13" l="1"/>
  <c r="R140" i="13"/>
  <c r="R142" i="13" s="1"/>
  <c r="R150" i="13"/>
  <c r="Q206" i="13"/>
  <c r="R205" i="13"/>
  <c r="R206" i="13" s="1"/>
  <c r="R124" i="13"/>
  <c r="R128" i="13" s="1"/>
  <c r="O396" i="4"/>
  <c r="L396" i="4"/>
  <c r="Q40" i="13"/>
  <c r="R38" i="13"/>
  <c r="R40" i="13" s="1"/>
  <c r="Q44" i="13"/>
  <c r="R43" i="13"/>
  <c r="R44" i="13" s="1"/>
  <c r="O347" i="4"/>
  <c r="P345" i="4"/>
  <c r="P347" i="4" s="1"/>
  <c r="O358" i="4"/>
  <c r="O359" i="4" s="1"/>
  <c r="O275" i="4"/>
  <c r="L276" i="4"/>
  <c r="O254" i="4"/>
  <c r="L256" i="4"/>
  <c r="O245" i="4"/>
  <c r="L247" i="4"/>
  <c r="O259" i="4"/>
  <c r="L261" i="4"/>
  <c r="O239" i="4"/>
  <c r="L242" i="4"/>
  <c r="O169" i="4"/>
  <c r="L171" i="4"/>
  <c r="O178" i="4"/>
  <c r="L179" i="4"/>
  <c r="O203" i="4"/>
  <c r="L204" i="4"/>
  <c r="O206" i="4"/>
  <c r="L209" i="4"/>
  <c r="O212" i="4"/>
  <c r="L213" i="4"/>
  <c r="O220" i="4"/>
  <c r="L222" i="4"/>
  <c r="O225" i="4"/>
  <c r="O227" i="4" s="1"/>
  <c r="L227" i="4"/>
  <c r="O186" i="4"/>
  <c r="L187" i="4"/>
  <c r="O161" i="4"/>
  <c r="L165" i="4"/>
  <c r="O152" i="4"/>
  <c r="L153" i="4"/>
  <c r="O143" i="4"/>
  <c r="L145" i="4"/>
  <c r="O131" i="4"/>
  <c r="P127" i="4"/>
  <c r="P131" i="4" s="1"/>
  <c r="O121" i="4"/>
  <c r="L125" i="4"/>
  <c r="O140" i="4"/>
  <c r="P137" i="4"/>
  <c r="P140" i="4" s="1"/>
  <c r="O118" i="4"/>
  <c r="P116" i="4"/>
  <c r="P118" i="4" s="1"/>
  <c r="O113" i="4"/>
  <c r="P111" i="4"/>
  <c r="P113" i="4" s="1"/>
  <c r="L59" i="4"/>
  <c r="O54" i="4"/>
  <c r="L101" i="4"/>
  <c r="O100" i="4"/>
  <c r="O43" i="4"/>
  <c r="L46" i="4"/>
  <c r="O29" i="4"/>
  <c r="L32" i="4"/>
  <c r="O88" i="4"/>
  <c r="L90" i="4"/>
  <c r="O77" i="4"/>
  <c r="L78" i="4"/>
  <c r="O12" i="4"/>
  <c r="O18" i="4" s="1"/>
  <c r="O81" i="4"/>
  <c r="L84" i="4"/>
  <c r="L74" i="4"/>
  <c r="O69" i="4"/>
  <c r="O97" i="4"/>
  <c r="P93" i="4"/>
  <c r="P97" i="4" s="1"/>
  <c r="L39" i="4"/>
  <c r="O37" i="4"/>
  <c r="L22" i="4"/>
  <c r="O21" i="4"/>
  <c r="I101" i="13"/>
  <c r="I103" i="13" s="1"/>
  <c r="L101" i="13" l="1"/>
  <c r="P358" i="4"/>
  <c r="P359" i="4" s="1"/>
  <c r="P275" i="4"/>
  <c r="P276" i="4" s="1"/>
  <c r="O276" i="4"/>
  <c r="O247" i="4"/>
  <c r="P245" i="4"/>
  <c r="P247" i="4" s="1"/>
  <c r="O256" i="4"/>
  <c r="P254" i="4"/>
  <c r="P256" i="4" s="1"/>
  <c r="P259" i="4"/>
  <c r="P261" i="4" s="1"/>
  <c r="O261" i="4"/>
  <c r="O242" i="4"/>
  <c r="P239" i="4"/>
  <c r="P242" i="4" s="1"/>
  <c r="O179" i="4"/>
  <c r="P178" i="4"/>
  <c r="P179" i="4" s="1"/>
  <c r="O171" i="4"/>
  <c r="P169" i="4"/>
  <c r="P171" i="4" s="1"/>
  <c r="O213" i="4"/>
  <c r="P212" i="4"/>
  <c r="P213" i="4" s="1"/>
  <c r="O222" i="4"/>
  <c r="P220" i="4"/>
  <c r="P222" i="4" s="1"/>
  <c r="O209" i="4"/>
  <c r="P206" i="4"/>
  <c r="P209" i="4" s="1"/>
  <c r="P225" i="4"/>
  <c r="P227" i="4" s="1"/>
  <c r="O204" i="4"/>
  <c r="P203" i="4"/>
  <c r="P204" i="4" s="1"/>
  <c r="O187" i="4"/>
  <c r="P186" i="4"/>
  <c r="P187" i="4" s="1"/>
  <c r="O165" i="4"/>
  <c r="P161" i="4"/>
  <c r="P165" i="4" s="1"/>
  <c r="P152" i="4"/>
  <c r="P153" i="4" s="1"/>
  <c r="O153" i="4"/>
  <c r="O145" i="4"/>
  <c r="P143" i="4"/>
  <c r="P145" i="4" s="1"/>
  <c r="P121" i="4"/>
  <c r="P125" i="4" s="1"/>
  <c r="O125" i="4"/>
  <c r="P29" i="4"/>
  <c r="P32" i="4" s="1"/>
  <c r="O39" i="4"/>
  <c r="P37" i="4"/>
  <c r="P39" i="4" s="1"/>
  <c r="O78" i="4"/>
  <c r="P77" i="4"/>
  <c r="P78" i="4" s="1"/>
  <c r="O84" i="4"/>
  <c r="P81" i="4"/>
  <c r="P84" i="4" s="1"/>
  <c r="P12" i="4"/>
  <c r="P18" i="4" s="1"/>
  <c r="O22" i="4"/>
  <c r="P21" i="4"/>
  <c r="P22" i="4" s="1"/>
  <c r="O46" i="4"/>
  <c r="P43" i="4"/>
  <c r="P46" i="4" s="1"/>
  <c r="O101" i="4"/>
  <c r="P100" i="4"/>
  <c r="P101" i="4" s="1"/>
  <c r="O74" i="4"/>
  <c r="P69" i="4"/>
  <c r="P74" i="4" s="1"/>
  <c r="O59" i="4"/>
  <c r="P54" i="4"/>
  <c r="P59" i="4" s="1"/>
  <c r="O90" i="4"/>
  <c r="P88" i="4"/>
  <c r="P90" i="4" s="1"/>
  <c r="M101" i="13" l="1"/>
  <c r="N101" i="13" s="1"/>
  <c r="L103" i="13"/>
  <c r="L240" i="13" s="1"/>
  <c r="M103" i="13" l="1"/>
  <c r="M240" i="13" s="1"/>
  <c r="Q1048181" i="13"/>
  <c r="B64853" i="13"/>
  <c r="B64855" i="13" s="1"/>
  <c r="I111" i="13"/>
  <c r="I240" i="13" s="1"/>
  <c r="Q101" i="13" l="1"/>
  <c r="N103" i="13"/>
  <c r="N240" i="13" s="1"/>
  <c r="Q103" i="13" l="1"/>
  <c r="Q240" i="13" s="1"/>
  <c r="R101" i="13"/>
  <c r="R103" i="13" s="1"/>
  <c r="R151" i="13"/>
  <c r="R155" i="13" s="1"/>
  <c r="R240" i="13" s="1"/>
  <c r="B16919" i="4"/>
  <c r="B16921" i="4" s="1"/>
  <c r="H234" i="4"/>
  <c r="G234" i="4"/>
  <c r="J234" i="4" l="1"/>
  <c r="K234" i="4" s="1"/>
  <c r="L234" i="4" s="1"/>
  <c r="O234" i="4" s="1"/>
  <c r="P234" i="4" s="1"/>
  <c r="H235" i="4"/>
  <c r="G235" i="4"/>
  <c r="A31" i="13"/>
  <c r="A32" i="13" s="1"/>
  <c r="A33" i="13" s="1"/>
  <c r="A34" i="13" s="1"/>
  <c r="A38" i="13" s="1"/>
  <c r="J235" i="4" l="1"/>
  <c r="K235" i="4"/>
  <c r="A39" i="13"/>
  <c r="A43" i="13" s="1"/>
  <c r="A47" i="13" s="1"/>
  <c r="A48" i="13" s="1"/>
  <c r="A53" i="13" s="1"/>
  <c r="L235" i="4" l="1"/>
  <c r="A57" i="13"/>
  <c r="A62" i="13" s="1"/>
  <c r="K877141" i="14"/>
  <c r="O235" i="4" l="1"/>
  <c r="P235" i="4"/>
  <c r="A63" i="13"/>
  <c r="A67" i="13" s="1"/>
  <c r="A68" i="13" l="1"/>
  <c r="A69" i="13" s="1"/>
  <c r="A74" i="13" l="1"/>
  <c r="A78" i="13" s="1"/>
  <c r="A82" i="13" s="1"/>
  <c r="A83" i="13" l="1"/>
  <c r="A86" i="13" l="1"/>
  <c r="A90" i="13" s="1"/>
  <c r="A91" i="13" s="1"/>
  <c r="A95" i="13" s="1"/>
  <c r="A100" i="13" s="1"/>
  <c r="A101" i="13" l="1"/>
  <c r="A102" i="13" s="1"/>
  <c r="A106" i="13" s="1"/>
  <c r="A110" i="13" s="1"/>
  <c r="A114" i="13" s="1"/>
  <c r="A115" i="13" s="1"/>
  <c r="A119" i="13" s="1"/>
  <c r="A120" i="13" s="1"/>
  <c r="A124" i="13" s="1"/>
  <c r="A125" i="13" l="1"/>
  <c r="A49" i="4"/>
  <c r="A126" i="13" l="1"/>
  <c r="A127" i="13" s="1"/>
  <c r="A131" i="13" s="1"/>
  <c r="A132" i="13" s="1"/>
  <c r="A50" i="4"/>
  <c r="A54" i="4" s="1"/>
  <c r="A136" i="13" l="1"/>
  <c r="A140" i="13" s="1"/>
  <c r="A141" i="13" s="1"/>
  <c r="A145" i="13" s="1"/>
  <c r="A149" i="13" s="1"/>
  <c r="A150" i="13" s="1"/>
  <c r="A151" i="13" s="1"/>
  <c r="A152" i="13" s="1"/>
  <c r="A153" i="13" s="1"/>
  <c r="A154" i="13" s="1"/>
  <c r="A158" i="13" s="1"/>
  <c r="A162" i="13" s="1"/>
  <c r="A163" i="13" s="1"/>
  <c r="A164" i="13" s="1"/>
  <c r="A168" i="13" s="1"/>
  <c r="A169" i="13" s="1"/>
  <c r="A173" i="13" s="1"/>
  <c r="A177" i="13" s="1"/>
  <c r="A178" i="13" s="1"/>
  <c r="A182" i="13" s="1"/>
  <c r="A183" i="13" s="1"/>
  <c r="A184" i="13" s="1"/>
  <c r="A185" i="13" s="1"/>
  <c r="A186" i="13" s="1"/>
  <c r="A187" i="13" s="1"/>
  <c r="A191" i="13" s="1"/>
  <c r="A55" i="4"/>
  <c r="A196" i="13" l="1"/>
  <c r="A192" i="13"/>
  <c r="A56" i="4"/>
  <c r="A57" i="4" s="1"/>
  <c r="A58" i="4" s="1"/>
  <c r="A62" i="4" s="1"/>
  <c r="A63" i="4" s="1"/>
  <c r="A64" i="4" s="1"/>
  <c r="A68" i="4" s="1"/>
  <c r="A197" i="13" l="1"/>
  <c r="A201" i="13" s="1"/>
  <c r="A205" i="13" s="1"/>
  <c r="A209" i="13" s="1"/>
  <c r="A213" i="13" s="1"/>
  <c r="A214" i="13" s="1"/>
  <c r="A218" i="13" s="1"/>
  <c r="A222" i="13" s="1"/>
  <c r="A226" i="13" s="1"/>
  <c r="A227" i="13" s="1"/>
  <c r="A69" i="4"/>
  <c r="A70" i="4" s="1"/>
  <c r="A71" i="4" s="1"/>
  <c r="A72" i="4" s="1"/>
  <c r="A73" i="4" s="1"/>
  <c r="A76" i="4" s="1"/>
  <c r="A77" i="4" s="1"/>
  <c r="A233" i="13" l="1"/>
  <c r="A237" i="13" s="1"/>
  <c r="A228" i="13"/>
  <c r="A81" i="4"/>
  <c r="A82" i="4" l="1"/>
  <c r="A83" i="4" s="1"/>
  <c r="A87" i="4" s="1"/>
  <c r="A88" i="4" s="1"/>
  <c r="A89" i="4" l="1"/>
  <c r="A93" i="4" s="1"/>
  <c r="A94" i="4" l="1"/>
  <c r="A95" i="4" l="1"/>
  <c r="A96" i="4" s="1"/>
  <c r="A100" i="4" s="1"/>
  <c r="A103" i="4" s="1"/>
  <c r="A104" i="4" s="1"/>
  <c r="A108" i="4" s="1"/>
  <c r="B46" i="16"/>
  <c r="A109" i="4" l="1"/>
  <c r="B50" i="16"/>
  <c r="B54" i="16" s="1"/>
  <c r="A110" i="4" l="1"/>
  <c r="A111" i="4" s="1"/>
  <c r="A112" i="4" s="1"/>
  <c r="A116" i="4" s="1"/>
  <c r="B58" i="16"/>
  <c r="B62" i="16" s="1"/>
  <c r="B66" i="16" s="1"/>
  <c r="B71" i="16" s="1"/>
  <c r="B75" i="16" s="1"/>
  <c r="B76" i="16" s="1"/>
  <c r="B80" i="16" s="1"/>
  <c r="B81" i="16" s="1"/>
  <c r="B85" i="16" s="1"/>
  <c r="A117" i="4" l="1"/>
  <c r="A121" i="4" s="1"/>
  <c r="A122" i="4" s="1"/>
  <c r="A123" i="4" s="1"/>
  <c r="A124" i="4" s="1"/>
  <c r="A127" i="4" s="1"/>
  <c r="A128" i="4" s="1"/>
  <c r="A129" i="4" s="1"/>
  <c r="A130" i="4" s="1"/>
  <c r="A134" i="4" s="1"/>
  <c r="A135" i="4" s="1"/>
  <c r="A136" i="4" s="1"/>
  <c r="A137" i="4" s="1"/>
  <c r="A138" i="4" s="1"/>
  <c r="A139" i="4" s="1"/>
  <c r="A143" i="4" s="1"/>
  <c r="A144" i="4" s="1"/>
  <c r="A148" i="4" s="1"/>
  <c r="A149" i="4" s="1"/>
  <c r="A150" i="4" s="1"/>
  <c r="A151" i="4" s="1"/>
  <c r="A152" i="4" s="1"/>
  <c r="A156" i="4" s="1"/>
  <c r="A157" i="4" s="1"/>
  <c r="B89" i="16"/>
  <c r="B93" i="16" s="1"/>
  <c r="B97" i="16" s="1"/>
  <c r="B101" i="16" s="1"/>
  <c r="B105" i="16" s="1"/>
  <c r="B109" i="16" s="1"/>
  <c r="B113" i="16" s="1"/>
  <c r="B114" i="16" s="1"/>
  <c r="B118" i="16" s="1"/>
  <c r="B122" i="16" s="1"/>
  <c r="B123" i="16" s="1"/>
  <c r="A161" i="4" l="1"/>
  <c r="A162" i="4" s="1"/>
  <c r="A163" i="4" s="1"/>
  <c r="A164" i="4" s="1"/>
  <c r="A169" i="4" s="1"/>
  <c r="A170" i="4" s="1"/>
  <c r="A174" i="4" s="1"/>
  <c r="A177" i="4" s="1"/>
  <c r="A178" i="4" s="1"/>
  <c r="A182" i="4" s="1"/>
  <c r="A183" i="4" s="1"/>
  <c r="A184" i="4" s="1"/>
  <c r="A185" i="4" s="1"/>
  <c r="A186" i="4" s="1"/>
  <c r="A190" i="4" s="1"/>
  <c r="A191" i="4" s="1"/>
  <c r="A192" i="4" s="1"/>
  <c r="A193" i="4" s="1"/>
  <c r="A194" i="4" s="1"/>
  <c r="A199" i="4" s="1"/>
  <c r="A203" i="4" s="1"/>
  <c r="A206" i="4" s="1"/>
  <c r="A207" i="4" l="1"/>
  <c r="A208" i="4" s="1"/>
  <c r="A212" i="4" s="1"/>
  <c r="A216" i="4" s="1"/>
  <c r="A220" i="4" s="1"/>
  <c r="A221" i="4" s="1"/>
  <c r="A225" i="4" s="1"/>
  <c r="A226" i="4" s="1"/>
  <c r="A230" i="4" s="1"/>
  <c r="A234" i="4" l="1"/>
  <c r="A238" i="4" s="1"/>
  <c r="A239" i="4" s="1"/>
  <c r="A240" i="4" s="1"/>
  <c r="A241" i="4" s="1"/>
  <c r="A245" i="4" s="1"/>
  <c r="A246" i="4" s="1"/>
  <c r="A250" i="4" l="1"/>
  <c r="A254" i="4" s="1"/>
  <c r="A255" i="4" s="1"/>
  <c r="A259" i="4" s="1"/>
  <c r="A260" i="4" s="1"/>
  <c r="A264" i="4" s="1"/>
  <c r="A265" i="4" s="1"/>
  <c r="A266" i="4" s="1"/>
  <c r="A270" i="4" s="1"/>
  <c r="A274" i="4" l="1"/>
  <c r="A275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3" i="4" s="1"/>
  <c r="A314" i="4" l="1"/>
  <c r="A315" i="4" s="1"/>
  <c r="A316" i="4" s="1"/>
  <c r="A317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41" i="4" l="1"/>
  <c r="A345" i="4" s="1"/>
  <c r="A346" i="4" s="1"/>
  <c r="A350" i="4" s="1"/>
  <c r="A354" i="4" s="1"/>
  <c r="A358" i="4" l="1"/>
  <c r="A362" i="4" s="1"/>
  <c r="A363" i="4" s="1"/>
  <c r="A364" i="4" s="1"/>
  <c r="A368" i="4" s="1"/>
  <c r="A369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</calcChain>
</file>

<file path=xl/sharedStrings.xml><?xml version="1.0" encoding="utf-8"?>
<sst xmlns="http://schemas.openxmlformats.org/spreadsheetml/2006/main" count="1943" uniqueCount="681">
  <si>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</si>
  <si>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</si>
  <si>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</si>
  <si>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</si>
  <si>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</si>
  <si>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</si>
  <si>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</si>
  <si>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</si>
  <si>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</si>
  <si>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</si>
  <si>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</si>
  <si>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</si>
  <si>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</si>
  <si>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</si>
  <si>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</si>
  <si>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</si>
  <si>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</si>
  <si>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</si>
  <si>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</si>
  <si>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</si>
  <si>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</si>
  <si>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</si>
  <si>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</si>
  <si>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</si>
  <si>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</si>
  <si>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</si>
  <si>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</si>
  <si>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</si>
  <si>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</si>
  <si>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</si>
  <si>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</si>
  <si>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</si>
  <si>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</si>
  <si>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</si>
  <si>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</si>
  <si>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</si>
  <si>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</si>
  <si>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</si>
  <si>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</si>
  <si>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</si>
  <si>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</si>
  <si>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</si>
  <si>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</si>
  <si>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</si>
  <si>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</si>
  <si>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</si>
  <si>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</si>
  <si>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</si>
  <si>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</si>
  <si>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</si>
  <si>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</si>
  <si>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</si>
  <si>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</si>
  <si>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</si>
  <si>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</si>
  <si>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</si>
  <si>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</si>
  <si>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</si>
  <si>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</si>
  <si>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</si>
  <si>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</si>
  <si>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</si>
  <si>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</si>
  <si>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</si>
  <si>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</si>
  <si>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</si>
  <si>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</si>
  <si>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</si>
  <si>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</si>
  <si>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</si>
  <si>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</si>
  <si>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</si>
  <si>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</si>
  <si>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</si>
  <si>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</si>
  <si>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</si>
  <si>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</si>
  <si>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</si>
  <si>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</si>
  <si>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</si>
  <si>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</si>
  <si>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</si>
  <si>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</si>
  <si>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</si>
  <si>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</si>
  <si>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</si>
  <si>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</si>
  <si>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</si>
  <si>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</si>
  <si>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</si>
  <si>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</si>
  <si>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</si>
  <si>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</si>
  <si>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</si>
  <si>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</si>
  <si>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</si>
  <si>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</si>
  <si>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</si>
  <si>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</si>
  <si>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</si>
  <si>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</si>
  <si>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</si>
  <si>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</si>
  <si>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</si>
  <si>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</si>
  <si>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</si>
  <si>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</si>
  <si>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</si>
  <si>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</si>
  <si>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</si>
  <si>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</si>
  <si>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</si>
  <si>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</si>
  <si>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</si>
  <si>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</si>
  <si>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</si>
  <si>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</si>
  <si>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</si>
  <si>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</si>
  <si>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</si>
  <si>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</si>
  <si>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</si>
  <si>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</si>
  <si>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</si>
  <si>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</si>
  <si>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</si>
  <si>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</si>
  <si>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</si>
  <si>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</si>
  <si>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</si>
  <si>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</si>
  <si>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</si>
  <si>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</si>
  <si>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</si>
  <si>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</si>
  <si>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</si>
  <si>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</si>
  <si>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</si>
  <si>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</si>
  <si>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</si>
  <si>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</si>
  <si>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</si>
  <si>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</si>
  <si>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</si>
  <si>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</si>
  <si>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</si>
  <si>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</si>
  <si>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</si>
  <si>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</si>
  <si>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</si>
  <si>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</si>
  <si>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</si>
  <si>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</si>
  <si>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</si>
  <si>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</si>
  <si>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</si>
  <si>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</si>
  <si>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</si>
  <si>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</si>
  <si>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</si>
  <si>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</si>
  <si>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</si>
  <si>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</si>
  <si>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</si>
  <si>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</si>
  <si>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</si>
  <si>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</si>
  <si>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</si>
  <si>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</si>
  <si>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</si>
  <si>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</si>
  <si>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</si>
  <si>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</si>
  <si>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</si>
  <si>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</si>
  <si>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</si>
  <si>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</si>
  <si>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</si>
  <si>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</si>
  <si>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</si>
  <si>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</si>
  <si>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</si>
  <si>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</si>
  <si>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</si>
  <si>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</si>
  <si>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</si>
  <si>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</si>
  <si>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</si>
  <si>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</si>
  <si>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</si>
  <si>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</si>
  <si>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</si>
  <si>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</si>
  <si>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</si>
  <si>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</si>
  <si>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</si>
  <si>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</si>
  <si>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</si>
  <si>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</si>
  <si>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</si>
  <si>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</si>
  <si>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</si>
  <si>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</si>
  <si>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</si>
  <si>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</si>
  <si>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</si>
  <si>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</si>
  <si>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</si>
  <si>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</si>
  <si>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</si>
  <si>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</si>
  <si>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</si>
  <si>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</si>
  <si>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</si>
  <si>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</si>
  <si>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</si>
  <si>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</si>
  <si>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</si>
  <si>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</si>
  <si>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</si>
  <si>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</si>
  <si>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</si>
  <si>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</si>
  <si>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</si>
  <si>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</si>
  <si>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</si>
  <si>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</si>
  <si>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</si>
  <si>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</si>
  <si>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</si>
  <si>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</si>
  <si>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>DIVISIÓN ADMINISTRATIVA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</si>
  <si>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</si>
  <si>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</si>
  <si>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</si>
  <si>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</si>
  <si>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</si>
  <si>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</si>
  <si>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</si>
  <si>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</si>
  <si>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</si>
  <si>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</si>
  <si>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</si>
  <si>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</si>
  <si>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</si>
  <si>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</si>
  <si>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</si>
  <si>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</si>
  <si>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</si>
  <si>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</si>
  <si>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</si>
  <si>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</si>
  <si>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</si>
  <si>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</si>
  <si>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</si>
  <si>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</si>
  <si>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</si>
  <si>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</si>
  <si>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</si>
  <si>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</si>
  <si>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</si>
  <si>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</si>
  <si>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</si>
  <si>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</si>
  <si>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</si>
  <si>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</si>
  <si>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</si>
  <si>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</si>
  <si>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</si>
  <si>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</si>
  <si>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</si>
  <si>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</si>
  <si>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</si>
  <si>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</si>
  <si>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</si>
  <si>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</si>
  <si>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</si>
  <si>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</si>
  <si>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</si>
  <si>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</si>
  <si>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</si>
  <si>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</si>
  <si>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</si>
  <si>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</si>
  <si>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</si>
  <si>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</si>
  <si>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</si>
  <si>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</si>
  <si>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</si>
  <si>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</si>
  <si>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</si>
  <si>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</si>
  <si>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</si>
  <si>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</si>
  <si>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</si>
  <si>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</si>
  <si>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</si>
  <si>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</si>
  <si>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</si>
  <si>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</si>
  <si>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</si>
  <si>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</si>
  <si>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</si>
  <si>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</si>
  <si>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</si>
  <si>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</si>
  <si>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</si>
  <si>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</si>
  <si>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</si>
  <si>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</si>
  <si>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</si>
  <si>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</si>
  <si>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</si>
  <si>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</si>
  <si>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</si>
  <si>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</si>
  <si>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</si>
  <si>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</si>
  <si>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</si>
  <si>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</si>
  <si>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</si>
  <si>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</si>
  <si>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</si>
  <si>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</si>
  <si>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</si>
  <si>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</si>
  <si>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</si>
  <si>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</si>
  <si>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</si>
  <si>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</si>
  <si>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</si>
  <si>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</si>
  <si>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</si>
  <si>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</si>
  <si>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</si>
  <si>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</si>
  <si>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</si>
  <si>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</si>
  <si>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</si>
  <si>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</si>
  <si>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</si>
  <si>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</si>
  <si>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</si>
  <si>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</si>
  <si>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</si>
  <si>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</si>
  <si>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</si>
  <si>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</si>
  <si>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</si>
  <si>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</si>
  <si>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</si>
  <si>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</si>
  <si>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</si>
  <si>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</si>
  <si>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</si>
  <si>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</si>
  <si>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</si>
  <si>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</si>
  <si>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</si>
  <si>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</si>
  <si>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</si>
  <si>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</si>
  <si>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</si>
  <si>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</si>
  <si>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</si>
  <si>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</si>
  <si>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</si>
  <si>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</si>
  <si>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</si>
  <si>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</si>
  <si>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</si>
  <si>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</si>
  <si>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</si>
  <si>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</si>
  <si>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</si>
  <si>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</si>
  <si>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</si>
  <si>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</si>
  <si>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</si>
  <si>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</si>
  <si>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</si>
  <si>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</si>
  <si>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</si>
  <si>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</si>
  <si>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</si>
  <si>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</si>
  <si>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</si>
  <si>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</si>
  <si>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</si>
  <si>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</si>
  <si>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</si>
  <si>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</si>
  <si>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</si>
  <si>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</si>
  <si>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</si>
  <si>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</si>
  <si>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</si>
  <si>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</si>
  <si>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</si>
  <si>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</si>
  <si>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</si>
  <si>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</si>
  <si>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</si>
  <si>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</si>
  <si>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</si>
  <si>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</si>
  <si>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</si>
  <si>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</si>
  <si>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</si>
  <si>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</si>
  <si>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</si>
  <si>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</si>
  <si>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</si>
  <si>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</si>
  <si>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</si>
  <si>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</si>
  <si>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</si>
  <si>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</si>
  <si>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</si>
  <si>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</si>
  <si>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</si>
  <si>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</si>
  <si>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</si>
  <si>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</si>
  <si>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</si>
  <si>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</si>
  <si>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</si>
  <si>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</si>
  <si>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TÉCNICO DE RED Y TELECOMUNICACIONES</t>
  </si>
  <si>
    <t>M</t>
  </si>
  <si>
    <t>F</t>
  </si>
  <si>
    <t>Género</t>
  </si>
  <si>
    <t>JOSÉ ROBERTO MORETA DE LEÓN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</si>
  <si>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</si>
  <si>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</si>
  <si>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</si>
  <si>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</si>
  <si>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</si>
  <si>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</si>
  <si>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</si>
  <si>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</si>
  <si>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</si>
  <si>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</si>
  <si>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</si>
  <si>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</si>
  <si>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</si>
  <si>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</si>
  <si>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</si>
  <si>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</si>
  <si>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</si>
  <si>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</si>
  <si>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</si>
  <si>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</si>
  <si>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</si>
  <si>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</si>
  <si>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HÉCTOR ANTONIO OVALLES ALONZO 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</si>
  <si>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</si>
  <si>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</si>
  <si>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</si>
  <si>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</si>
  <si>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</si>
  <si>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</si>
  <si>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</si>
  <si>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</si>
  <si>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</si>
  <si>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</si>
  <si>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</si>
  <si>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</si>
  <si>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</si>
  <si>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</si>
  <si>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</si>
  <si>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</si>
  <si>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</si>
  <si>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</si>
  <si>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</si>
  <si>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</si>
  <si>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</si>
  <si>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</si>
  <si>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</si>
  <si>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</si>
  <si>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</si>
  <si>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</si>
  <si>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</si>
  <si>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</si>
  <si>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</si>
  <si>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</si>
  <si>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</si>
  <si>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</si>
  <si>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</si>
  <si>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</si>
  <si>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</si>
  <si>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</si>
  <si>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</si>
  <si>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</si>
  <si>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</si>
  <si>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</si>
  <si>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</si>
  <si>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</si>
  <si>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</si>
  <si>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</si>
  <si>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</si>
  <si>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</si>
  <si>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</si>
  <si>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</si>
  <si>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</si>
  <si>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</si>
  <si>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</si>
  <si>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</si>
  <si>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</si>
  <si>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</si>
  <si>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</si>
  <si>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</si>
  <si>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</si>
  <si>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</si>
  <si>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</si>
  <si>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</si>
  <si>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</si>
  <si>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</si>
  <si>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</si>
  <si>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</si>
  <si>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</si>
  <si>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</si>
  <si>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</si>
  <si>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</si>
  <si>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</si>
  <si>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</si>
  <si>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</si>
  <si>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</si>
  <si>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</si>
  <si>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</si>
  <si>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</si>
  <si>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</si>
  <si>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</si>
  <si>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</si>
  <si>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</si>
  <si>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</si>
  <si>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01 DE NOVIEMBRE DEL 2022</t>
  </si>
  <si>
    <t>ANALISTA DE REGISTRO Y CONTROL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</si>
  <si>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</si>
  <si>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</si>
  <si>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</si>
  <si>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</si>
  <si>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</si>
  <si>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ENCARGADA  DE DIVISION REGISTRO, CONTROL Y NÓMINA </t>
  </si>
  <si>
    <t>IVÁN GÁLVEZ DE LA CRUZ</t>
  </si>
  <si>
    <t xml:space="preserve"> 01 DE DICIEMBRE DEL 2022</t>
  </si>
  <si>
    <t>SANTA DIGNA RIVERA DE ALEJO</t>
  </si>
  <si>
    <t xml:space="preserve">SOCORRO HERNANDEZ VALDEZ </t>
  </si>
  <si>
    <t>01 DE ENERO DEL 2023</t>
  </si>
  <si>
    <t>26 DE ENERO DEL 2023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</si>
  <si>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</si>
  <si>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</si>
  <si>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</si>
  <si>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</si>
  <si>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</si>
  <si>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</si>
  <si>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</si>
  <si>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</si>
  <si>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</si>
  <si>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</si>
  <si>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</si>
  <si>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</si>
  <si>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</si>
  <si>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</si>
  <si>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</si>
  <si>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</si>
  <si>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</si>
  <si>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</si>
  <si>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</si>
  <si>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</si>
  <si>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</si>
  <si>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</si>
  <si>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</si>
  <si>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</si>
  <si>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</si>
  <si>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</si>
  <si>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</si>
  <si>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</si>
  <si>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</si>
  <si>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</si>
  <si>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03 DE MARZO DEL 2023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</si>
  <si>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</si>
  <si>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</si>
  <si>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</si>
  <si>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</si>
  <si>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</si>
  <si>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</si>
  <si>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</si>
  <si>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</si>
  <si>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11 DE ABRIL DEL 2023</t>
  </si>
  <si>
    <t>5 DE ABRIL DEL 2023</t>
  </si>
  <si>
    <t xml:space="preserve">JUAN ALFONSO PAULINO RODRIGUEZ </t>
  </si>
  <si>
    <t>15 DE ABRIL DEL 2023</t>
  </si>
  <si>
    <t>ANALISTA DE ANÁLISIS DE ESTUDIOS ECONÓMICOS I</t>
  </si>
  <si>
    <t>01 DE MAYO DE 2023</t>
  </si>
  <si>
    <t xml:space="preserve">JEREMY ELIAM BISONO SENA </t>
  </si>
  <si>
    <t xml:space="preserve">EDWIN AMADO MEJIA </t>
  </si>
  <si>
    <t>TECNICO DE TESORERIA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</si>
  <si>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</si>
  <si>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</si>
  <si>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</si>
  <si>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</si>
  <si>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</si>
  <si>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</si>
  <si>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</si>
  <si>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</si>
  <si>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</si>
  <si>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</si>
  <si>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</si>
  <si>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</si>
  <si>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1 DE DICIEMBRE DEL 2022</t>
  </si>
  <si>
    <t xml:space="preserve"> 01 DE JUNIO DEL 2023</t>
  </si>
  <si>
    <t xml:space="preserve"> 01 DE MAYO DEL 2023</t>
  </si>
  <si>
    <t xml:space="preserve"> 1 DE NOVIEMBRE DEL 2022</t>
  </si>
  <si>
    <t xml:space="preserve">PATRICIA CAROLINA DILONE GIL </t>
  </si>
  <si>
    <t xml:space="preserve">SORANGEL GONZALEZ DIAZ </t>
  </si>
  <si>
    <t>NICKOL RODRÍGUEZ FERNÁNDEZ</t>
  </si>
  <si>
    <t xml:space="preserve">ENCARGADA DE ANALISIS Y ESTUDIOS ECONOMICOS </t>
  </si>
  <si>
    <t>01 DE JUNIO DE 2023</t>
  </si>
  <si>
    <t xml:space="preserve">EUSEBIA PEREZ AGRAMONTE </t>
  </si>
  <si>
    <t xml:space="preserve">EMPRESAS PUBLICAS NO FINANCIERAS </t>
  </si>
  <si>
    <t xml:space="preserve">RAYDAN DE JESUS DIA DE LA ROSA </t>
  </si>
  <si>
    <t xml:space="preserve">ENCARGADO ADMINISTRATIVO Y FINANCIERO </t>
  </si>
  <si>
    <t>04 DE JUNIO DE 2023</t>
  </si>
  <si>
    <t>04 DE ENERO DE 2023</t>
  </si>
  <si>
    <t xml:space="preserve">SFS DEPENDIENTES </t>
  </si>
  <si>
    <t>TOTAL TSS</t>
  </si>
  <si>
    <t>MONTO PARA ISR</t>
  </si>
  <si>
    <t>L</t>
  </si>
  <si>
    <t xml:space="preserve">EDIGEN MANUEL FLORIAN FLORIAN </t>
  </si>
  <si>
    <t>SFS DEPENDIENTES</t>
  </si>
  <si>
    <t>Correspondiente al mes de abril del año 2023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</si>
  <si>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</si>
  <si>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</si>
  <si>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</si>
  <si>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</si>
  <si>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</si>
  <si>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</si>
  <si>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</si>
  <si>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</si>
  <si>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</si>
  <si>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</si>
  <si>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</si>
  <si>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</si>
  <si>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</si>
  <si>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</si>
  <si>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15 DE OCTUBRDE DEL 2023</t>
  </si>
  <si>
    <t>26 DE JULIO DEL 2023</t>
  </si>
  <si>
    <t>15 DE OCTUBRE DEL 2023</t>
  </si>
  <si>
    <t>01 DE SEPTIEMBRE DEL 2023</t>
  </si>
  <si>
    <t>26 DE JULIO DE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</si>
  <si>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</si>
  <si>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</si>
  <si>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</si>
  <si>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</si>
  <si>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</si>
  <si>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</si>
  <si>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01 DE NOVIEMBRE DE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</si>
  <si>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</si>
  <si>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</si>
  <si>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</si>
  <si>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</si>
  <si>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</si>
  <si>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</si>
  <si>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11 DE OCTUBRE DEL 2023</t>
  </si>
  <si>
    <t>10 DE AGOSTO DEL 2023</t>
  </si>
  <si>
    <t>22 DE AGOSTO DEL 2023</t>
  </si>
  <si>
    <t>03 DE SEPTIEMBRE DEL 2023</t>
  </si>
  <si>
    <t xml:space="preserve">Saldo a Fvaor </t>
  </si>
  <si>
    <t>f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</si>
  <si>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</si>
  <si>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</si>
  <si>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</si>
  <si>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</si>
  <si>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</si>
  <si>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</si>
  <si>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</si>
  <si>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</si>
  <si>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</si>
  <si>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</si>
  <si>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 xml:space="preserve">RESPONSABLE DE OFICINA DE LIBRE ACCESO A LA INFORMACION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</si>
</sst>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01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2" xfId="0" applyNumberFormat="1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20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3" xfId="1" applyFont="1" applyFill="1" applyBorder="1"/>
    <xf numFmtId="0" fontId="3" fillId="0" borderId="21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4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20" xfId="1" applyFont="1" applyFill="1" applyBorder="1"/>
    <xf numFmtId="0" fontId="4" fillId="0" borderId="0" xfId="0" applyFont="1"/>
    <xf numFmtId="43" fontId="5" fillId="5" borderId="0" xfId="1" applyFont="1" applyFill="1" applyBorder="1"/>
    <xf numFmtId="0" fontId="4" fillId="2" borderId="0" xfId="0" applyFont="1" applyFill="1"/>
    <xf numFmtId="0" fontId="0" fillId="2" borderId="0" xfId="0" applyFill="1"/>
    <xf numFmtId="43" fontId="15" fillId="2" borderId="0" xfId="1" applyFont="1" applyFill="1" applyBorder="1" applyAlignment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0" xfId="0" applyFont="1" applyFill="1" applyAlignment="1">
      <alignment horizontal="center"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4" fillId="3" borderId="26" xfId="0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center" vertical="center"/>
    </xf>
    <xf numFmtId="0" fontId="14" fillId="3" borderId="28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20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4" fillId="3" borderId="27" xfId="0" applyFont="1" applyFill="1" applyBorder="1" applyAlignment="1">
      <alignment horizontal="center" vertical="center" wrapText="1"/>
    </xf>
    <xf numFmtId="0" fontId="16" fillId="2" borderId="0" xfId="0" applyFont="1" applyFill="1"/>
    <xf numFmtId="0" fontId="14" fillId="3" borderId="29" xfId="0" applyFont="1" applyFill="1" applyBorder="1" applyAlignment="1">
      <alignment vertical="center"/>
    </xf>
    <xf numFmtId="0" fontId="14" fillId="3" borderId="20" xfId="0" applyFont="1" applyFill="1" applyBorder="1" applyAlignment="1">
      <alignment vertical="center"/>
    </xf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1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2" xfId="0" applyFont="1" applyFill="1" applyBorder="1"/>
    <xf numFmtId="0" fontId="15" fillId="2" borderId="13" xfId="0" applyFont="1" applyFill="1" applyBorder="1" applyAlignment="1">
      <alignment horizontal="left"/>
    </xf>
    <xf numFmtId="0" fontId="15" fillId="2" borderId="13" xfId="0" applyFont="1" applyFill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5" fillId="2" borderId="13" xfId="0" applyFont="1" applyFill="1" applyBorder="1" applyAlignment="1">
      <alignment horizontal="left" wrapText="1"/>
    </xf>
    <xf numFmtId="43" fontId="16" fillId="4" borderId="0" xfId="1" applyFont="1" applyFill="1" applyBorder="1"/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19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30" xfId="0" applyFont="1" applyFill="1" applyBorder="1" applyAlignment="1">
      <alignment horizontal="center" wrapText="1"/>
    </xf>
    <xf numFmtId="0" fontId="6" fillId="2" borderId="31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wrapText="1"/>
    </xf>
    <xf numFmtId="0" fontId="3" fillId="0" borderId="0" xfId="0" applyFont="1" applyFill="1"/>
    <xf numFmtId="0" fontId="0" fillId="0" borderId="0" xfId="0" applyFill="1"/>
    <xf numFmtId="0" fontId="3" fillId="0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2378724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523403" cy="1290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4</xdr:row>
      <xdr:rowOff>79768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00244"/>
  <sheetViews>
    <sheetView showGridLines="0" zoomScale="70" zoomScaleNormal="70" zoomScaleSheetLayoutView="25" workbookViewId="0">
      <pane xSplit="2" ySplit="7" topLeftCell="C391" activePane="bottomRight" state="frozen"/>
      <selection pane="topRight" activeCell="C1" sqref="C1"/>
      <selection pane="bottomLeft" activeCell="A9" sqref="A9"/>
      <selection pane="bottomRight" activeCell="D4" sqref="D4"/>
    </sheetView>
  </sheetViews>
  <sheetFormatPr baseColWidth="10" defaultColWidth="11.42578125" defaultRowHeight="12.75" x14ac:dyDescent="0.2"/>
  <cols>
    <col min="1" max="1" width="6.85546875" style="4" customWidth="1"/>
    <col min="2" max="2" width="37" style="25" customWidth="1"/>
    <col min="3" max="3" width="9.140625" style="4" customWidth="1"/>
    <col min="4" max="4" width="37.7109375" style="25" customWidth="1"/>
    <col min="5" max="5" width="29.28515625" style="25" customWidth="1"/>
    <col min="6" max="6" width="18.7109375" style="2" customWidth="1"/>
    <col min="7" max="7" width="20.28515625" style="1" customWidth="1"/>
    <col min="8" max="8" width="24" style="1" customWidth="1"/>
    <col min="9" max="9" width="13.42578125" style="1" customWidth="1"/>
    <col min="10" max="10" width="16" style="1" customWidth="1"/>
    <col min="11" max="11" width="24" style="1" hidden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110" customWidth="1"/>
    <col min="18" max="18" width="11.42578125" style="110"/>
    <col min="19" max="16384" width="11.42578125" style="1"/>
  </cols>
  <sheetData>
    <row r="1" spans="1:18" ht="23.25" x14ac:dyDescent="0.35">
      <c r="A1" s="269" t="s">
        <v>417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</row>
    <row r="2" spans="1:18" ht="21" customHeight="1" x14ac:dyDescent="0.35">
      <c r="A2" s="270" t="s">
        <v>421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</row>
    <row r="3" spans="1:18" ht="18.75" customHeight="1" x14ac:dyDescent="0.3">
      <c r="A3" s="271" t="s">
        <v>631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</row>
    <row r="4" spans="1:18" ht="19.5" customHeight="1" thickBot="1" x14ac:dyDescent="0.35">
      <c r="A4" s="217"/>
      <c r="B4" s="217"/>
      <c r="C4" s="17"/>
      <c r="D4" s="24"/>
      <c r="E4" s="24"/>
      <c r="F4" s="17"/>
    </row>
    <row r="5" spans="1:18" ht="25.5" customHeight="1" thickBot="1" x14ac:dyDescent="0.3">
      <c r="A5" s="31" t="s">
        <v>608</v>
      </c>
      <c r="B5" s="32"/>
      <c r="C5" s="31"/>
      <c r="D5" s="32"/>
      <c r="E5" s="32"/>
      <c r="F5" s="33"/>
      <c r="G5" s="266" t="s">
        <v>121</v>
      </c>
      <c r="H5" s="267"/>
      <c r="I5" s="267"/>
      <c r="J5" s="268"/>
      <c r="K5" s="223"/>
      <c r="L5" s="34"/>
      <c r="M5" s="34"/>
      <c r="N5" s="34"/>
      <c r="O5" s="34"/>
      <c r="P5" s="34"/>
    </row>
    <row r="6" spans="1:18" s="18" customFormat="1" ht="30" customHeight="1" thickBot="1" x14ac:dyDescent="0.3">
      <c r="A6" s="35" t="s">
        <v>0</v>
      </c>
      <c r="B6" s="35" t="s">
        <v>368</v>
      </c>
      <c r="C6" s="35" t="s">
        <v>431</v>
      </c>
      <c r="D6" s="35" t="s">
        <v>452</v>
      </c>
      <c r="E6" s="35" t="s">
        <v>115</v>
      </c>
      <c r="F6" s="224" t="s">
        <v>125</v>
      </c>
      <c r="G6" s="226" t="s">
        <v>1</v>
      </c>
      <c r="H6" s="227" t="s">
        <v>2</v>
      </c>
      <c r="I6" s="243" t="s">
        <v>625</v>
      </c>
      <c r="J6" s="228" t="s">
        <v>626</v>
      </c>
      <c r="K6" s="225" t="s">
        <v>627</v>
      </c>
      <c r="L6" s="37" t="s">
        <v>116</v>
      </c>
      <c r="M6" s="37" t="s">
        <v>632</v>
      </c>
      <c r="N6" s="37" t="s">
        <v>118</v>
      </c>
      <c r="O6" s="37" t="s">
        <v>3</v>
      </c>
      <c r="P6" s="37" t="s">
        <v>117</v>
      </c>
      <c r="Q6" s="101"/>
      <c r="R6" s="101"/>
    </row>
    <row r="7" spans="1:18" s="32" customFormat="1" ht="30" customHeight="1" thickBot="1" x14ac:dyDescent="0.3">
      <c r="A7" s="237" t="s">
        <v>242</v>
      </c>
      <c r="B7" s="238"/>
      <c r="C7" s="238"/>
      <c r="D7" s="238"/>
      <c r="E7" s="238"/>
      <c r="F7" s="238"/>
      <c r="G7" s="240"/>
      <c r="H7" s="240"/>
      <c r="I7" s="240"/>
      <c r="J7" s="240"/>
      <c r="K7" s="238"/>
      <c r="L7" s="238"/>
      <c r="M7" s="238"/>
      <c r="N7" s="238"/>
      <c r="O7" s="238"/>
      <c r="P7" s="239"/>
    </row>
    <row r="8" spans="1:18" s="34" customFormat="1" ht="30" customHeight="1" x14ac:dyDescent="0.25">
      <c r="A8" s="132">
        <v>1</v>
      </c>
      <c r="B8" s="122" t="s">
        <v>241</v>
      </c>
      <c r="C8" s="132" t="s">
        <v>429</v>
      </c>
      <c r="D8" s="122" t="s">
        <v>237</v>
      </c>
      <c r="E8" s="136" t="s">
        <v>453</v>
      </c>
      <c r="F8" s="116">
        <v>245000</v>
      </c>
      <c r="G8" s="116">
        <f t="shared" ref="G8:G15" si="0">F8*2.87%</f>
        <v>7031.5</v>
      </c>
      <c r="H8" s="119">
        <f>187020*3.04%</f>
        <v>5685.4080000000004</v>
      </c>
      <c r="I8" s="116"/>
      <c r="J8" s="83">
        <f t="shared" ref="J8:J73" si="1">+G8+H8+I8</f>
        <v>12716.907999999999</v>
      </c>
      <c r="K8" s="83">
        <f t="shared" ref="K8:K10" si="2">+F8-J8</f>
        <v>232283.092</v>
      </c>
      <c r="L8" s="83">
        <f>+IF(K8*12&lt;=416220.01,0,IF(K8*12&lt;=624329.01,(((K8*12-416220.01)*0.15)/12),IF((K8*12&lt;=867123.01),(31216+0.2*(K8*12-624329.01))/12,((79776+0.25*(K8*12-867123.01))/12))))-M8</f>
        <v>46653.710291666677</v>
      </c>
      <c r="M8" s="83"/>
      <c r="N8" s="120">
        <v>25</v>
      </c>
      <c r="O8" s="116">
        <f>+N8+I8+H8+G8+L8</f>
        <v>59395.618291666673</v>
      </c>
      <c r="P8" s="120">
        <f t="shared" ref="P8:P15" si="3">+F8-O8</f>
        <v>185604.38170833333</v>
      </c>
      <c r="Q8" s="85"/>
      <c r="R8" s="85"/>
    </row>
    <row r="9" spans="1:18" s="41" customFormat="1" ht="30" customHeight="1" x14ac:dyDescent="0.25">
      <c r="A9" s="38">
        <v>2</v>
      </c>
      <c r="B9" s="87" t="s">
        <v>238</v>
      </c>
      <c r="C9" s="86" t="s">
        <v>430</v>
      </c>
      <c r="D9" s="87" t="s">
        <v>105</v>
      </c>
      <c r="E9" s="198" t="s">
        <v>123</v>
      </c>
      <c r="F9" s="88">
        <v>140000</v>
      </c>
      <c r="G9" s="119">
        <f t="shared" si="0"/>
        <v>4018</v>
      </c>
      <c r="H9" s="119">
        <f t="shared" ref="H9:H15" si="4">+F9*3.04%</f>
        <v>4256</v>
      </c>
      <c r="I9" s="119"/>
      <c r="J9" s="83">
        <f t="shared" si="1"/>
        <v>8274</v>
      </c>
      <c r="K9" s="83">
        <f t="shared" si="2"/>
        <v>131726</v>
      </c>
      <c r="L9" s="83">
        <f t="shared" ref="L9:L15" si="5">+IF(K9*12&lt;=416220.01,0,IF(K9*12&lt;=624329.01,(((K9*12-416220.01)*0.15)/12),IF((K9*12&lt;=867123.01),(31216+0.2*(K9*12-624329.01))/12,((79776+0.25*(K9*12-867123.01))/12))))-M9</f>
        <v>21514.437291666665</v>
      </c>
      <c r="M9" s="83"/>
      <c r="N9" s="120">
        <v>25</v>
      </c>
      <c r="O9" s="116">
        <f t="shared" ref="O9:O73" si="6">+N9+I9+H9+G9+L9</f>
        <v>29813.437291666665</v>
      </c>
      <c r="P9" s="120">
        <f t="shared" si="3"/>
        <v>110186.56270833334</v>
      </c>
      <c r="Q9" s="55"/>
      <c r="R9" s="55"/>
    </row>
    <row r="10" spans="1:18" s="41" customFormat="1" ht="30" customHeight="1" x14ac:dyDescent="0.25">
      <c r="A10" s="132">
        <v>3</v>
      </c>
      <c r="B10" s="117" t="s">
        <v>547</v>
      </c>
      <c r="C10" s="38" t="s">
        <v>430</v>
      </c>
      <c r="D10" s="136" t="s">
        <v>124</v>
      </c>
      <c r="E10" s="136" t="s">
        <v>122</v>
      </c>
      <c r="F10" s="119">
        <v>90000</v>
      </c>
      <c r="G10" s="119">
        <f t="shared" si="0"/>
        <v>2583</v>
      </c>
      <c r="H10" s="119">
        <f t="shared" si="4"/>
        <v>2736</v>
      </c>
      <c r="I10" s="119"/>
      <c r="J10" s="83">
        <f t="shared" si="1"/>
        <v>5319</v>
      </c>
      <c r="K10" s="83">
        <f t="shared" si="2"/>
        <v>84681</v>
      </c>
      <c r="L10" s="83">
        <f t="shared" si="5"/>
        <v>9753.1872916666671</v>
      </c>
      <c r="M10" s="83"/>
      <c r="N10" s="120">
        <v>25</v>
      </c>
      <c r="O10" s="116">
        <f t="shared" si="6"/>
        <v>15097.187291666667</v>
      </c>
      <c r="P10" s="120">
        <f t="shared" si="3"/>
        <v>74902.812708333338</v>
      </c>
      <c r="Q10" s="55"/>
      <c r="R10" s="55"/>
    </row>
    <row r="11" spans="1:18" s="41" customFormat="1" ht="33" customHeight="1" x14ac:dyDescent="0.25">
      <c r="A11" s="38">
        <v>4</v>
      </c>
      <c r="B11" s="178" t="s">
        <v>206</v>
      </c>
      <c r="C11" s="132" t="s">
        <v>430</v>
      </c>
      <c r="D11" s="178" t="s">
        <v>207</v>
      </c>
      <c r="E11" s="117" t="s">
        <v>233</v>
      </c>
      <c r="F11" s="116">
        <v>55000</v>
      </c>
      <c r="G11" s="83">
        <f t="shared" si="0"/>
        <v>1578.5</v>
      </c>
      <c r="H11" s="83">
        <f t="shared" si="4"/>
        <v>1672</v>
      </c>
      <c r="I11" s="83">
        <v>1577.45</v>
      </c>
      <c r="J11" s="83">
        <f>+G11+H11+I11</f>
        <v>4827.95</v>
      </c>
      <c r="K11" s="83">
        <f>+F11-J11</f>
        <v>50172.05</v>
      </c>
      <c r="L11" s="83">
        <f t="shared" si="5"/>
        <v>-2.6249999991705408E-3</v>
      </c>
      <c r="M11" s="83">
        <v>2323.06</v>
      </c>
      <c r="N11" s="84">
        <v>125</v>
      </c>
      <c r="O11" s="116">
        <f t="shared" si="6"/>
        <v>4952.9473750000006</v>
      </c>
      <c r="P11" s="84">
        <f t="shared" si="3"/>
        <v>50047.052624999997</v>
      </c>
      <c r="Q11" s="55"/>
      <c r="R11" s="55"/>
    </row>
    <row r="12" spans="1:18" s="41" customFormat="1" ht="30" customHeight="1" x14ac:dyDescent="0.25">
      <c r="A12" s="38">
        <v>5</v>
      </c>
      <c r="B12" s="117" t="s">
        <v>24</v>
      </c>
      <c r="C12" s="38" t="s">
        <v>430</v>
      </c>
      <c r="D12" s="117" t="s">
        <v>89</v>
      </c>
      <c r="E12" s="136" t="s">
        <v>123</v>
      </c>
      <c r="F12" s="119">
        <v>35000</v>
      </c>
      <c r="G12" s="119">
        <f t="shared" si="0"/>
        <v>1004.5</v>
      </c>
      <c r="H12" s="119">
        <f t="shared" si="4"/>
        <v>1064</v>
      </c>
      <c r="I12" s="119"/>
      <c r="J12" s="83">
        <f t="shared" si="1"/>
        <v>2068.5</v>
      </c>
      <c r="K12" s="83">
        <f t="shared" ref="K12:K77" si="7">+F12-J12</f>
        <v>32931.5</v>
      </c>
      <c r="L12" s="83">
        <f t="shared" si="5"/>
        <v>0</v>
      </c>
      <c r="M12" s="83"/>
      <c r="N12" s="120">
        <v>1125</v>
      </c>
      <c r="O12" s="116">
        <f t="shared" si="6"/>
        <v>3193.5</v>
      </c>
      <c r="P12" s="120">
        <f t="shared" si="3"/>
        <v>31806.5</v>
      </c>
      <c r="Q12" s="55"/>
      <c r="R12" s="55"/>
    </row>
    <row r="13" spans="1:18" s="41" customFormat="1" ht="30" customHeight="1" x14ac:dyDescent="0.25">
      <c r="A13" s="132">
        <v>6</v>
      </c>
      <c r="B13" s="117" t="s">
        <v>239</v>
      </c>
      <c r="C13" s="38" t="s">
        <v>430</v>
      </c>
      <c r="D13" s="117" t="s">
        <v>89</v>
      </c>
      <c r="E13" s="136" t="s">
        <v>123</v>
      </c>
      <c r="F13" s="119">
        <v>35000</v>
      </c>
      <c r="G13" s="119">
        <f t="shared" si="0"/>
        <v>1004.5</v>
      </c>
      <c r="H13" s="119">
        <f t="shared" si="4"/>
        <v>1064</v>
      </c>
      <c r="I13" s="119"/>
      <c r="J13" s="83">
        <f t="shared" si="1"/>
        <v>2068.5</v>
      </c>
      <c r="K13" s="83">
        <f t="shared" si="7"/>
        <v>32931.5</v>
      </c>
      <c r="L13" s="83">
        <f t="shared" si="5"/>
        <v>0</v>
      </c>
      <c r="M13" s="83"/>
      <c r="N13" s="120">
        <v>2125</v>
      </c>
      <c r="O13" s="116">
        <f t="shared" si="6"/>
        <v>4193.5</v>
      </c>
      <c r="P13" s="120">
        <f t="shared" si="3"/>
        <v>30806.5</v>
      </c>
      <c r="Q13" s="55"/>
      <c r="R13" s="55"/>
    </row>
    <row r="14" spans="1:18" s="41" customFormat="1" ht="30" customHeight="1" x14ac:dyDescent="0.25">
      <c r="A14" s="38">
        <v>7</v>
      </c>
      <c r="B14" s="117" t="s">
        <v>240</v>
      </c>
      <c r="C14" s="38" t="s">
        <v>430</v>
      </c>
      <c r="D14" s="117" t="s">
        <v>89</v>
      </c>
      <c r="E14" s="136" t="s">
        <v>123</v>
      </c>
      <c r="F14" s="119">
        <v>35000</v>
      </c>
      <c r="G14" s="119">
        <f t="shared" si="0"/>
        <v>1004.5</v>
      </c>
      <c r="H14" s="119">
        <f t="shared" si="4"/>
        <v>1064</v>
      </c>
      <c r="I14" s="119"/>
      <c r="J14" s="83">
        <f t="shared" si="1"/>
        <v>2068.5</v>
      </c>
      <c r="K14" s="83">
        <f t="shared" si="7"/>
        <v>32931.5</v>
      </c>
      <c r="L14" s="83">
        <f t="shared" si="5"/>
        <v>0</v>
      </c>
      <c r="M14" s="83"/>
      <c r="N14" s="120">
        <v>8778.26</v>
      </c>
      <c r="O14" s="116">
        <f>+N14+I14+H14+G14+L14</f>
        <v>10846.76</v>
      </c>
      <c r="P14" s="120">
        <f t="shared" si="3"/>
        <v>24153.239999999998</v>
      </c>
      <c r="Q14" s="55"/>
      <c r="R14" s="55"/>
    </row>
    <row r="15" spans="1:18" s="41" customFormat="1" ht="30" customHeight="1" x14ac:dyDescent="0.25">
      <c r="A15" s="132">
        <f>+A14+1</f>
        <v>8</v>
      </c>
      <c r="B15" s="122" t="s">
        <v>601</v>
      </c>
      <c r="C15" s="132" t="s">
        <v>430</v>
      </c>
      <c r="D15" s="133" t="s">
        <v>105</v>
      </c>
      <c r="E15" s="117" t="s">
        <v>122</v>
      </c>
      <c r="F15" s="116">
        <v>80000</v>
      </c>
      <c r="G15" s="116">
        <f t="shared" si="0"/>
        <v>2296</v>
      </c>
      <c r="H15" s="116">
        <f t="shared" si="4"/>
        <v>2432</v>
      </c>
      <c r="I15" s="116"/>
      <c r="J15" s="83">
        <f t="shared" si="1"/>
        <v>4728</v>
      </c>
      <c r="K15" s="83">
        <f t="shared" si="7"/>
        <v>75272</v>
      </c>
      <c r="L15" s="83">
        <f t="shared" si="5"/>
        <v>-2.7083333334303461E-3</v>
      </c>
      <c r="M15" s="83">
        <v>7400.94</v>
      </c>
      <c r="N15" s="121">
        <v>25</v>
      </c>
      <c r="O15" s="116">
        <f t="shared" si="6"/>
        <v>4752.9972916666666</v>
      </c>
      <c r="P15" s="120">
        <f t="shared" si="3"/>
        <v>75247.002708333341</v>
      </c>
      <c r="Q15" s="55"/>
      <c r="R15" s="55"/>
    </row>
    <row r="16" spans="1:18" s="55" customFormat="1" ht="30" customHeight="1" x14ac:dyDescent="0.25">
      <c r="A16" s="81">
        <f>+A15+1</f>
        <v>9</v>
      </c>
      <c r="B16" s="122" t="s">
        <v>41</v>
      </c>
      <c r="C16" s="132" t="s">
        <v>430</v>
      </c>
      <c r="D16" s="158" t="s">
        <v>526</v>
      </c>
      <c r="E16" s="122" t="s">
        <v>122</v>
      </c>
      <c r="F16" s="116">
        <v>135000</v>
      </c>
      <c r="G16" s="83">
        <f>F16*2.87%</f>
        <v>3874.5</v>
      </c>
      <c r="H16" s="83">
        <f>+F16*3.04%</f>
        <v>4104</v>
      </c>
      <c r="I16" s="83"/>
      <c r="J16" s="83">
        <f>+G16+H16+I16</f>
        <v>7978.5</v>
      </c>
      <c r="K16" s="83">
        <f>+F16-J16</f>
        <v>127021.5</v>
      </c>
      <c r="L16" s="83">
        <f>+IF(K16*12&lt;=416220.01,0,IF(K16*12&lt;=624329.01,(((K16*12-416220.01)*0.15)/12),IF((K16*12&lt;=867123.01),(31216+0.2*(K16*12-624329.01))/12,((79776+0.25*(K16*12-867123.01))/12))))</f>
        <v>20338.312291666665</v>
      </c>
      <c r="M16" s="83"/>
      <c r="N16" s="90">
        <v>125</v>
      </c>
      <c r="O16" s="116">
        <f>+N16+I16+H16+G16+L16</f>
        <v>28441.812291666665</v>
      </c>
      <c r="P16" s="90">
        <f>+F16-O16</f>
        <v>106558.18770833334</v>
      </c>
    </row>
    <row r="17" spans="1:18" s="55" customFormat="1" ht="30" customHeight="1" x14ac:dyDescent="0.25">
      <c r="A17" s="261">
        <v>10</v>
      </c>
      <c r="B17" s="259" t="s">
        <v>633</v>
      </c>
      <c r="C17" s="260" t="s">
        <v>430</v>
      </c>
      <c r="D17" s="262" t="s">
        <v>89</v>
      </c>
      <c r="E17" s="122" t="s">
        <v>122</v>
      </c>
      <c r="F17" s="116">
        <v>35000</v>
      </c>
      <c r="G17" s="83">
        <f>F17*2.87%</f>
        <v>1004.5</v>
      </c>
      <c r="H17" s="83">
        <f>+F17*3.04%</f>
        <v>1064</v>
      </c>
      <c r="I17" s="83"/>
      <c r="J17" s="83">
        <f>+G17+H17+I17</f>
        <v>2068.5</v>
      </c>
      <c r="K17" s="83">
        <f>+F17-J17</f>
        <v>32931.5</v>
      </c>
      <c r="L17" s="83">
        <f>+IF(K17*12&lt;=416220.01,0,IF(K17*12&lt;=624329.01,(((K17*12-416220.01)*0.15)/12),IF((K17*12&lt;=867123.01),(31216+0.2*(K17*12-624329.01))/12,((79776+0.25*(K17*12-867123.01))/12))))</f>
        <v>0</v>
      </c>
      <c r="M17" s="83"/>
      <c r="N17" s="90">
        <v>25</v>
      </c>
      <c r="O17" s="116">
        <f>+N17+I17+H17+G17+L17</f>
        <v>2093.5</v>
      </c>
      <c r="P17" s="90">
        <f>+F17-O17</f>
        <v>32906.5</v>
      </c>
    </row>
    <row r="18" spans="1:18" s="42" customFormat="1" ht="30" customHeight="1" x14ac:dyDescent="0.25">
      <c r="A18" s="229" t="s">
        <v>126</v>
      </c>
      <c r="B18" s="230"/>
      <c r="C18" s="230"/>
      <c r="D18" s="230"/>
      <c r="E18" s="230"/>
      <c r="F18" s="39">
        <f>SUM(F8:F17)</f>
        <v>885000</v>
      </c>
      <c r="G18" s="39">
        <f t="shared" ref="G18:P18" si="8">SUM(G8:G17)</f>
        <v>25399.5</v>
      </c>
      <c r="H18" s="39">
        <f t="shared" si="8"/>
        <v>25141.407999999999</v>
      </c>
      <c r="I18" s="39">
        <f t="shared" si="8"/>
        <v>1577.45</v>
      </c>
      <c r="J18" s="39">
        <f t="shared" si="8"/>
        <v>52118.358</v>
      </c>
      <c r="K18" s="39">
        <f t="shared" si="8"/>
        <v>832881.64199999999</v>
      </c>
      <c r="L18" s="39">
        <f t="shared" si="8"/>
        <v>98259.641833333328</v>
      </c>
      <c r="M18" s="39">
        <f t="shared" si="8"/>
        <v>9724</v>
      </c>
      <c r="N18" s="39">
        <f t="shared" si="8"/>
        <v>12403.26</v>
      </c>
      <c r="O18" s="39">
        <f t="shared" si="8"/>
        <v>162781.25983333332</v>
      </c>
      <c r="P18" s="39">
        <f t="shared" si="8"/>
        <v>722218.74016666668</v>
      </c>
      <c r="Q18" s="92"/>
      <c r="R18" s="92"/>
    </row>
    <row r="19" spans="1:18" s="33" customFormat="1" ht="22.5" customHeight="1" thickBot="1" x14ac:dyDescent="0.3">
      <c r="A19" s="43"/>
      <c r="B19" s="44"/>
      <c r="C19" s="46"/>
      <c r="D19" s="45"/>
      <c r="E19" s="45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</row>
    <row r="20" spans="1:18" s="76" customFormat="1" ht="28.5" customHeight="1" thickBot="1" x14ac:dyDescent="0.3">
      <c r="A20" s="232" t="s">
        <v>154</v>
      </c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4"/>
      <c r="Q20" s="32"/>
      <c r="R20" s="32"/>
    </row>
    <row r="21" spans="1:18" s="41" customFormat="1" ht="30" customHeight="1" x14ac:dyDescent="0.25">
      <c r="A21" s="132">
        <f>+A17+1</f>
        <v>11</v>
      </c>
      <c r="B21" s="122" t="s">
        <v>184</v>
      </c>
      <c r="C21" s="132" t="s">
        <v>430</v>
      </c>
      <c r="D21" s="133" t="s">
        <v>107</v>
      </c>
      <c r="E21" s="117" t="s">
        <v>123</v>
      </c>
      <c r="F21" s="116">
        <v>200000</v>
      </c>
      <c r="G21" s="116">
        <f>F21*2.87%</f>
        <v>5740</v>
      </c>
      <c r="H21" s="116">
        <f>187020*3.04%</f>
        <v>5685.4080000000004</v>
      </c>
      <c r="I21" s="116">
        <v>1577.45</v>
      </c>
      <c r="J21" s="83">
        <f>+G21+H21+I21</f>
        <v>13002.858</v>
      </c>
      <c r="K21" s="83">
        <f>+F21-J21</f>
        <v>186997.14199999999</v>
      </c>
      <c r="L21" s="83">
        <f t="shared" ref="L21:L76" si="9">+IF(K21*12&lt;=416220.01,0,IF(K21*12&lt;=624329.01,(((K21*12-416220.01)*0.15)/12),IF((K21*12&lt;=867123.01),(31216+0.2*(K21*12-624329.01))/12,((79776+0.25*(K21*12-867123.01))/12))))</f>
        <v>35332.222791666667</v>
      </c>
      <c r="M21" s="83"/>
      <c r="N21" s="121">
        <v>25</v>
      </c>
      <c r="O21" s="116">
        <f>+N21+I21+H21+G21+L21</f>
        <v>48360.080791666667</v>
      </c>
      <c r="P21" s="120">
        <f>+F21-O21</f>
        <v>151639.91920833333</v>
      </c>
      <c r="Q21" s="55"/>
      <c r="R21" s="55"/>
    </row>
    <row r="22" spans="1:18" s="42" customFormat="1" ht="30" customHeight="1" x14ac:dyDescent="0.25">
      <c r="A22" s="229" t="s">
        <v>126</v>
      </c>
      <c r="B22" s="230"/>
      <c r="C22" s="230"/>
      <c r="D22" s="230"/>
      <c r="E22" s="230"/>
      <c r="F22" s="39">
        <f t="shared" ref="F22:P22" si="10">SUM(F21:F21)</f>
        <v>200000</v>
      </c>
      <c r="G22" s="39">
        <f t="shared" si="10"/>
        <v>5740</v>
      </c>
      <c r="H22" s="39">
        <f t="shared" si="10"/>
        <v>5685.4080000000004</v>
      </c>
      <c r="I22" s="39">
        <f t="shared" si="10"/>
        <v>1577.45</v>
      </c>
      <c r="J22" s="39">
        <f t="shared" si="10"/>
        <v>13002.858</v>
      </c>
      <c r="K22" s="39">
        <f t="shared" si="10"/>
        <v>186997.14199999999</v>
      </c>
      <c r="L22" s="39">
        <f t="shared" si="10"/>
        <v>35332.222791666667</v>
      </c>
      <c r="M22" s="39"/>
      <c r="N22" s="39">
        <f t="shared" si="10"/>
        <v>25</v>
      </c>
      <c r="O22" s="39">
        <f t="shared" si="10"/>
        <v>48360.080791666667</v>
      </c>
      <c r="P22" s="39">
        <f t="shared" si="10"/>
        <v>151639.91920833333</v>
      </c>
      <c r="Q22" s="92"/>
      <c r="R22" s="92"/>
    </row>
    <row r="23" spans="1:18" s="33" customFormat="1" ht="15" customHeight="1" thickBot="1" x14ac:dyDescent="0.3">
      <c r="A23" s="43"/>
      <c r="B23" s="44"/>
      <c r="C23" s="46"/>
      <c r="D23" s="45"/>
      <c r="E23" s="45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</row>
    <row r="24" spans="1:18" s="32" customFormat="1" ht="30" customHeight="1" thickBot="1" x14ac:dyDescent="0.3">
      <c r="A24" s="232" t="s">
        <v>180</v>
      </c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</row>
    <row r="25" spans="1:18" s="42" customFormat="1" ht="30" customHeight="1" x14ac:dyDescent="0.25">
      <c r="A25" s="38">
        <f>A21+1</f>
        <v>12</v>
      </c>
      <c r="B25" s="117" t="s">
        <v>140</v>
      </c>
      <c r="C25" s="38" t="s">
        <v>430</v>
      </c>
      <c r="D25" s="118" t="s">
        <v>473</v>
      </c>
      <c r="E25" s="117" t="s">
        <v>122</v>
      </c>
      <c r="F25" s="119">
        <v>170500</v>
      </c>
      <c r="G25" s="119">
        <f>F25*2.87%</f>
        <v>4893.3500000000004</v>
      </c>
      <c r="H25" s="116">
        <f>+F25*3.04%</f>
        <v>5183.2</v>
      </c>
      <c r="I25" s="116"/>
      <c r="J25" s="83">
        <f t="shared" si="1"/>
        <v>10076.549999999999</v>
      </c>
      <c r="K25" s="83">
        <f t="shared" si="7"/>
        <v>160423.45000000001</v>
      </c>
      <c r="L25" s="83">
        <f t="shared" si="9"/>
        <v>28688.799791666668</v>
      </c>
      <c r="M25" s="83"/>
      <c r="N25" s="121">
        <v>7527.87</v>
      </c>
      <c r="O25" s="116">
        <f t="shared" si="6"/>
        <v>46293.219791666663</v>
      </c>
      <c r="P25" s="120">
        <f>+F25-O25</f>
        <v>124206.78020833334</v>
      </c>
      <c r="Q25" s="92"/>
      <c r="R25" s="92"/>
    </row>
    <row r="26" spans="1:18" s="42" customFormat="1" ht="22.5" customHeight="1" x14ac:dyDescent="0.25">
      <c r="A26" s="229" t="s">
        <v>126</v>
      </c>
      <c r="B26" s="230"/>
      <c r="C26" s="230"/>
      <c r="D26" s="230"/>
      <c r="E26" s="230"/>
      <c r="F26" s="39">
        <f>SUM(F25)</f>
        <v>170500</v>
      </c>
      <c r="G26" s="39">
        <f t="shared" ref="G26:P26" si="11">SUM(G25)</f>
        <v>4893.3500000000004</v>
      </c>
      <c r="H26" s="39">
        <f t="shared" si="11"/>
        <v>5183.2</v>
      </c>
      <c r="I26" s="39"/>
      <c r="J26" s="39">
        <f t="shared" si="1"/>
        <v>10076.549999999999</v>
      </c>
      <c r="K26" s="39">
        <f t="shared" si="7"/>
        <v>160423.45000000001</v>
      </c>
      <c r="L26" s="39">
        <f t="shared" si="9"/>
        <v>28688.799791666668</v>
      </c>
      <c r="M26" s="39"/>
      <c r="N26" s="39">
        <f t="shared" si="11"/>
        <v>7527.87</v>
      </c>
      <c r="O26" s="39">
        <f>+N26+I26+H26+G26+L26</f>
        <v>46293.219791666663</v>
      </c>
      <c r="P26" s="39">
        <f t="shared" si="11"/>
        <v>124206.78020833334</v>
      </c>
      <c r="Q26" s="92"/>
      <c r="R26" s="92"/>
    </row>
    <row r="27" spans="1:18" s="33" customFormat="1" ht="18" customHeight="1" thickBot="1" x14ac:dyDescent="0.3">
      <c r="A27" s="43"/>
      <c r="B27" s="44"/>
      <c r="C27" s="46"/>
      <c r="D27" s="45"/>
      <c r="E27" s="45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</row>
    <row r="28" spans="1:18" s="76" customFormat="1" ht="30" customHeight="1" thickBot="1" x14ac:dyDescent="0.3">
      <c r="A28" s="232" t="s">
        <v>155</v>
      </c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233"/>
      <c r="P28" s="233"/>
      <c r="Q28" s="32"/>
      <c r="R28" s="32"/>
    </row>
    <row r="29" spans="1:18" s="41" customFormat="1" ht="46.5" customHeight="1" x14ac:dyDescent="0.25">
      <c r="A29" s="86">
        <f>+A25+1</f>
        <v>13</v>
      </c>
      <c r="B29" s="117" t="s">
        <v>255</v>
      </c>
      <c r="C29" s="38" t="s">
        <v>430</v>
      </c>
      <c r="D29" s="118" t="s">
        <v>51</v>
      </c>
      <c r="E29" s="117" t="s">
        <v>123</v>
      </c>
      <c r="F29" s="119">
        <v>104000</v>
      </c>
      <c r="G29" s="88">
        <f>F29*2.87%</f>
        <v>2984.8</v>
      </c>
      <c r="H29" s="88">
        <f>+F29*3.04%</f>
        <v>3161.6</v>
      </c>
      <c r="I29" s="88">
        <v>3154.9</v>
      </c>
      <c r="J29" s="83">
        <f t="shared" si="1"/>
        <v>9301.2999999999993</v>
      </c>
      <c r="K29" s="83">
        <f t="shared" si="7"/>
        <v>94698.7</v>
      </c>
      <c r="L29" s="83">
        <f>+IF(K29*12&lt;=416220.01,0,IF(K29*12&lt;=624329.01,(((K29*12-416220.01)*0.15)/12),IF((K29*12&lt;=867123.01),(31216+0.2*(K29*12-624329.01))/12,((79776+0.25*(K29*12-867123.01))/12))))-M29</f>
        <v>12257.612291666665</v>
      </c>
      <c r="M29" s="83"/>
      <c r="N29" s="90">
        <v>10846.13</v>
      </c>
      <c r="O29" s="116">
        <f t="shared" si="6"/>
        <v>32405.042291666661</v>
      </c>
      <c r="P29" s="84">
        <f>+F29-O29</f>
        <v>71594.957708333342</v>
      </c>
      <c r="Q29" s="55"/>
      <c r="R29" s="55"/>
    </row>
    <row r="30" spans="1:18" s="134" customFormat="1" ht="30" customHeight="1" x14ac:dyDescent="0.25">
      <c r="A30" s="132">
        <f>+A29+1</f>
        <v>14</v>
      </c>
      <c r="B30" s="117" t="s">
        <v>67</v>
      </c>
      <c r="C30" s="132" t="s">
        <v>430</v>
      </c>
      <c r="D30" s="117" t="s">
        <v>51</v>
      </c>
      <c r="E30" s="117" t="s">
        <v>122</v>
      </c>
      <c r="F30" s="119">
        <v>90000</v>
      </c>
      <c r="G30" s="119">
        <f>F30*2.87%</f>
        <v>2583</v>
      </c>
      <c r="H30" s="119">
        <f>+F30*3.04%</f>
        <v>2736</v>
      </c>
      <c r="I30" s="119"/>
      <c r="J30" s="83">
        <f t="shared" si="1"/>
        <v>5319</v>
      </c>
      <c r="K30" s="83">
        <f t="shared" si="7"/>
        <v>84681</v>
      </c>
      <c r="L30" s="83">
        <f t="shared" ref="L30:L31" si="12">+IF(K30*12&lt;=416220.01,0,IF(K30*12&lt;=624329.01,(((K30*12-416220.01)*0.15)/12),IF((K30*12&lt;=867123.01),(31216+0.2*(K30*12-624329.01))/12,((79776+0.25*(K30*12-867123.01))/12))))-M30</f>
        <v>-2.7083333334303461E-3</v>
      </c>
      <c r="M30" s="83">
        <v>9753.19</v>
      </c>
      <c r="N30" s="121">
        <v>125</v>
      </c>
      <c r="O30" s="116">
        <f t="shared" si="6"/>
        <v>5443.9972916666666</v>
      </c>
      <c r="P30" s="120">
        <f>+F30-O30</f>
        <v>84556.002708333341</v>
      </c>
      <c r="Q30" s="33"/>
      <c r="R30" s="33"/>
    </row>
    <row r="31" spans="1:18" s="49" customFormat="1" ht="30" customHeight="1" x14ac:dyDescent="0.25">
      <c r="A31" s="132">
        <f>+A30+1</f>
        <v>15</v>
      </c>
      <c r="B31" s="117" t="s">
        <v>57</v>
      </c>
      <c r="C31" s="132" t="s">
        <v>430</v>
      </c>
      <c r="D31" s="118" t="s">
        <v>51</v>
      </c>
      <c r="E31" s="117" t="s">
        <v>122</v>
      </c>
      <c r="F31" s="119">
        <v>80000</v>
      </c>
      <c r="G31" s="119">
        <f>F31*2.87%</f>
        <v>2296</v>
      </c>
      <c r="H31" s="119">
        <f>+F31*3.04%</f>
        <v>2432</v>
      </c>
      <c r="I31" s="119"/>
      <c r="J31" s="83">
        <f t="shared" si="1"/>
        <v>4728</v>
      </c>
      <c r="K31" s="83">
        <f t="shared" si="7"/>
        <v>75272</v>
      </c>
      <c r="L31" s="83">
        <f t="shared" si="12"/>
        <v>6626.3672916666665</v>
      </c>
      <c r="M31" s="83">
        <v>774.57</v>
      </c>
      <c r="N31" s="121">
        <v>4468.07</v>
      </c>
      <c r="O31" s="116">
        <f t="shared" si="6"/>
        <v>15822.437291666665</v>
      </c>
      <c r="P31" s="120">
        <f>+F31-O31</f>
        <v>64177.562708333338</v>
      </c>
      <c r="Q31" s="93"/>
      <c r="R31" s="93"/>
    </row>
    <row r="32" spans="1:18" s="41" customFormat="1" ht="27" customHeight="1" x14ac:dyDescent="0.25">
      <c r="A32" s="229" t="s">
        <v>126</v>
      </c>
      <c r="B32" s="230"/>
      <c r="C32" s="230"/>
      <c r="D32" s="230"/>
      <c r="E32" s="231"/>
      <c r="F32" s="39">
        <f>SUM(F29:F31)</f>
        <v>274000</v>
      </c>
      <c r="G32" s="39">
        <f t="shared" ref="G32:P32" si="13">SUM(G29:G31)</f>
        <v>7863.8</v>
      </c>
      <c r="H32" s="39">
        <f t="shared" si="13"/>
        <v>8329.6</v>
      </c>
      <c r="I32" s="39">
        <f t="shared" si="13"/>
        <v>3154.9</v>
      </c>
      <c r="J32" s="39">
        <f t="shared" si="13"/>
        <v>19348.3</v>
      </c>
      <c r="K32" s="39">
        <f t="shared" si="13"/>
        <v>254651.7</v>
      </c>
      <c r="L32" s="39">
        <f t="shared" si="13"/>
        <v>18883.976874999997</v>
      </c>
      <c r="M32" s="39">
        <f t="shared" si="13"/>
        <v>10527.76</v>
      </c>
      <c r="N32" s="39">
        <f t="shared" si="13"/>
        <v>15439.199999999999</v>
      </c>
      <c r="O32" s="39">
        <f t="shared" si="13"/>
        <v>53671.476874999993</v>
      </c>
      <c r="P32" s="39">
        <f t="shared" si="13"/>
        <v>220328.52312500004</v>
      </c>
      <c r="Q32" s="55"/>
      <c r="R32" s="55"/>
    </row>
    <row r="33" spans="1:18" s="41" customFormat="1" ht="13.5" customHeight="1" thickBot="1" x14ac:dyDescent="0.3">
      <c r="A33" s="52"/>
      <c r="B33" s="52"/>
      <c r="C33" s="52"/>
      <c r="D33" s="52"/>
      <c r="E33" s="52"/>
      <c r="F33" s="42"/>
      <c r="G33" s="42"/>
      <c r="H33" s="42"/>
      <c r="I33" s="42"/>
      <c r="J33" s="83">
        <f t="shared" si="1"/>
        <v>0</v>
      </c>
      <c r="K33" s="83">
        <f t="shared" si="7"/>
        <v>0</v>
      </c>
      <c r="L33" s="83">
        <f t="shared" si="9"/>
        <v>0</v>
      </c>
      <c r="M33" s="55"/>
      <c r="N33" s="42"/>
      <c r="O33" s="116">
        <f t="shared" si="6"/>
        <v>0</v>
      </c>
      <c r="P33" s="42"/>
      <c r="Q33" s="55"/>
      <c r="R33" s="55"/>
    </row>
    <row r="34" spans="1:18" s="34" customFormat="1" ht="30" customHeight="1" thickBot="1" x14ac:dyDescent="0.3">
      <c r="A34" s="232" t="s">
        <v>156</v>
      </c>
      <c r="B34" s="233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85"/>
      <c r="R34" s="85"/>
    </row>
    <row r="35" spans="1:18" s="41" customFormat="1" ht="32.25" customHeight="1" x14ac:dyDescent="0.25">
      <c r="A35" s="132">
        <f>+A31+1</f>
        <v>16</v>
      </c>
      <c r="B35" s="122" t="s">
        <v>243</v>
      </c>
      <c r="C35" s="132" t="s">
        <v>430</v>
      </c>
      <c r="D35" s="158" t="s">
        <v>181</v>
      </c>
      <c r="E35" s="117" t="s">
        <v>123</v>
      </c>
      <c r="F35" s="116">
        <v>155000</v>
      </c>
      <c r="G35" s="119">
        <f>F35*2.87%</f>
        <v>4448.5</v>
      </c>
      <c r="H35" s="119">
        <f>F35*3.04%</f>
        <v>4712</v>
      </c>
      <c r="I35" s="116"/>
      <c r="J35" s="83">
        <f t="shared" si="1"/>
        <v>9160.5</v>
      </c>
      <c r="K35" s="83">
        <f t="shared" si="7"/>
        <v>145839.5</v>
      </c>
      <c r="L35" s="83">
        <f>+IF(K35*12&lt;=416220.01,0,IF(K35*12&lt;=624329.01,(((K35*12-416220.01)*0.15)/12),IF((K35*12&lt;=867123.01),(31216+0.2*(K35*12-624329.01))/12,((79776+0.25*(K35*12-867123.01))/12))))-M35</f>
        <v>25042.812291666665</v>
      </c>
      <c r="M35" s="83"/>
      <c r="N35" s="121">
        <v>5818.55</v>
      </c>
      <c r="O35" s="116">
        <f t="shared" si="6"/>
        <v>40021.862291666665</v>
      </c>
      <c r="P35" s="120">
        <f>+F35-O35</f>
        <v>114978.13770833334</v>
      </c>
      <c r="Q35" s="55"/>
      <c r="R35" s="55"/>
    </row>
    <row r="36" spans="1:18" s="134" customFormat="1" ht="30" customHeight="1" x14ac:dyDescent="0.25">
      <c r="A36" s="132">
        <f>+A35+1</f>
        <v>17</v>
      </c>
      <c r="B36" s="117" t="s">
        <v>53</v>
      </c>
      <c r="C36" s="132" t="s">
        <v>430</v>
      </c>
      <c r="D36" s="117" t="s">
        <v>51</v>
      </c>
      <c r="E36" s="117" t="s">
        <v>123</v>
      </c>
      <c r="F36" s="119">
        <v>100000</v>
      </c>
      <c r="G36" s="119">
        <f>F36*2.87%</f>
        <v>2870</v>
      </c>
      <c r="H36" s="119">
        <f>+F36*3.04%</f>
        <v>3040</v>
      </c>
      <c r="I36" s="119"/>
      <c r="J36" s="83">
        <f t="shared" si="1"/>
        <v>5910</v>
      </c>
      <c r="K36" s="83">
        <f t="shared" si="7"/>
        <v>94090</v>
      </c>
      <c r="L36" s="83">
        <f t="shared" ref="L36:L38" si="14">+IF(K36*12&lt;=416220.01,0,IF(K36*12&lt;=624329.01,(((K36*12-416220.01)*0.15)/12),IF((K36*12&lt;=867123.01),(31216+0.2*(K36*12-624329.01))/12,((79776+0.25*(K36*12-867123.01))/12))))-M36</f>
        <v>-2.7083333334303461E-3</v>
      </c>
      <c r="M36" s="83">
        <v>12105.44</v>
      </c>
      <c r="N36" s="121">
        <v>25</v>
      </c>
      <c r="O36" s="116">
        <f t="shared" si="6"/>
        <v>5934.9972916666666</v>
      </c>
      <c r="P36" s="120">
        <f>+F36-O36</f>
        <v>94065.002708333341</v>
      </c>
      <c r="Q36" s="33"/>
      <c r="R36" s="33"/>
    </row>
    <row r="37" spans="1:18" s="49" customFormat="1" ht="30" customHeight="1" x14ac:dyDescent="0.25">
      <c r="A37" s="132">
        <f>+A36+1</f>
        <v>18</v>
      </c>
      <c r="B37" s="117" t="s">
        <v>244</v>
      </c>
      <c r="C37" s="132" t="s">
        <v>430</v>
      </c>
      <c r="D37" s="118" t="s">
        <v>51</v>
      </c>
      <c r="E37" s="117" t="s">
        <v>122</v>
      </c>
      <c r="F37" s="119">
        <v>80000</v>
      </c>
      <c r="G37" s="119">
        <f>F37*2.87%</f>
        <v>2296</v>
      </c>
      <c r="H37" s="119">
        <f>+F37*3.04%</f>
        <v>2432</v>
      </c>
      <c r="I37" s="119"/>
      <c r="J37" s="83">
        <f t="shared" si="1"/>
        <v>4728</v>
      </c>
      <c r="K37" s="83">
        <f t="shared" si="7"/>
        <v>75272</v>
      </c>
      <c r="L37" s="83">
        <f t="shared" si="14"/>
        <v>6761.387291666666</v>
      </c>
      <c r="M37" s="83">
        <v>639.54999999999995</v>
      </c>
      <c r="N37" s="121">
        <v>125</v>
      </c>
      <c r="O37" s="116">
        <f t="shared" si="6"/>
        <v>11614.387291666666</v>
      </c>
      <c r="P37" s="120">
        <f>+F37-O37</f>
        <v>68385.612708333327</v>
      </c>
      <c r="Q37" s="93"/>
      <c r="R37" s="93"/>
    </row>
    <row r="38" spans="1:18" s="49" customFormat="1" ht="30" customHeight="1" x14ac:dyDescent="0.25">
      <c r="A38" s="132">
        <f>+A37+1</f>
        <v>19</v>
      </c>
      <c r="B38" s="164" t="s">
        <v>472</v>
      </c>
      <c r="C38" s="38" t="s">
        <v>429</v>
      </c>
      <c r="D38" s="136" t="s">
        <v>148</v>
      </c>
      <c r="E38" s="117" t="s">
        <v>122</v>
      </c>
      <c r="F38" s="119">
        <v>70000</v>
      </c>
      <c r="G38" s="119">
        <f>F38*2.87%</f>
        <v>2009</v>
      </c>
      <c r="H38" s="119">
        <f>+F38*3.04%</f>
        <v>2128</v>
      </c>
      <c r="I38" s="119"/>
      <c r="J38" s="83">
        <f t="shared" si="1"/>
        <v>4137</v>
      </c>
      <c r="K38" s="83">
        <f t="shared" si="7"/>
        <v>65863</v>
      </c>
      <c r="L38" s="83">
        <f t="shared" si="14"/>
        <v>-1.6666666670062114E-4</v>
      </c>
      <c r="M38" s="83">
        <v>5368.45</v>
      </c>
      <c r="N38" s="121">
        <f>3990.35+25</f>
        <v>4015.35</v>
      </c>
      <c r="O38" s="116">
        <f t="shared" si="6"/>
        <v>8152.3498333333337</v>
      </c>
      <c r="P38" s="120">
        <f>F38-O38</f>
        <v>61847.650166666666</v>
      </c>
      <c r="Q38" s="93"/>
      <c r="R38" s="93"/>
    </row>
    <row r="39" spans="1:18" s="41" customFormat="1" ht="30" customHeight="1" thickBot="1" x14ac:dyDescent="0.3">
      <c r="A39" s="229" t="s">
        <v>126</v>
      </c>
      <c r="B39" s="230"/>
      <c r="C39" s="230"/>
      <c r="D39" s="230"/>
      <c r="E39" s="231"/>
      <c r="F39" s="39">
        <f>SUM(F35:F38)</f>
        <v>405000</v>
      </c>
      <c r="G39" s="39">
        <f t="shared" ref="G39:P39" si="15">SUM(G35:G38)</f>
        <v>11623.5</v>
      </c>
      <c r="H39" s="39">
        <f t="shared" si="15"/>
        <v>12312</v>
      </c>
      <c r="I39" s="39">
        <f t="shared" si="15"/>
        <v>0</v>
      </c>
      <c r="J39" s="39">
        <f t="shared" si="15"/>
        <v>23935.5</v>
      </c>
      <c r="K39" s="39">
        <f t="shared" si="15"/>
        <v>381064.5</v>
      </c>
      <c r="L39" s="39">
        <f t="shared" si="15"/>
        <v>31804.196708333329</v>
      </c>
      <c r="M39" s="39">
        <f t="shared" si="15"/>
        <v>18113.439999999999</v>
      </c>
      <c r="N39" s="39">
        <f t="shared" si="15"/>
        <v>9983.9</v>
      </c>
      <c r="O39" s="39">
        <f t="shared" si="15"/>
        <v>65723.596708333323</v>
      </c>
      <c r="P39" s="39">
        <f t="shared" si="15"/>
        <v>339276.40329166671</v>
      </c>
      <c r="Q39" s="55"/>
      <c r="R39" s="55"/>
    </row>
    <row r="40" spans="1:18" s="34" customFormat="1" ht="24" customHeight="1" thickBot="1" x14ac:dyDescent="0.3">
      <c r="A40" s="232" t="s">
        <v>157</v>
      </c>
      <c r="B40" s="233"/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85"/>
      <c r="R40" s="85"/>
    </row>
    <row r="41" spans="1:18" s="92" customFormat="1" ht="30" customHeight="1" x14ac:dyDescent="0.25">
      <c r="A41" s="81">
        <f>A38+1</f>
        <v>20</v>
      </c>
      <c r="B41" s="82" t="s">
        <v>258</v>
      </c>
      <c r="C41" s="81" t="s">
        <v>430</v>
      </c>
      <c r="D41" s="89" t="s">
        <v>188</v>
      </c>
      <c r="E41" s="87" t="s">
        <v>123</v>
      </c>
      <c r="F41" s="83">
        <v>130000</v>
      </c>
      <c r="G41" s="88">
        <v>3731</v>
      </c>
      <c r="H41" s="88">
        <v>3952</v>
      </c>
      <c r="I41" s="88">
        <v>1577.45</v>
      </c>
      <c r="J41" s="83">
        <f t="shared" si="1"/>
        <v>9260.4500000000007</v>
      </c>
      <c r="K41" s="83">
        <f t="shared" si="7"/>
        <v>120739.55</v>
      </c>
      <c r="L41" s="83">
        <f>+IF(K41*12&lt;=416220.01,0,IF(K41*12&lt;=624329.01,(((K41*12-416220.01)*0.15)/12),IF((K41*12&lt;=867123.01),(31216+0.2*(K41*12-624329.01))/12,((79776+0.25*(K41*12-867123.01))/12))))-M41</f>
        <v>18767.82479166667</v>
      </c>
      <c r="M41" s="83"/>
      <c r="N41" s="90">
        <v>25</v>
      </c>
      <c r="O41" s="116">
        <f t="shared" si="6"/>
        <v>28053.27479166667</v>
      </c>
      <c r="P41" s="84">
        <f>+F41-O41</f>
        <v>101946.72520833333</v>
      </c>
    </row>
    <row r="42" spans="1:18" s="92" customFormat="1" ht="30" customHeight="1" x14ac:dyDescent="0.25">
      <c r="A42" s="81">
        <f>A41+1</f>
        <v>21</v>
      </c>
      <c r="B42" s="117" t="s">
        <v>49</v>
      </c>
      <c r="C42" s="38" t="s">
        <v>430</v>
      </c>
      <c r="D42" s="117" t="s">
        <v>51</v>
      </c>
      <c r="E42" s="117" t="s">
        <v>123</v>
      </c>
      <c r="F42" s="119">
        <v>90000</v>
      </c>
      <c r="G42" s="119">
        <f>F42*2.87%</f>
        <v>2583</v>
      </c>
      <c r="H42" s="88">
        <f>+F42*3.04%</f>
        <v>2736</v>
      </c>
      <c r="I42" s="88"/>
      <c r="J42" s="83">
        <f t="shared" si="1"/>
        <v>5319</v>
      </c>
      <c r="K42" s="83">
        <f t="shared" si="7"/>
        <v>84681</v>
      </c>
      <c r="L42" s="83">
        <f t="shared" ref="L42:L45" si="16">+IF(K42*12&lt;=416220.01,0,IF(K42*12&lt;=624329.01,(((K42*12-416220.01)*0.15)/12),IF((K42*12&lt;=867123.01),(31216+0.2*(K42*12-624329.01))/12,((79776+0.25*(K42*12-867123.01))/12))))-M42</f>
        <v>-2.7083333334303461E-3</v>
      </c>
      <c r="M42" s="83">
        <v>9753.19</v>
      </c>
      <c r="N42" s="90">
        <f>100+25+2146.02</f>
        <v>2271.02</v>
      </c>
      <c r="O42" s="116">
        <f t="shared" si="6"/>
        <v>7590.017291666667</v>
      </c>
      <c r="P42" s="84">
        <f>+F42-O42</f>
        <v>82409.982708333337</v>
      </c>
    </row>
    <row r="43" spans="1:18" s="55" customFormat="1" ht="30" customHeight="1" x14ac:dyDescent="0.25">
      <c r="A43" s="81">
        <f>A42+1</f>
        <v>22</v>
      </c>
      <c r="B43" s="117" t="s">
        <v>245</v>
      </c>
      <c r="C43" s="38" t="s">
        <v>430</v>
      </c>
      <c r="D43" s="118" t="s">
        <v>51</v>
      </c>
      <c r="E43" s="117" t="s">
        <v>122</v>
      </c>
      <c r="F43" s="119">
        <v>90000</v>
      </c>
      <c r="G43" s="116">
        <f>F43*2.87%</f>
        <v>2583</v>
      </c>
      <c r="H43" s="83">
        <f>+F43*3.04%</f>
        <v>2736</v>
      </c>
      <c r="I43" s="83">
        <v>1577.45</v>
      </c>
      <c r="J43" s="83">
        <f t="shared" si="1"/>
        <v>6896.45</v>
      </c>
      <c r="K43" s="83">
        <f t="shared" si="7"/>
        <v>83103.55</v>
      </c>
      <c r="L43" s="83">
        <f t="shared" si="16"/>
        <v>4.791666668097605E-3</v>
      </c>
      <c r="M43" s="83">
        <v>9358.82</v>
      </c>
      <c r="N43" s="90">
        <v>8661.6</v>
      </c>
      <c r="O43" s="116">
        <f t="shared" si="6"/>
        <v>15558.054791666669</v>
      </c>
      <c r="P43" s="84">
        <f>+F43-O43</f>
        <v>74441.945208333331</v>
      </c>
    </row>
    <row r="44" spans="1:18" s="41" customFormat="1" ht="30" customHeight="1" x14ac:dyDescent="0.25">
      <c r="A44" s="81">
        <f t="shared" ref="A44" si="17">A43+1</f>
        <v>23</v>
      </c>
      <c r="B44" s="117" t="s">
        <v>246</v>
      </c>
      <c r="C44" s="38" t="s">
        <v>430</v>
      </c>
      <c r="D44" s="118" t="s">
        <v>51</v>
      </c>
      <c r="E44" s="117" t="s">
        <v>123</v>
      </c>
      <c r="F44" s="119">
        <v>90000</v>
      </c>
      <c r="G44" s="119">
        <f>F44*2.87%</f>
        <v>2583</v>
      </c>
      <c r="H44" s="88">
        <f>+F44*3.04%</f>
        <v>2736</v>
      </c>
      <c r="I44" s="88"/>
      <c r="J44" s="83">
        <f t="shared" si="1"/>
        <v>5319</v>
      </c>
      <c r="K44" s="83">
        <f t="shared" si="7"/>
        <v>84681</v>
      </c>
      <c r="L44" s="83">
        <f t="shared" si="16"/>
        <v>9753.1872916666671</v>
      </c>
      <c r="M44" s="83"/>
      <c r="N44" s="90">
        <v>6944.51</v>
      </c>
      <c r="O44" s="116">
        <f t="shared" si="6"/>
        <v>22016.697291666667</v>
      </c>
      <c r="P44" s="84">
        <f>+F44-O44</f>
        <v>67983.302708333329</v>
      </c>
      <c r="Q44" s="55"/>
      <c r="R44" s="55"/>
    </row>
    <row r="45" spans="1:18" s="41" customFormat="1" ht="30" customHeight="1" x14ac:dyDescent="0.25">
      <c r="A45" s="81">
        <f>A44+1</f>
        <v>24</v>
      </c>
      <c r="B45" s="122" t="s">
        <v>247</v>
      </c>
      <c r="C45" s="38" t="s">
        <v>430</v>
      </c>
      <c r="D45" s="122" t="s">
        <v>51</v>
      </c>
      <c r="E45" s="122" t="s">
        <v>123</v>
      </c>
      <c r="F45" s="116">
        <v>80000</v>
      </c>
      <c r="G45" s="116">
        <f>F45*2.87%</f>
        <v>2296</v>
      </c>
      <c r="H45" s="83">
        <f>+F45*3.04%</f>
        <v>2432</v>
      </c>
      <c r="I45" s="83">
        <v>1577.45</v>
      </c>
      <c r="J45" s="83">
        <f t="shared" si="1"/>
        <v>6305.45</v>
      </c>
      <c r="K45" s="83">
        <f t="shared" si="7"/>
        <v>73694.55</v>
      </c>
      <c r="L45" s="83">
        <f t="shared" si="16"/>
        <v>6367.0247916666685</v>
      </c>
      <c r="M45" s="83">
        <v>639.54999999999995</v>
      </c>
      <c r="N45" s="84">
        <v>11750.55</v>
      </c>
      <c r="O45" s="116">
        <f t="shared" si="6"/>
        <v>24423.02479166667</v>
      </c>
      <c r="P45" s="84">
        <f>+F45-O45</f>
        <v>55576.97520833333</v>
      </c>
      <c r="Q45" s="55"/>
      <c r="R45" s="55"/>
    </row>
    <row r="46" spans="1:18" s="41" customFormat="1" ht="30" customHeight="1" x14ac:dyDescent="0.25">
      <c r="A46" s="229" t="s">
        <v>126</v>
      </c>
      <c r="B46" s="230"/>
      <c r="C46" s="230"/>
      <c r="D46" s="230"/>
      <c r="E46" s="231"/>
      <c r="F46" s="39">
        <f t="shared" ref="F46:P46" si="18">SUM(F41:F45)</f>
        <v>480000</v>
      </c>
      <c r="G46" s="39">
        <f t="shared" si="18"/>
        <v>13776</v>
      </c>
      <c r="H46" s="39">
        <f t="shared" si="18"/>
        <v>14592</v>
      </c>
      <c r="I46" s="39">
        <f t="shared" si="18"/>
        <v>4732.3500000000004</v>
      </c>
      <c r="J46" s="39">
        <f t="shared" si="18"/>
        <v>33100.35</v>
      </c>
      <c r="K46" s="39">
        <f t="shared" si="18"/>
        <v>446899.64999999997</v>
      </c>
      <c r="L46" s="39">
        <f>SUM(L41:L45)</f>
        <v>34888.038958333345</v>
      </c>
      <c r="M46" s="39">
        <f>SUM(M41:M45)</f>
        <v>19751.560000000001</v>
      </c>
      <c r="N46" s="39">
        <f t="shared" si="18"/>
        <v>29652.68</v>
      </c>
      <c r="O46" s="39">
        <f t="shared" si="18"/>
        <v>97641.068958333344</v>
      </c>
      <c r="P46" s="39">
        <f t="shared" si="18"/>
        <v>382358.93104166666</v>
      </c>
      <c r="Q46" s="55"/>
      <c r="R46" s="55"/>
    </row>
    <row r="47" spans="1:18" s="41" customFormat="1" ht="30" customHeight="1" thickBot="1" x14ac:dyDescent="0.3">
      <c r="A47"/>
      <c r="B47"/>
      <c r="C47" s="147"/>
      <c r="D47"/>
      <c r="E47"/>
      <c r="F47"/>
      <c r="G47"/>
      <c r="H47"/>
      <c r="I47"/>
      <c r="J47"/>
      <c r="K47"/>
      <c r="L47"/>
      <c r="M47"/>
      <c r="N47"/>
      <c r="O47"/>
      <c r="P47"/>
      <c r="Q47" s="55"/>
      <c r="R47" s="55"/>
    </row>
    <row r="48" spans="1:18" s="92" customFormat="1" ht="30" customHeight="1" thickBot="1" x14ac:dyDescent="0.3">
      <c r="A48" s="232" t="s">
        <v>474</v>
      </c>
      <c r="B48" s="233"/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</row>
    <row r="49" spans="1:18" s="92" customFormat="1" ht="30" customHeight="1" x14ac:dyDescent="0.25">
      <c r="A49" s="81">
        <f>+A45+1</f>
        <v>25</v>
      </c>
      <c r="B49" s="82" t="s">
        <v>56</v>
      </c>
      <c r="C49" s="81" t="s">
        <v>430</v>
      </c>
      <c r="D49" s="89" t="s">
        <v>182</v>
      </c>
      <c r="E49" s="87" t="s">
        <v>123</v>
      </c>
      <c r="F49" s="83">
        <v>126500</v>
      </c>
      <c r="G49" s="83">
        <v>3630.55</v>
      </c>
      <c r="H49" s="83">
        <v>3845.6</v>
      </c>
      <c r="I49" s="83">
        <v>1577.45</v>
      </c>
      <c r="J49" s="83">
        <f t="shared" si="1"/>
        <v>9053.6</v>
      </c>
      <c r="K49" s="83">
        <f t="shared" si="7"/>
        <v>117446.39999999999</v>
      </c>
      <c r="L49" s="83">
        <f t="shared" si="9"/>
        <v>17944.537291666664</v>
      </c>
      <c r="M49" s="83"/>
      <c r="N49" s="90">
        <v>125</v>
      </c>
      <c r="O49" s="116">
        <f t="shared" si="6"/>
        <v>27123.137291666666</v>
      </c>
      <c r="P49" s="120">
        <f>+F49-O49</f>
        <v>99376.862708333327</v>
      </c>
    </row>
    <row r="50" spans="1:18" s="41" customFormat="1" ht="30" customHeight="1" x14ac:dyDescent="0.25">
      <c r="A50" s="86">
        <f>+A49+1</f>
        <v>26</v>
      </c>
      <c r="B50" s="117" t="s">
        <v>183</v>
      </c>
      <c r="C50" s="38" t="s">
        <v>430</v>
      </c>
      <c r="D50" s="118" t="s">
        <v>95</v>
      </c>
      <c r="E50" s="117" t="s">
        <v>123</v>
      </c>
      <c r="F50" s="119">
        <v>60000</v>
      </c>
      <c r="G50" s="88">
        <f>F50*2.87%</f>
        <v>1722</v>
      </c>
      <c r="H50" s="88">
        <f>+F50*3.04%</f>
        <v>1824</v>
      </c>
      <c r="I50" s="88">
        <v>1577.45</v>
      </c>
      <c r="J50" s="83">
        <f t="shared" si="1"/>
        <v>5123.45</v>
      </c>
      <c r="K50" s="83">
        <f t="shared" si="7"/>
        <v>54876.55</v>
      </c>
      <c r="L50" s="83">
        <f>+IF(K50*12&lt;=416220.01,0,IF(K50*12&lt;=624329.01,(((K50*12-416220.01)*0.15)/12),IF((K50*12&lt;=867123.01),(31216+0.2*(K50*12-624329.01))/12,((79776+0.25*(K50*12-867123.01))/12))))-M50</f>
        <v>-1.6666666488163173E-4</v>
      </c>
      <c r="M50" s="83">
        <v>3171.16</v>
      </c>
      <c r="N50" s="90">
        <v>125</v>
      </c>
      <c r="O50" s="116">
        <f t="shared" si="6"/>
        <v>5248.4498333333349</v>
      </c>
      <c r="P50" s="84">
        <f>+F50-O50</f>
        <v>54751.550166666668</v>
      </c>
      <c r="Q50" s="55"/>
      <c r="R50" s="55"/>
    </row>
    <row r="51" spans="1:18" s="41" customFormat="1" ht="30" customHeight="1" x14ac:dyDescent="0.25">
      <c r="A51" s="229" t="s">
        <v>126</v>
      </c>
      <c r="B51" s="230"/>
      <c r="C51" s="230"/>
      <c r="D51" s="230"/>
      <c r="E51" s="231"/>
      <c r="F51" s="39">
        <f t="shared" ref="F51:P51" si="19">SUM(F49:F50)</f>
        <v>186500</v>
      </c>
      <c r="G51" s="39">
        <f t="shared" si="19"/>
        <v>5352.55</v>
      </c>
      <c r="H51" s="39">
        <f t="shared" si="19"/>
        <v>5669.6</v>
      </c>
      <c r="I51" s="39">
        <f t="shared" si="19"/>
        <v>3154.9</v>
      </c>
      <c r="J51" s="39">
        <f t="shared" si="19"/>
        <v>14177.05</v>
      </c>
      <c r="K51" s="39">
        <f t="shared" si="19"/>
        <v>172322.95</v>
      </c>
      <c r="L51" s="39">
        <f t="shared" si="19"/>
        <v>17944.537124999999</v>
      </c>
      <c r="M51" s="39">
        <f t="shared" si="19"/>
        <v>3171.16</v>
      </c>
      <c r="N51" s="39">
        <f t="shared" si="19"/>
        <v>250</v>
      </c>
      <c r="O51" s="39">
        <f t="shared" si="19"/>
        <v>32371.587125000002</v>
      </c>
      <c r="P51" s="39">
        <f t="shared" si="19"/>
        <v>154128.41287499998</v>
      </c>
      <c r="Q51" s="55"/>
      <c r="R51" s="55"/>
    </row>
    <row r="52" spans="1:18" s="41" customFormat="1" ht="30" customHeight="1" thickBot="1" x14ac:dyDescent="0.3">
      <c r="A52" s="52"/>
      <c r="B52" s="52"/>
      <c r="C52" s="52"/>
      <c r="D52" s="52"/>
      <c r="E52" s="52"/>
      <c r="F52"/>
      <c r="G52"/>
      <c r="H52"/>
      <c r="I52"/>
      <c r="J52"/>
      <c r="K52"/>
      <c r="L52"/>
      <c r="M52"/>
      <c r="N52"/>
      <c r="O52"/>
      <c r="P52"/>
      <c r="Q52" s="55"/>
      <c r="R52" s="55"/>
    </row>
    <row r="53" spans="1:18" s="55" customFormat="1" ht="30" customHeight="1" thickBot="1" x14ac:dyDescent="0.3">
      <c r="A53" s="264" t="s">
        <v>158</v>
      </c>
      <c r="B53" s="26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</row>
    <row r="54" spans="1:18" s="55" customFormat="1" ht="30" customHeight="1" x14ac:dyDescent="0.25">
      <c r="A54" s="86">
        <f>+A50+1</f>
        <v>27</v>
      </c>
      <c r="B54" s="117" t="s">
        <v>249</v>
      </c>
      <c r="C54" s="38" t="s">
        <v>430</v>
      </c>
      <c r="D54" s="118" t="s">
        <v>51</v>
      </c>
      <c r="E54" s="117" t="s">
        <v>123</v>
      </c>
      <c r="F54" s="119">
        <v>104000</v>
      </c>
      <c r="G54" s="88">
        <f>F54*2.87%</f>
        <v>2984.8</v>
      </c>
      <c r="H54" s="88">
        <f>+F54*3.04%</f>
        <v>3161.6</v>
      </c>
      <c r="I54" s="88">
        <v>1577.45</v>
      </c>
      <c r="J54" s="83">
        <f t="shared" si="1"/>
        <v>7723.8499999999995</v>
      </c>
      <c r="K54" s="83">
        <f t="shared" si="7"/>
        <v>96276.15</v>
      </c>
      <c r="L54" s="83">
        <f>+IF(K54*12&lt;=416220.01,0,IF(K54*12&lt;=624329.01,(((K54*12-416220.01)*0.15)/12),IF((K54*12&lt;=867123.01),(31216+0.2*(K54*12-624329.01))/12,((79776+0.25*(K54*12-867123.01))/12))))-M54</f>
        <v>4.7916666626406368E-3</v>
      </c>
      <c r="M54" s="83">
        <v>12651.97</v>
      </c>
      <c r="N54" s="90">
        <v>4505.74</v>
      </c>
      <c r="O54" s="116">
        <f t="shared" si="6"/>
        <v>12229.594791666663</v>
      </c>
      <c r="P54" s="84">
        <f>+F54-O54</f>
        <v>91770.405208333337</v>
      </c>
    </row>
    <row r="55" spans="1:18" s="33" customFormat="1" ht="30" customHeight="1" x14ac:dyDescent="0.25">
      <c r="A55" s="86">
        <f>+A54+1</f>
        <v>28</v>
      </c>
      <c r="B55" s="117" t="s">
        <v>250</v>
      </c>
      <c r="C55" s="38" t="s">
        <v>430</v>
      </c>
      <c r="D55" s="118" t="s">
        <v>51</v>
      </c>
      <c r="E55" s="117" t="s">
        <v>123</v>
      </c>
      <c r="F55" s="119">
        <v>95000</v>
      </c>
      <c r="G55" s="88">
        <f>F55*2.87%</f>
        <v>2726.5</v>
      </c>
      <c r="H55" s="88">
        <f>+F55*3.04%</f>
        <v>2888</v>
      </c>
      <c r="I55" s="88"/>
      <c r="J55" s="83">
        <f t="shared" si="1"/>
        <v>5614.5</v>
      </c>
      <c r="K55" s="83">
        <f t="shared" si="7"/>
        <v>89385.5</v>
      </c>
      <c r="L55" s="83">
        <f t="shared" ref="L55:L58" si="20">+IF(K55*12&lt;=416220.01,0,IF(K55*12&lt;=624329.01,(((K55*12-416220.01)*0.15)/12),IF((K55*12&lt;=867123.01),(31216+0.2*(K55*12-624329.01))/12,((79776+0.25*(K55*12-867123.01))/12))))-M55</f>
        <v>10929.312291666667</v>
      </c>
      <c r="M55" s="83"/>
      <c r="N55" s="90">
        <v>7125</v>
      </c>
      <c r="O55" s="116">
        <f t="shared" si="6"/>
        <v>23668.812291666669</v>
      </c>
      <c r="P55" s="84">
        <f>+F55-O55</f>
        <v>71331.187708333338</v>
      </c>
    </row>
    <row r="56" spans="1:18" s="55" customFormat="1" ht="30" customHeight="1" x14ac:dyDescent="0.25">
      <c r="A56" s="81">
        <f>+A55+1</f>
        <v>29</v>
      </c>
      <c r="B56" s="117" t="s">
        <v>50</v>
      </c>
      <c r="C56" s="38" t="s">
        <v>430</v>
      </c>
      <c r="D56" s="117" t="s">
        <v>51</v>
      </c>
      <c r="E56" s="117" t="s">
        <v>122</v>
      </c>
      <c r="F56" s="119">
        <v>90000</v>
      </c>
      <c r="G56" s="88">
        <f>F56*2.87%</f>
        <v>2583</v>
      </c>
      <c r="H56" s="88">
        <f>+F56*3.04%</f>
        <v>2736</v>
      </c>
      <c r="I56" s="88"/>
      <c r="J56" s="83">
        <f t="shared" si="1"/>
        <v>5319</v>
      </c>
      <c r="K56" s="83">
        <f t="shared" si="7"/>
        <v>84681</v>
      </c>
      <c r="L56" s="83">
        <f t="shared" si="20"/>
        <v>9753.1872916666671</v>
      </c>
      <c r="M56" s="83"/>
      <c r="N56" s="90">
        <v>25</v>
      </c>
      <c r="O56" s="116">
        <f t="shared" si="6"/>
        <v>15097.187291666667</v>
      </c>
      <c r="P56" s="84">
        <f>+F56-O56</f>
        <v>74902.812708333338</v>
      </c>
    </row>
    <row r="57" spans="1:18" s="41" customFormat="1" ht="30" customHeight="1" x14ac:dyDescent="0.25">
      <c r="A57" s="86">
        <f>+A56+1</f>
        <v>30</v>
      </c>
      <c r="B57" s="117" t="s">
        <v>251</v>
      </c>
      <c r="C57" s="38" t="s">
        <v>430</v>
      </c>
      <c r="D57" s="118" t="s">
        <v>51</v>
      </c>
      <c r="E57" s="117" t="s">
        <v>122</v>
      </c>
      <c r="F57" s="119">
        <v>90000</v>
      </c>
      <c r="G57" s="88">
        <f>F57*2.87%</f>
        <v>2583</v>
      </c>
      <c r="H57" s="88">
        <f>+F57*3.04%</f>
        <v>2736</v>
      </c>
      <c r="I57" s="88"/>
      <c r="J57" s="83">
        <f t="shared" si="1"/>
        <v>5319</v>
      </c>
      <c r="K57" s="83">
        <f t="shared" si="7"/>
        <v>84681</v>
      </c>
      <c r="L57" s="83">
        <f t="shared" si="20"/>
        <v>-2.7083333334303461E-3</v>
      </c>
      <c r="M57" s="83">
        <v>9753.19</v>
      </c>
      <c r="N57" s="90">
        <v>25</v>
      </c>
      <c r="O57" s="116">
        <f t="shared" si="6"/>
        <v>5343.9972916666666</v>
      </c>
      <c r="P57" s="84">
        <f>+F57-O57</f>
        <v>84656.002708333341</v>
      </c>
      <c r="Q57" s="55"/>
      <c r="R57" s="55"/>
    </row>
    <row r="58" spans="1:18" s="41" customFormat="1" ht="30" customHeight="1" x14ac:dyDescent="0.25">
      <c r="A58" s="86">
        <f>A57+1</f>
        <v>31</v>
      </c>
      <c r="B58" s="117" t="s">
        <v>485</v>
      </c>
      <c r="C58" s="38" t="s">
        <v>430</v>
      </c>
      <c r="D58" s="118" t="s">
        <v>51</v>
      </c>
      <c r="E58" s="117" t="s">
        <v>122</v>
      </c>
      <c r="F58" s="119">
        <v>70000</v>
      </c>
      <c r="G58" s="88">
        <f>F58*2.87%</f>
        <v>2009</v>
      </c>
      <c r="H58" s="88">
        <f>+F58*3.04%</f>
        <v>2128</v>
      </c>
      <c r="I58" s="88">
        <v>3154.9</v>
      </c>
      <c r="J58" s="83">
        <f t="shared" si="1"/>
        <v>7291.9</v>
      </c>
      <c r="K58" s="83">
        <f t="shared" si="7"/>
        <v>62708.1</v>
      </c>
      <c r="L58" s="83">
        <f t="shared" si="20"/>
        <v>-1.6666666761011584E-4</v>
      </c>
      <c r="M58" s="83">
        <v>4737.47</v>
      </c>
      <c r="N58" s="88">
        <v>25</v>
      </c>
      <c r="O58" s="116">
        <f t="shared" si="6"/>
        <v>7316.899833333332</v>
      </c>
      <c r="P58" s="88">
        <f>+F58-O58</f>
        <v>62683.100166666671</v>
      </c>
      <c r="Q58" s="55"/>
      <c r="R58" s="55"/>
    </row>
    <row r="59" spans="1:18" s="41" customFormat="1" ht="30" customHeight="1" x14ac:dyDescent="0.25">
      <c r="A59" s="229" t="s">
        <v>126</v>
      </c>
      <c r="B59" s="230"/>
      <c r="C59" s="230"/>
      <c r="D59" s="230"/>
      <c r="E59" s="231"/>
      <c r="F59" s="39">
        <f>SUM(F54:F58)</f>
        <v>449000</v>
      </c>
      <c r="G59" s="39">
        <f t="shared" ref="G59:P59" si="21">SUM(G54:G58)</f>
        <v>12886.3</v>
      </c>
      <c r="H59" s="39">
        <f t="shared" si="21"/>
        <v>13649.6</v>
      </c>
      <c r="I59" s="39">
        <f t="shared" si="21"/>
        <v>4732.3500000000004</v>
      </c>
      <c r="J59" s="39">
        <f t="shared" si="21"/>
        <v>31268.25</v>
      </c>
      <c r="K59" s="39">
        <f t="shared" si="21"/>
        <v>417731.75</v>
      </c>
      <c r="L59" s="39">
        <f t="shared" si="21"/>
        <v>20682.501499999995</v>
      </c>
      <c r="M59" s="39">
        <f t="shared" si="21"/>
        <v>27142.63</v>
      </c>
      <c r="N59" s="39">
        <f t="shared" si="21"/>
        <v>11705.74</v>
      </c>
      <c r="O59" s="39">
        <f t="shared" si="21"/>
        <v>63656.491499999996</v>
      </c>
      <c r="P59" s="39">
        <f t="shared" si="21"/>
        <v>385343.5085</v>
      </c>
      <c r="Q59" s="55"/>
      <c r="R59" s="55"/>
    </row>
    <row r="60" spans="1:18" s="41" customFormat="1" ht="30" customHeight="1" thickBot="1" x14ac:dyDescent="0.3">
      <c r="A60" s="75"/>
      <c r="B60" s="75"/>
      <c r="C60" s="148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55"/>
      <c r="R60" s="55"/>
    </row>
    <row r="61" spans="1:18" s="33" customFormat="1" ht="30" customHeight="1" thickBot="1" x14ac:dyDescent="0.3">
      <c r="A61" s="264" t="s">
        <v>159</v>
      </c>
      <c r="B61" s="265"/>
      <c r="C61" s="235"/>
      <c r="D61" s="235"/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</row>
    <row r="62" spans="1:18" s="92" customFormat="1" ht="30" customHeight="1" x14ac:dyDescent="0.25">
      <c r="A62" s="132">
        <f>A58+1</f>
        <v>32</v>
      </c>
      <c r="B62" s="122" t="s">
        <v>48</v>
      </c>
      <c r="C62" s="132" t="s">
        <v>430</v>
      </c>
      <c r="D62" s="91" t="s">
        <v>51</v>
      </c>
      <c r="E62" s="122" t="s">
        <v>123</v>
      </c>
      <c r="F62" s="83">
        <v>102000</v>
      </c>
      <c r="G62" s="88">
        <f>F62*2.87%</f>
        <v>2927.4</v>
      </c>
      <c r="H62" s="88">
        <f>+F62*3.04%</f>
        <v>3100.8</v>
      </c>
      <c r="I62" s="83"/>
      <c r="J62" s="83">
        <f t="shared" si="1"/>
        <v>6028.2000000000007</v>
      </c>
      <c r="K62" s="83">
        <f t="shared" si="7"/>
        <v>95971.8</v>
      </c>
      <c r="L62" s="83">
        <f>+IF(K62*12&lt;=416220.01,0,IF(K62*12&lt;=624329.01,(((K62*12-416220.01)*0.15)/12),IF((K62*12&lt;=867123.01),(31216+0.2*(K62*12-624329.01))/12,((79776+0.25*(K62*12-867123.01))/12))))-M62</f>
        <v>12575.887291666668</v>
      </c>
      <c r="M62" s="83"/>
      <c r="N62" s="90">
        <v>125</v>
      </c>
      <c r="O62" s="116">
        <f t="shared" si="6"/>
        <v>18729.08729166667</v>
      </c>
      <c r="P62" s="84">
        <f>+F62-O62</f>
        <v>83270.91270833333</v>
      </c>
    </row>
    <row r="63" spans="1:18" s="92" customFormat="1" ht="30" customHeight="1" x14ac:dyDescent="0.25">
      <c r="A63" s="38">
        <f>+A62+1</f>
        <v>33</v>
      </c>
      <c r="B63" s="117" t="s">
        <v>63</v>
      </c>
      <c r="C63" s="38" t="s">
        <v>429</v>
      </c>
      <c r="D63" s="118" t="s">
        <v>51</v>
      </c>
      <c r="E63" s="117" t="s">
        <v>123</v>
      </c>
      <c r="F63" s="119">
        <v>102000</v>
      </c>
      <c r="G63" s="119">
        <f>F63*2.87%</f>
        <v>2927.4</v>
      </c>
      <c r="H63" s="88">
        <f>+F63*3.04%</f>
        <v>3100.8</v>
      </c>
      <c r="I63" s="88"/>
      <c r="J63" s="83">
        <f t="shared" si="1"/>
        <v>6028.2000000000007</v>
      </c>
      <c r="K63" s="83">
        <f t="shared" si="7"/>
        <v>95971.8</v>
      </c>
      <c r="L63" s="83">
        <f t="shared" ref="L63:L64" si="22">+IF(K63*12&lt;=416220.01,0,IF(K63*12&lt;=624329.01,(((K63*12-416220.01)*0.15)/12),IF((K63*12&lt;=867123.01),(31216+0.2*(K63*12-624329.01))/12,((79776+0.25*(K63*12-867123.01))/12))))-M63</f>
        <v>-2.7083333316113567E-3</v>
      </c>
      <c r="M63" s="83">
        <v>12575.89</v>
      </c>
      <c r="N63" s="90">
        <v>25</v>
      </c>
      <c r="O63" s="116">
        <f t="shared" si="6"/>
        <v>6053.1972916666691</v>
      </c>
      <c r="P63" s="84">
        <f>+F63-O63</f>
        <v>95946.802708333329</v>
      </c>
    </row>
    <row r="64" spans="1:18" s="41" customFormat="1" ht="30" customHeight="1" x14ac:dyDescent="0.25">
      <c r="A64" s="38">
        <f>+A63+1</f>
        <v>34</v>
      </c>
      <c r="B64" s="117" t="s">
        <v>292</v>
      </c>
      <c r="C64" s="38" t="s">
        <v>430</v>
      </c>
      <c r="D64" s="118" t="s">
        <v>51</v>
      </c>
      <c r="E64" s="117" t="s">
        <v>122</v>
      </c>
      <c r="F64" s="119">
        <v>80000</v>
      </c>
      <c r="G64" s="119">
        <f>F64*2.87%</f>
        <v>2296</v>
      </c>
      <c r="H64" s="88">
        <f>+F64*3.04%</f>
        <v>2432</v>
      </c>
      <c r="I64" s="88"/>
      <c r="J64" s="83">
        <f t="shared" si="1"/>
        <v>4728</v>
      </c>
      <c r="K64" s="83">
        <f t="shared" si="7"/>
        <v>75272</v>
      </c>
      <c r="L64" s="83">
        <f t="shared" si="22"/>
        <v>6761.387291666666</v>
      </c>
      <c r="M64" s="83">
        <v>639.54999999999995</v>
      </c>
      <c r="N64" s="90">
        <f>8000+25</f>
        <v>8025</v>
      </c>
      <c r="O64" s="116">
        <f t="shared" si="6"/>
        <v>19514.387291666666</v>
      </c>
      <c r="P64" s="84">
        <f>+F64-O64</f>
        <v>60485.612708333334</v>
      </c>
      <c r="Q64" s="55"/>
      <c r="R64" s="55"/>
    </row>
    <row r="65" spans="1:18" s="42" customFormat="1" ht="30" customHeight="1" x14ac:dyDescent="0.25">
      <c r="A65" s="229" t="s">
        <v>126</v>
      </c>
      <c r="B65" s="230"/>
      <c r="C65" s="230"/>
      <c r="D65" s="230"/>
      <c r="E65" s="231"/>
      <c r="F65" s="39">
        <f t="shared" ref="F65:P65" si="23">SUM(F62:F64)</f>
        <v>284000</v>
      </c>
      <c r="G65" s="39">
        <f t="shared" si="23"/>
        <v>8150.8</v>
      </c>
      <c r="H65" s="39">
        <f t="shared" si="23"/>
        <v>8633.6</v>
      </c>
      <c r="I65" s="39">
        <f t="shared" si="23"/>
        <v>0</v>
      </c>
      <c r="J65" s="39">
        <f t="shared" si="23"/>
        <v>16784.400000000001</v>
      </c>
      <c r="K65" s="39">
        <f t="shared" si="23"/>
        <v>267215.59999999998</v>
      </c>
      <c r="L65" s="39">
        <f t="shared" si="23"/>
        <v>19337.271875000002</v>
      </c>
      <c r="M65" s="39">
        <f t="shared" si="23"/>
        <v>13215.439999999999</v>
      </c>
      <c r="N65" s="39">
        <f t="shared" si="23"/>
        <v>8175</v>
      </c>
      <c r="O65" s="39">
        <f t="shared" si="23"/>
        <v>44296.671875000007</v>
      </c>
      <c r="P65" s="39">
        <f t="shared" si="23"/>
        <v>239703.32812499997</v>
      </c>
      <c r="Q65" s="92"/>
      <c r="R65" s="92"/>
    </row>
    <row r="66" spans="1:18" s="41" customFormat="1" ht="30" customHeight="1" thickBot="1" x14ac:dyDescent="0.3">
      <c r="A66" s="46"/>
      <c r="B66" s="44"/>
      <c r="C66" s="46"/>
      <c r="D66" s="45"/>
      <c r="E66" s="44"/>
      <c r="Q66" s="55"/>
      <c r="R66" s="55"/>
    </row>
    <row r="67" spans="1:18" s="93" customFormat="1" ht="37.15" customHeight="1" thickBot="1" x14ac:dyDescent="0.3">
      <c r="A67" s="264" t="s">
        <v>186</v>
      </c>
      <c r="B67" s="265"/>
      <c r="C67" s="235"/>
      <c r="D67" s="235"/>
      <c r="E67" s="23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6"/>
    </row>
    <row r="68" spans="1:18" s="55" customFormat="1" ht="30" customHeight="1" x14ac:dyDescent="0.25">
      <c r="A68" s="81">
        <f>+A64+1</f>
        <v>35</v>
      </c>
      <c r="B68" s="122" t="s">
        <v>252</v>
      </c>
      <c r="C68" s="132" t="s">
        <v>430</v>
      </c>
      <c r="D68" s="118" t="s">
        <v>253</v>
      </c>
      <c r="E68" s="117" t="s">
        <v>123</v>
      </c>
      <c r="F68" s="116">
        <v>126500</v>
      </c>
      <c r="G68" s="88">
        <f t="shared" ref="G68:G73" si="24">F68*2.87%</f>
        <v>3630.55</v>
      </c>
      <c r="H68" s="88">
        <f t="shared" ref="H68:H73" si="25">+F68*3.04%</f>
        <v>3845.6</v>
      </c>
      <c r="I68" s="88"/>
      <c r="J68" s="83">
        <f t="shared" si="1"/>
        <v>7476.15</v>
      </c>
      <c r="K68" s="83">
        <f t="shared" si="7"/>
        <v>119023.85</v>
      </c>
      <c r="L68" s="83">
        <f>+IF(K68*12&lt;=416220.01,0,IF(K68*12&lt;=624329.01,(((K68*12-416220.01)*0.15)/12),IF((K68*12&lt;=867123.01),(31216+0.2*(K68*12-624329.01))/12,((79776+0.25*(K68*12-867123.01))/12))))-M68</f>
        <v>-2.0833333110203966E-4</v>
      </c>
      <c r="M68" s="83">
        <v>18338.900000000001</v>
      </c>
      <c r="N68" s="90">
        <v>25</v>
      </c>
      <c r="O68" s="116">
        <f t="shared" si="6"/>
        <v>7501.1497916666685</v>
      </c>
      <c r="P68" s="84">
        <f t="shared" ref="P68:P73" si="26">+F68-O68</f>
        <v>118998.85020833333</v>
      </c>
    </row>
    <row r="69" spans="1:18" s="92" customFormat="1" ht="30" customHeight="1" x14ac:dyDescent="0.25">
      <c r="A69" s="132">
        <f>+A68+1</f>
        <v>36</v>
      </c>
      <c r="B69" s="117" t="s">
        <v>60</v>
      </c>
      <c r="C69" s="38" t="s">
        <v>429</v>
      </c>
      <c r="D69" s="118" t="s">
        <v>51</v>
      </c>
      <c r="E69" s="117" t="s">
        <v>123</v>
      </c>
      <c r="F69" s="119">
        <v>102000</v>
      </c>
      <c r="G69" s="119">
        <f t="shared" si="24"/>
        <v>2927.4</v>
      </c>
      <c r="H69" s="119">
        <f t="shared" si="25"/>
        <v>3100.8</v>
      </c>
      <c r="I69" s="119"/>
      <c r="J69" s="83">
        <f t="shared" si="1"/>
        <v>6028.2000000000007</v>
      </c>
      <c r="K69" s="83">
        <f t="shared" si="7"/>
        <v>95971.8</v>
      </c>
      <c r="L69" s="83">
        <f t="shared" ref="L69:L73" si="27">+IF(K69*12&lt;=416220.01,0,IF(K69*12&lt;=624329.01,(((K69*12-416220.01)*0.15)/12),IF((K69*12&lt;=867123.01),(31216+0.2*(K69*12-624329.01))/12,((79776+0.25*(K69*12-867123.01))/12))))-M69</f>
        <v>12575.887291666668</v>
      </c>
      <c r="M69" s="83"/>
      <c r="N69" s="90">
        <v>10025</v>
      </c>
      <c r="O69" s="116">
        <f t="shared" si="6"/>
        <v>28629.087291666667</v>
      </c>
      <c r="P69" s="84">
        <f t="shared" si="26"/>
        <v>73370.91270833333</v>
      </c>
    </row>
    <row r="70" spans="1:18" s="85" customFormat="1" ht="30" customHeight="1" x14ac:dyDescent="0.25">
      <c r="A70" s="132">
        <f>+A69+1</f>
        <v>37</v>
      </c>
      <c r="B70" s="117" t="s">
        <v>54</v>
      </c>
      <c r="C70" s="38" t="s">
        <v>430</v>
      </c>
      <c r="D70" s="117" t="s">
        <v>51</v>
      </c>
      <c r="E70" s="117" t="s">
        <v>123</v>
      </c>
      <c r="F70" s="119">
        <v>90000</v>
      </c>
      <c r="G70" s="119">
        <f t="shared" si="24"/>
        <v>2583</v>
      </c>
      <c r="H70" s="119">
        <f t="shared" si="25"/>
        <v>2736</v>
      </c>
      <c r="I70" s="119">
        <v>1577.45</v>
      </c>
      <c r="J70" s="83">
        <f t="shared" si="1"/>
        <v>6896.45</v>
      </c>
      <c r="K70" s="83">
        <f t="shared" si="7"/>
        <v>83103.55</v>
      </c>
      <c r="L70" s="83">
        <f t="shared" si="27"/>
        <v>4.791666668097605E-3</v>
      </c>
      <c r="M70" s="83">
        <v>9358.82</v>
      </c>
      <c r="N70" s="90">
        <v>725</v>
      </c>
      <c r="O70" s="116">
        <f t="shared" si="6"/>
        <v>7621.4547916666679</v>
      </c>
      <c r="P70" s="84">
        <f t="shared" si="26"/>
        <v>82378.545208333337</v>
      </c>
    </row>
    <row r="71" spans="1:18" s="92" customFormat="1" ht="30" customHeight="1" x14ac:dyDescent="0.25">
      <c r="A71" s="132">
        <f>+A70+1</f>
        <v>38</v>
      </c>
      <c r="B71" s="117" t="s">
        <v>55</v>
      </c>
      <c r="C71" s="38" t="s">
        <v>429</v>
      </c>
      <c r="D71" s="136" t="s">
        <v>51</v>
      </c>
      <c r="E71" s="117" t="s">
        <v>122</v>
      </c>
      <c r="F71" s="119">
        <v>90000</v>
      </c>
      <c r="G71" s="119">
        <f t="shared" si="24"/>
        <v>2583</v>
      </c>
      <c r="H71" s="119">
        <f t="shared" si="25"/>
        <v>2736</v>
      </c>
      <c r="I71" s="119">
        <v>1577.45</v>
      </c>
      <c r="J71" s="83">
        <f t="shared" si="1"/>
        <v>6896.45</v>
      </c>
      <c r="K71" s="83">
        <f t="shared" si="7"/>
        <v>83103.55</v>
      </c>
      <c r="L71" s="83">
        <f t="shared" si="27"/>
        <v>4.791666668097605E-3</v>
      </c>
      <c r="M71" s="83">
        <v>9358.82</v>
      </c>
      <c r="N71" s="90">
        <v>2025</v>
      </c>
      <c r="O71" s="116">
        <f t="shared" si="6"/>
        <v>8921.4547916666688</v>
      </c>
      <c r="P71" s="84">
        <f t="shared" si="26"/>
        <v>81078.545208333337</v>
      </c>
    </row>
    <row r="72" spans="1:18" s="55" customFormat="1" ht="30" customHeight="1" x14ac:dyDescent="0.25">
      <c r="A72" s="132">
        <f>+A71+1</f>
        <v>39</v>
      </c>
      <c r="B72" s="117" t="s">
        <v>68</v>
      </c>
      <c r="C72" s="38" t="s">
        <v>430</v>
      </c>
      <c r="D72" s="118" t="s">
        <v>51</v>
      </c>
      <c r="E72" s="117" t="s">
        <v>123</v>
      </c>
      <c r="F72" s="119">
        <v>90000</v>
      </c>
      <c r="G72" s="119">
        <f t="shared" si="24"/>
        <v>2583</v>
      </c>
      <c r="H72" s="119">
        <f t="shared" si="25"/>
        <v>2736</v>
      </c>
      <c r="I72" s="119"/>
      <c r="J72" s="83">
        <f t="shared" si="1"/>
        <v>5319</v>
      </c>
      <c r="K72" s="83">
        <f t="shared" si="7"/>
        <v>84681</v>
      </c>
      <c r="L72" s="83">
        <f t="shared" si="27"/>
        <v>9753.1872916666671</v>
      </c>
      <c r="M72" s="83"/>
      <c r="N72" s="90">
        <v>1125</v>
      </c>
      <c r="O72" s="116">
        <f t="shared" si="6"/>
        <v>16197.187291666667</v>
      </c>
      <c r="P72" s="84">
        <f t="shared" si="26"/>
        <v>73802.812708333338</v>
      </c>
    </row>
    <row r="73" spans="1:18" s="41" customFormat="1" ht="25.5" customHeight="1" x14ac:dyDescent="0.25">
      <c r="A73" s="132">
        <f>+A72+1</f>
        <v>40</v>
      </c>
      <c r="B73" s="117" t="s">
        <v>254</v>
      </c>
      <c r="C73" s="38" t="s">
        <v>429</v>
      </c>
      <c r="D73" s="118" t="s">
        <v>51</v>
      </c>
      <c r="E73" s="117" t="s">
        <v>122</v>
      </c>
      <c r="F73" s="119">
        <v>80000</v>
      </c>
      <c r="G73" s="119">
        <f t="shared" si="24"/>
        <v>2296</v>
      </c>
      <c r="H73" s="119">
        <f t="shared" si="25"/>
        <v>2432</v>
      </c>
      <c r="I73" s="41">
        <v>3154.9</v>
      </c>
      <c r="J73" s="83">
        <f t="shared" si="1"/>
        <v>7882.9</v>
      </c>
      <c r="K73" s="83">
        <f t="shared" si="7"/>
        <v>72117.100000000006</v>
      </c>
      <c r="L73" s="83">
        <f t="shared" si="27"/>
        <v>-1.6666666579112643E-4</v>
      </c>
      <c r="M73" s="83">
        <v>6619.27</v>
      </c>
      <c r="N73" s="90">
        <v>2025</v>
      </c>
      <c r="O73" s="116">
        <f t="shared" si="6"/>
        <v>9907.8998333333329</v>
      </c>
      <c r="P73" s="84">
        <f t="shared" si="26"/>
        <v>70092.100166666671</v>
      </c>
      <c r="Q73" s="55"/>
      <c r="R73" s="55"/>
    </row>
    <row r="74" spans="1:18" s="41" customFormat="1" ht="30" customHeight="1" thickBot="1" x14ac:dyDescent="0.3">
      <c r="A74" s="229" t="s">
        <v>126</v>
      </c>
      <c r="B74" s="230"/>
      <c r="C74" s="230"/>
      <c r="D74" s="230"/>
      <c r="E74" s="231"/>
      <c r="F74" s="39">
        <f t="shared" ref="F74:P74" si="28">SUM(F68:F73)</f>
        <v>578500</v>
      </c>
      <c r="G74" s="39">
        <f t="shared" si="28"/>
        <v>16602.95</v>
      </c>
      <c r="H74" s="39">
        <f t="shared" si="28"/>
        <v>17586.400000000001</v>
      </c>
      <c r="I74" s="39">
        <f t="shared" si="28"/>
        <v>6309.8</v>
      </c>
      <c r="J74" s="39">
        <f t="shared" si="28"/>
        <v>40499.15</v>
      </c>
      <c r="K74" s="39">
        <f t="shared" si="28"/>
        <v>538000.85</v>
      </c>
      <c r="L74" s="39">
        <f t="shared" si="28"/>
        <v>22329.083791666675</v>
      </c>
      <c r="M74" s="39">
        <f t="shared" si="28"/>
        <v>43675.81</v>
      </c>
      <c r="N74" s="39">
        <f t="shared" si="28"/>
        <v>15950</v>
      </c>
      <c r="O74" s="39">
        <f t="shared" si="28"/>
        <v>78778.233791666673</v>
      </c>
      <c r="P74" s="39">
        <f t="shared" si="28"/>
        <v>499721.76620833331</v>
      </c>
      <c r="Q74" s="55"/>
      <c r="R74" s="55"/>
    </row>
    <row r="75" spans="1:18" s="55" customFormat="1" ht="30" customHeight="1" thickBot="1" x14ac:dyDescent="0.3">
      <c r="A75" s="264" t="s">
        <v>160</v>
      </c>
      <c r="B75" s="265"/>
      <c r="C75" s="26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</row>
    <row r="76" spans="1:18" s="55" customFormat="1" ht="30" customHeight="1" x14ac:dyDescent="0.25">
      <c r="A76" s="81">
        <f>+A73+1</f>
        <v>41</v>
      </c>
      <c r="B76" s="82" t="s">
        <v>62</v>
      </c>
      <c r="C76" s="81" t="s">
        <v>430</v>
      </c>
      <c r="D76" s="91" t="s">
        <v>187</v>
      </c>
      <c r="E76" s="87" t="s">
        <v>123</v>
      </c>
      <c r="F76" s="83">
        <v>138000</v>
      </c>
      <c r="G76" s="88">
        <f>F76*2.87%</f>
        <v>3960.6</v>
      </c>
      <c r="H76" s="88">
        <f>+F76*3.04%</f>
        <v>4195.2</v>
      </c>
      <c r="I76" s="83"/>
      <c r="J76" s="83">
        <f t="shared" ref="J76:J130" si="29">+G76+H76+I76</f>
        <v>8155.7999999999993</v>
      </c>
      <c r="K76" s="83">
        <f t="shared" si="7"/>
        <v>129844.2</v>
      </c>
      <c r="L76" s="83">
        <f t="shared" si="9"/>
        <v>21043.987291666665</v>
      </c>
      <c r="M76" s="83"/>
      <c r="N76" s="90">
        <v>14444.03</v>
      </c>
      <c r="O76" s="116">
        <f t="shared" ref="O76:O134" si="30">+N76+I76+H76+G76+L76</f>
        <v>43643.817291666666</v>
      </c>
      <c r="P76" s="120">
        <f>+F76-O76</f>
        <v>94356.182708333334</v>
      </c>
    </row>
    <row r="77" spans="1:18" s="41" customFormat="1" ht="30" customHeight="1" x14ac:dyDescent="0.25">
      <c r="A77" s="86">
        <f>+A76+1</f>
        <v>42</v>
      </c>
      <c r="B77" s="117" t="s">
        <v>61</v>
      </c>
      <c r="C77" s="38" t="s">
        <v>430</v>
      </c>
      <c r="D77" s="118" t="s">
        <v>95</v>
      </c>
      <c r="E77" s="117" t="s">
        <v>122</v>
      </c>
      <c r="F77" s="119">
        <v>60000</v>
      </c>
      <c r="G77" s="119">
        <f>F77*2.87%</f>
        <v>1722</v>
      </c>
      <c r="H77" s="88">
        <f>+F77*3.04%</f>
        <v>1824</v>
      </c>
      <c r="I77" s="88"/>
      <c r="J77" s="83">
        <f t="shared" si="29"/>
        <v>3546</v>
      </c>
      <c r="K77" s="83">
        <f t="shared" si="7"/>
        <v>56454</v>
      </c>
      <c r="L77" s="83">
        <f>+IF(K77*12&lt;=416220.01,0,IF(K77*12&lt;=624329.01,(((K77*12-416220.01)*0.15)/12),IF((K77*12&lt;=867123.01),(31216+0.2*(K77*12-624329.01))/12,((79776+0.25*(K77*12-867123.01))/12))))-M77</f>
        <v>-1.6666666715536849E-4</v>
      </c>
      <c r="M77" s="83">
        <v>3486.65</v>
      </c>
      <c r="N77" s="84">
        <v>125</v>
      </c>
      <c r="O77" s="116">
        <f t="shared" si="30"/>
        <v>3670.9998333333328</v>
      </c>
      <c r="P77" s="84">
        <f>+F77-O77</f>
        <v>56329.000166666665</v>
      </c>
      <c r="Q77" s="55"/>
      <c r="R77" s="55"/>
    </row>
    <row r="78" spans="1:18" s="42" customFormat="1" ht="30" customHeight="1" x14ac:dyDescent="0.25">
      <c r="A78" s="229" t="s">
        <v>126</v>
      </c>
      <c r="B78" s="230"/>
      <c r="C78" s="230"/>
      <c r="D78" s="230"/>
      <c r="E78" s="231"/>
      <c r="F78" s="39">
        <f t="shared" ref="F78:P78" si="31">SUM(F76:F77)</f>
        <v>198000</v>
      </c>
      <c r="G78" s="39">
        <f t="shared" si="31"/>
        <v>5682.6</v>
      </c>
      <c r="H78" s="39">
        <f t="shared" si="31"/>
        <v>6019.2</v>
      </c>
      <c r="I78" s="39">
        <f t="shared" si="31"/>
        <v>0</v>
      </c>
      <c r="J78" s="39">
        <f t="shared" si="31"/>
        <v>11701.8</v>
      </c>
      <c r="K78" s="39">
        <f t="shared" si="31"/>
        <v>186298.2</v>
      </c>
      <c r="L78" s="39">
        <f t="shared" si="31"/>
        <v>21043.987124999996</v>
      </c>
      <c r="M78" s="39">
        <f t="shared" si="31"/>
        <v>3486.65</v>
      </c>
      <c r="N78" s="39">
        <f t="shared" si="31"/>
        <v>14569.03</v>
      </c>
      <c r="O78" s="39">
        <f t="shared" si="31"/>
        <v>47314.817125000001</v>
      </c>
      <c r="P78" s="39">
        <f t="shared" si="31"/>
        <v>150685.182875</v>
      </c>
      <c r="Q78" s="92"/>
      <c r="R78" s="92"/>
    </row>
    <row r="79" spans="1:18" s="41" customFormat="1" ht="30" customHeight="1" thickBot="1" x14ac:dyDescent="0.3">
      <c r="A79" s="46"/>
      <c r="B79" s="44"/>
      <c r="C79" s="46"/>
      <c r="D79" s="44"/>
      <c r="E79" s="44"/>
      <c r="Q79" s="55"/>
      <c r="R79" s="55"/>
    </row>
    <row r="80" spans="1:18" s="41" customFormat="1" ht="30" customHeight="1" thickBot="1" x14ac:dyDescent="0.3">
      <c r="A80" s="264" t="s">
        <v>161</v>
      </c>
      <c r="B80" s="265"/>
      <c r="C80" s="265"/>
      <c r="D80" s="26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55"/>
      <c r="R80" s="55"/>
    </row>
    <row r="81" spans="1:18" s="41" customFormat="1" ht="30" customHeight="1" x14ac:dyDescent="0.25">
      <c r="A81" s="86">
        <f>+A77+1</f>
        <v>43</v>
      </c>
      <c r="B81" s="117" t="s">
        <v>280</v>
      </c>
      <c r="C81" s="38" t="s">
        <v>430</v>
      </c>
      <c r="D81" s="117" t="s">
        <v>51</v>
      </c>
      <c r="E81" s="117" t="s">
        <v>122</v>
      </c>
      <c r="F81" s="119">
        <v>90000</v>
      </c>
      <c r="G81" s="119">
        <f>F81*2.87%</f>
        <v>2583</v>
      </c>
      <c r="H81" s="119">
        <f>+F81*3.04%</f>
        <v>2736</v>
      </c>
      <c r="I81" s="119"/>
      <c r="J81" s="83">
        <f t="shared" si="29"/>
        <v>5319</v>
      </c>
      <c r="K81" s="83">
        <f t="shared" ref="K81:K137" si="32">+F81-J81</f>
        <v>84681</v>
      </c>
      <c r="L81" s="83">
        <f>+IF(K81*12&lt;=416220.01,0,IF(K81*12&lt;=624329.01,(((K81*12-416220.01)*0.15)/12),IF((K81*12&lt;=867123.01),(31216+0.2*(K81*12-624329.01))/12,((79776+0.25*(K81*12-867123.01))/12))))-M81</f>
        <v>9753.1872916666671</v>
      </c>
      <c r="M81" s="83"/>
      <c r="N81" s="90">
        <v>4528.34</v>
      </c>
      <c r="O81" s="116">
        <f t="shared" si="30"/>
        <v>19600.527291666665</v>
      </c>
      <c r="P81" s="84">
        <f>+F81-O81</f>
        <v>70399.472708333342</v>
      </c>
      <c r="Q81" s="55"/>
      <c r="R81" s="55"/>
    </row>
    <row r="82" spans="1:18" s="41" customFormat="1" ht="30" customHeight="1" x14ac:dyDescent="0.25">
      <c r="A82" s="86">
        <f>+A81+1</f>
        <v>44</v>
      </c>
      <c r="B82" s="117" t="s">
        <v>614</v>
      </c>
      <c r="C82" s="38" t="s">
        <v>430</v>
      </c>
      <c r="D82" s="117" t="s">
        <v>51</v>
      </c>
      <c r="E82" s="117" t="s">
        <v>122</v>
      </c>
      <c r="F82" s="119">
        <v>102000</v>
      </c>
      <c r="G82" s="83">
        <f>F82*2.87%</f>
        <v>2927.4</v>
      </c>
      <c r="H82" s="83">
        <f>+F82*3.04%</f>
        <v>3100.8</v>
      </c>
      <c r="I82" s="83">
        <v>1577.45</v>
      </c>
      <c r="J82" s="83">
        <f t="shared" si="29"/>
        <v>7605.6500000000005</v>
      </c>
      <c r="K82" s="83">
        <f t="shared" si="32"/>
        <v>94394.35</v>
      </c>
      <c r="L82" s="83">
        <f t="shared" ref="L82:L83" si="33">+IF(K82*12&lt;=416220.01,0,IF(K82*12&lt;=624329.01,(((K82*12-416220.01)*0.15)/12),IF((K82*12&lt;=867123.01),(31216+0.2*(K82*12-624329.01))/12,((79776+0.25*(K82*12-867123.01))/12))))-M82</f>
        <v>4.7916666699165944E-3</v>
      </c>
      <c r="M82" s="83">
        <v>12181.52</v>
      </c>
      <c r="N82" s="84">
        <v>25</v>
      </c>
      <c r="O82" s="116">
        <f t="shared" si="30"/>
        <v>7630.6547916666696</v>
      </c>
      <c r="P82" s="84">
        <f>+F82-O82</f>
        <v>94369.345208333325</v>
      </c>
      <c r="Q82" s="55"/>
      <c r="R82" s="55"/>
    </row>
    <row r="83" spans="1:18" s="41" customFormat="1" ht="30" customHeight="1" x14ac:dyDescent="0.25">
      <c r="A83" s="86">
        <f>+A82+1</f>
        <v>45</v>
      </c>
      <c r="B83" s="117" t="s">
        <v>484</v>
      </c>
      <c r="C83" s="38" t="s">
        <v>429</v>
      </c>
      <c r="D83" s="117" t="s">
        <v>51</v>
      </c>
      <c r="E83" s="117" t="s">
        <v>122</v>
      </c>
      <c r="F83" s="119">
        <v>70000</v>
      </c>
      <c r="G83" s="83">
        <f>F83*2.87%</f>
        <v>2009</v>
      </c>
      <c r="H83" s="83">
        <f>+F83*3.04%</f>
        <v>2128</v>
      </c>
      <c r="I83" s="83"/>
      <c r="J83" s="83">
        <f t="shared" si="29"/>
        <v>4137</v>
      </c>
      <c r="K83" s="83">
        <f t="shared" si="32"/>
        <v>65863</v>
      </c>
      <c r="L83" s="83">
        <f t="shared" si="33"/>
        <v>-1.6666666670062114E-4</v>
      </c>
      <c r="M83" s="83">
        <v>5368.45</v>
      </c>
      <c r="N83" s="84">
        <v>125</v>
      </c>
      <c r="O83" s="116">
        <f t="shared" si="30"/>
        <v>4261.9998333333333</v>
      </c>
      <c r="P83" s="84">
        <f>+F83-O83</f>
        <v>65738.000166666665</v>
      </c>
      <c r="Q83" s="55"/>
      <c r="R83" s="55"/>
    </row>
    <row r="84" spans="1:18" s="41" customFormat="1" ht="25.5" customHeight="1" x14ac:dyDescent="0.25">
      <c r="A84" s="229" t="s">
        <v>126</v>
      </c>
      <c r="B84" s="230"/>
      <c r="C84" s="230"/>
      <c r="D84" s="230"/>
      <c r="E84" s="231"/>
      <c r="F84" s="39">
        <f>SUM(F81:F83)</f>
        <v>262000</v>
      </c>
      <c r="G84" s="39">
        <f t="shared" ref="G84:P84" si="34">SUM(G81:G83)</f>
        <v>7519.4</v>
      </c>
      <c r="H84" s="39">
        <f t="shared" si="34"/>
        <v>7964.8</v>
      </c>
      <c r="I84" s="39">
        <f t="shared" si="34"/>
        <v>1577.45</v>
      </c>
      <c r="J84" s="39">
        <f t="shared" si="34"/>
        <v>17061.650000000001</v>
      </c>
      <c r="K84" s="39">
        <f t="shared" si="34"/>
        <v>244938.35</v>
      </c>
      <c r="L84" s="39">
        <f t="shared" si="34"/>
        <v>9753.1919166666703</v>
      </c>
      <c r="M84" s="39">
        <f t="shared" si="34"/>
        <v>17549.97</v>
      </c>
      <c r="N84" s="39">
        <f t="shared" si="34"/>
        <v>4678.34</v>
      </c>
      <c r="O84" s="39">
        <f t="shared" si="34"/>
        <v>31493.181916666668</v>
      </c>
      <c r="P84" s="39">
        <f t="shared" si="34"/>
        <v>230506.81808333335</v>
      </c>
      <c r="Q84" s="55"/>
      <c r="R84" s="55"/>
    </row>
    <row r="85" spans="1:18" s="41" customFormat="1" ht="30" customHeight="1" thickBot="1" x14ac:dyDescent="0.3">
      <c r="A85" s="46"/>
      <c r="B85" s="44"/>
      <c r="C85" s="46"/>
      <c r="D85" s="45"/>
      <c r="E85" s="44"/>
      <c r="Q85" s="55"/>
      <c r="R85" s="55"/>
    </row>
    <row r="86" spans="1:18" s="33" customFormat="1" ht="30" customHeight="1" thickBot="1" x14ac:dyDescent="0.3">
      <c r="A86" s="264" t="s">
        <v>162</v>
      </c>
      <c r="B86" s="265"/>
      <c r="C86" s="265"/>
      <c r="D86" s="26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</row>
    <row r="87" spans="1:18" s="55" customFormat="1" ht="30" customHeight="1" x14ac:dyDescent="0.25">
      <c r="A87" s="81">
        <f>A83+1</f>
        <v>46</v>
      </c>
      <c r="B87" s="179" t="s">
        <v>78</v>
      </c>
      <c r="C87" s="180" t="s">
        <v>430</v>
      </c>
      <c r="D87" s="117" t="s">
        <v>51</v>
      </c>
      <c r="E87" s="117" t="s">
        <v>122</v>
      </c>
      <c r="F87" s="181">
        <v>90000</v>
      </c>
      <c r="G87" s="119">
        <f>F87*2.87%</f>
        <v>2583</v>
      </c>
      <c r="H87" s="88">
        <f>+F87*3.04%</f>
        <v>2736</v>
      </c>
      <c r="I87" s="88">
        <v>1577.45</v>
      </c>
      <c r="J87" s="83">
        <f t="shared" si="29"/>
        <v>6896.45</v>
      </c>
      <c r="K87" s="83">
        <f t="shared" si="32"/>
        <v>83103.55</v>
      </c>
      <c r="L87" s="83">
        <f>+IF(K87*12&lt;=416220.01,0,IF(K87*12&lt;=624329.01,(((K87*12-416220.01)*0.15)/12),IF((K87*12&lt;=867123.01),(31216+0.2*(K87*12-624329.01))/12,((79776+0.25*(K87*12-867123.01))/12))))-M87</f>
        <v>9358.8247916666678</v>
      </c>
      <c r="M87" s="83"/>
      <c r="N87" s="90">
        <v>25</v>
      </c>
      <c r="O87" s="116">
        <f t="shared" si="30"/>
        <v>16280.274791666667</v>
      </c>
      <c r="P87" s="84">
        <f>+F87-O87</f>
        <v>73719.72520833333</v>
      </c>
    </row>
    <row r="88" spans="1:18" s="55" customFormat="1" ht="30" customHeight="1" x14ac:dyDescent="0.25">
      <c r="A88" s="86">
        <f>+A87+1</f>
        <v>47</v>
      </c>
      <c r="B88" s="117" t="s">
        <v>163</v>
      </c>
      <c r="C88" s="38" t="s">
        <v>430</v>
      </c>
      <c r="D88" s="118" t="s">
        <v>51</v>
      </c>
      <c r="E88" s="117" t="s">
        <v>123</v>
      </c>
      <c r="F88" s="119">
        <v>90000</v>
      </c>
      <c r="G88" s="119">
        <f>F88*2.87%</f>
        <v>2583</v>
      </c>
      <c r="H88" s="88">
        <f>+F88*3.04%</f>
        <v>2736</v>
      </c>
      <c r="I88" s="88">
        <v>4732.3500000000004</v>
      </c>
      <c r="J88" s="83">
        <f t="shared" si="29"/>
        <v>10051.35</v>
      </c>
      <c r="K88" s="83">
        <f t="shared" si="32"/>
        <v>79948.649999999994</v>
      </c>
      <c r="L88" s="83">
        <f t="shared" ref="L88:L89" si="35">+IF(K88*12&lt;=416220.01,0,IF(K88*12&lt;=624329.01,(((K88*12-416220.01)*0.15)/12),IF((K88*12&lt;=867123.01),(31216+0.2*(K88*12-624329.01))/12,((79776+0.25*(K88*12-867123.01))/12))))-M88</f>
        <v>8570.0997916666656</v>
      </c>
      <c r="M88" s="83"/>
      <c r="N88" s="90">
        <v>6281.41</v>
      </c>
      <c r="O88" s="116">
        <f t="shared" si="30"/>
        <v>24902.859791666666</v>
      </c>
      <c r="P88" s="84">
        <f>+F88-O88</f>
        <v>65097.140208333338</v>
      </c>
    </row>
    <row r="89" spans="1:18" s="41" customFormat="1" ht="30" customHeight="1" x14ac:dyDescent="0.25">
      <c r="A89" s="86">
        <f>A88+1</f>
        <v>48</v>
      </c>
      <c r="B89" s="87" t="s">
        <v>270</v>
      </c>
      <c r="C89" s="86" t="s">
        <v>430</v>
      </c>
      <c r="D89" s="91" t="s">
        <v>51</v>
      </c>
      <c r="E89" s="87" t="s">
        <v>122</v>
      </c>
      <c r="F89" s="88">
        <v>90000</v>
      </c>
      <c r="G89" s="88">
        <f>F89*2.87%</f>
        <v>2583</v>
      </c>
      <c r="H89" s="88">
        <f>+F89*3.04%</f>
        <v>2736</v>
      </c>
      <c r="I89" s="88">
        <v>1577.45</v>
      </c>
      <c r="J89" s="83">
        <f t="shared" si="29"/>
        <v>6896.45</v>
      </c>
      <c r="K89" s="83">
        <f t="shared" si="32"/>
        <v>83103.55</v>
      </c>
      <c r="L89" s="83">
        <f t="shared" si="35"/>
        <v>4.791666668097605E-3</v>
      </c>
      <c r="M89" s="83">
        <v>9358.82</v>
      </c>
      <c r="N89" s="90">
        <v>7264.44</v>
      </c>
      <c r="O89" s="116">
        <f t="shared" si="30"/>
        <v>14160.894791666668</v>
      </c>
      <c r="P89" s="84">
        <f>+F89-O89</f>
        <v>75839.105208333334</v>
      </c>
      <c r="Q89" s="55"/>
      <c r="R89" s="55"/>
    </row>
    <row r="90" spans="1:18" s="41" customFormat="1" ht="30" customHeight="1" x14ac:dyDescent="0.25">
      <c r="A90" s="229" t="s">
        <v>126</v>
      </c>
      <c r="B90" s="230"/>
      <c r="C90" s="230"/>
      <c r="D90" s="230"/>
      <c r="E90" s="231"/>
      <c r="F90" s="39">
        <f t="shared" ref="F90:P90" si="36">SUM(F87:F89)</f>
        <v>270000</v>
      </c>
      <c r="G90" s="39">
        <f t="shared" si="36"/>
        <v>7749</v>
      </c>
      <c r="H90" s="39">
        <f t="shared" si="36"/>
        <v>8208</v>
      </c>
      <c r="I90" s="39">
        <f t="shared" si="36"/>
        <v>7887.25</v>
      </c>
      <c r="J90" s="39">
        <f t="shared" si="36"/>
        <v>23844.25</v>
      </c>
      <c r="K90" s="39">
        <f t="shared" si="36"/>
        <v>246155.75</v>
      </c>
      <c r="L90" s="39">
        <f t="shared" si="36"/>
        <v>17928.929375</v>
      </c>
      <c r="M90" s="39">
        <f t="shared" si="36"/>
        <v>9358.82</v>
      </c>
      <c r="N90" s="39">
        <f t="shared" si="36"/>
        <v>13570.849999999999</v>
      </c>
      <c r="O90" s="39">
        <f t="shared" si="36"/>
        <v>55344.029374999998</v>
      </c>
      <c r="P90" s="39">
        <f t="shared" si="36"/>
        <v>214655.97062500002</v>
      </c>
      <c r="Q90" s="55"/>
      <c r="R90" s="55"/>
    </row>
    <row r="91" spans="1:18" s="41" customFormat="1" ht="30" customHeight="1" thickBot="1" x14ac:dyDescent="0.3">
      <c r="A91" s="46"/>
      <c r="B91" s="44"/>
      <c r="C91" s="46"/>
      <c r="D91" s="45"/>
      <c r="E91" s="44"/>
      <c r="Q91" s="55"/>
      <c r="R91" s="55"/>
    </row>
    <row r="92" spans="1:18" s="93" customFormat="1" ht="30" customHeight="1" thickBot="1" x14ac:dyDescent="0.3">
      <c r="A92" s="264" t="s">
        <v>164</v>
      </c>
      <c r="B92" s="265"/>
      <c r="C92" s="265"/>
      <c r="D92" s="26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</row>
    <row r="93" spans="1:18" s="55" customFormat="1" ht="30" customHeight="1" x14ac:dyDescent="0.25">
      <c r="A93" s="81">
        <f>+A89+1</f>
        <v>49</v>
      </c>
      <c r="B93" s="117" t="s">
        <v>259</v>
      </c>
      <c r="C93" s="38" t="s">
        <v>430</v>
      </c>
      <c r="D93" s="118" t="s">
        <v>51</v>
      </c>
      <c r="E93" s="117" t="s">
        <v>122</v>
      </c>
      <c r="F93" s="119">
        <v>90000</v>
      </c>
      <c r="G93" s="119">
        <f>F93*2.87%</f>
        <v>2583</v>
      </c>
      <c r="H93" s="119">
        <f>+F93*3.04%</f>
        <v>2736</v>
      </c>
      <c r="I93" s="119"/>
      <c r="J93" s="83">
        <f t="shared" si="29"/>
        <v>5319</v>
      </c>
      <c r="K93" s="83">
        <f t="shared" si="32"/>
        <v>84681</v>
      </c>
      <c r="L93" s="83">
        <f>+IF(K93*12&lt;=416220.01,0,IF(K93*12&lt;=624329.01,(((K93*12-416220.01)*0.15)/12),IF((K93*12&lt;=867123.01),(31216+0.2*(K93*12-624329.01))/12,((79776+0.25*(K93*12-867123.01))/12))))-M93</f>
        <v>-2.7083333334303461E-3</v>
      </c>
      <c r="M93" s="83">
        <v>9753.19</v>
      </c>
      <c r="N93" s="90">
        <v>10771.75</v>
      </c>
      <c r="O93" s="116">
        <f t="shared" si="30"/>
        <v>16090.747291666667</v>
      </c>
      <c r="P93" s="84">
        <f>+F93-O93</f>
        <v>73909.252708333341</v>
      </c>
    </row>
    <row r="94" spans="1:18" s="92" customFormat="1" ht="30" customHeight="1" x14ac:dyDescent="0.25">
      <c r="A94" s="86">
        <f>+A93+1</f>
        <v>50</v>
      </c>
      <c r="B94" s="87" t="s">
        <v>257</v>
      </c>
      <c r="C94" s="86" t="s">
        <v>430</v>
      </c>
      <c r="D94" s="91" t="s">
        <v>51</v>
      </c>
      <c r="E94" s="87" t="s">
        <v>122</v>
      </c>
      <c r="F94" s="88">
        <v>85000</v>
      </c>
      <c r="G94" s="88">
        <v>2439.5</v>
      </c>
      <c r="H94" s="88">
        <v>2584</v>
      </c>
      <c r="I94" s="88"/>
      <c r="J94" s="83">
        <f t="shared" si="29"/>
        <v>5023.5</v>
      </c>
      <c r="K94" s="83">
        <f t="shared" si="32"/>
        <v>79976.5</v>
      </c>
      <c r="L94" s="83">
        <f t="shared" ref="L94:L96" si="37">+IF(K94*12&lt;=416220.01,0,IF(K94*12&lt;=624329.01,(((K94*12-416220.01)*0.15)/12),IF((K94*12&lt;=867123.01),(31216+0.2*(K94*12-624329.01))/12,((79776+0.25*(K94*12-867123.01))/12))))-M94</f>
        <v>8577.0622916666671</v>
      </c>
      <c r="M94" s="83"/>
      <c r="N94" s="90">
        <v>1911.92</v>
      </c>
      <c r="O94" s="116">
        <f t="shared" si="30"/>
        <v>15512.482291666667</v>
      </c>
      <c r="P94" s="84">
        <f>+F94-O94</f>
        <v>69487.517708333326</v>
      </c>
    </row>
    <row r="95" spans="1:18" s="41" customFormat="1" ht="30" customHeight="1" x14ac:dyDescent="0.25">
      <c r="A95" s="81">
        <f>+A94+1</f>
        <v>51</v>
      </c>
      <c r="B95" s="117" t="s">
        <v>80</v>
      </c>
      <c r="C95" s="38" t="s">
        <v>429</v>
      </c>
      <c r="D95" s="118" t="s">
        <v>51</v>
      </c>
      <c r="E95" s="117" t="s">
        <v>122</v>
      </c>
      <c r="F95" s="119">
        <v>80000</v>
      </c>
      <c r="G95" s="119">
        <f>F95*2.87%</f>
        <v>2296</v>
      </c>
      <c r="H95" s="119">
        <f>+F95*3.04%</f>
        <v>2432</v>
      </c>
      <c r="I95" s="119"/>
      <c r="J95" s="83">
        <f t="shared" si="29"/>
        <v>4728</v>
      </c>
      <c r="K95" s="83">
        <f t="shared" si="32"/>
        <v>75272</v>
      </c>
      <c r="L95" s="83">
        <f t="shared" si="37"/>
        <v>6761.387291666666</v>
      </c>
      <c r="M95" s="83">
        <v>639.54999999999995</v>
      </c>
      <c r="N95" s="90">
        <f>1922.84+25</f>
        <v>1947.84</v>
      </c>
      <c r="O95" s="116">
        <f t="shared" si="30"/>
        <v>13437.227291666666</v>
      </c>
      <c r="P95" s="84">
        <f>+F95-O95</f>
        <v>66562.77270833333</v>
      </c>
      <c r="Q95" s="55"/>
      <c r="R95" s="55"/>
    </row>
    <row r="96" spans="1:18" ht="30" customHeight="1" x14ac:dyDescent="0.25">
      <c r="A96" s="81">
        <f>+A95+1</f>
        <v>52</v>
      </c>
      <c r="B96" s="117" t="s">
        <v>90</v>
      </c>
      <c r="C96" s="38" t="s">
        <v>430</v>
      </c>
      <c r="D96" s="118" t="s">
        <v>51</v>
      </c>
      <c r="E96" s="117" t="s">
        <v>123</v>
      </c>
      <c r="F96" s="181">
        <v>80000</v>
      </c>
      <c r="G96" s="119">
        <f>F96*2.87%</f>
        <v>2296</v>
      </c>
      <c r="H96" s="119">
        <f>+F96*3.04%</f>
        <v>2432</v>
      </c>
      <c r="I96" s="119">
        <v>1577.45</v>
      </c>
      <c r="J96" s="83">
        <f t="shared" si="29"/>
        <v>6305.45</v>
      </c>
      <c r="K96" s="83">
        <f t="shared" si="32"/>
        <v>73694.55</v>
      </c>
      <c r="L96" s="83">
        <f t="shared" si="37"/>
        <v>7006.5747916666687</v>
      </c>
      <c r="M96" s="83"/>
      <c r="N96" s="90">
        <v>13010.98</v>
      </c>
      <c r="O96" s="116">
        <f t="shared" si="30"/>
        <v>26323.00479166667</v>
      </c>
      <c r="P96" s="84">
        <f>+F96-O96</f>
        <v>53676.995208333334</v>
      </c>
    </row>
    <row r="97" spans="1:18" s="41" customFormat="1" ht="30" customHeight="1" x14ac:dyDescent="0.25">
      <c r="A97" s="229" t="s">
        <v>126</v>
      </c>
      <c r="B97" s="230"/>
      <c r="C97" s="230"/>
      <c r="D97" s="230"/>
      <c r="E97" s="231"/>
      <c r="F97" s="39">
        <f>SUM(F93:F96)</f>
        <v>335000</v>
      </c>
      <c r="G97" s="39">
        <f t="shared" ref="G97:P97" si="38">SUM(G93:G96)</f>
        <v>9614.5</v>
      </c>
      <c r="H97" s="39">
        <f t="shared" si="38"/>
        <v>10184</v>
      </c>
      <c r="I97" s="39">
        <f t="shared" si="38"/>
        <v>1577.45</v>
      </c>
      <c r="J97" s="39">
        <f t="shared" si="38"/>
        <v>21375.95</v>
      </c>
      <c r="K97" s="39">
        <f t="shared" si="38"/>
        <v>313624.05</v>
      </c>
      <c r="L97" s="39">
        <f t="shared" si="38"/>
        <v>22345.021666666667</v>
      </c>
      <c r="M97" s="39">
        <f t="shared" si="38"/>
        <v>10392.74</v>
      </c>
      <c r="N97" s="39">
        <f t="shared" si="38"/>
        <v>27642.489999999998</v>
      </c>
      <c r="O97" s="39">
        <f t="shared" si="38"/>
        <v>71363.46166666667</v>
      </c>
      <c r="P97" s="39">
        <f t="shared" si="38"/>
        <v>263636.53833333333</v>
      </c>
      <c r="Q97" s="55"/>
      <c r="R97" s="55"/>
    </row>
    <row r="98" spans="1:18" s="55" customFormat="1" ht="30" customHeight="1" thickBot="1" x14ac:dyDescent="0.3">
      <c r="A98" s="4"/>
      <c r="B98" s="25"/>
      <c r="C98" s="4"/>
      <c r="D98" s="25"/>
      <c r="E98" s="25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8" s="55" customFormat="1" ht="30" customHeight="1" thickBot="1" x14ac:dyDescent="0.3">
      <c r="A99" s="264" t="s">
        <v>165</v>
      </c>
      <c r="B99" s="265"/>
      <c r="C99" s="265"/>
      <c r="D99" s="265"/>
      <c r="E99" s="26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</row>
    <row r="100" spans="1:18" s="41" customFormat="1" ht="30" customHeight="1" x14ac:dyDescent="0.25">
      <c r="A100" s="86">
        <f>+A96+1</f>
        <v>53</v>
      </c>
      <c r="B100" s="87" t="s">
        <v>52</v>
      </c>
      <c r="C100" s="86" t="s">
        <v>430</v>
      </c>
      <c r="D100" s="91" t="s">
        <v>51</v>
      </c>
      <c r="E100" s="87" t="s">
        <v>122</v>
      </c>
      <c r="F100" s="88">
        <v>102000</v>
      </c>
      <c r="G100" s="88">
        <f>F100*2.87%</f>
        <v>2927.4</v>
      </c>
      <c r="H100" s="88">
        <f>+F100*3.04%</f>
        <v>3100.8</v>
      </c>
      <c r="I100" s="88"/>
      <c r="J100" s="83">
        <f t="shared" si="29"/>
        <v>6028.2000000000007</v>
      </c>
      <c r="K100" s="83">
        <f t="shared" si="32"/>
        <v>95971.8</v>
      </c>
      <c r="L100" s="83">
        <f>+IF(K100*12&lt;=416220.01,0,IF(K100*12&lt;=624329.01,(((K100*12-416220.01)*0.15)/12),IF((K100*12&lt;=867123.01),(31216+0.2*(K100*12-624329.01))/12,((79776+0.25*(K100*12-867123.01))/12))))-M100</f>
        <v>-2.7083333316113567E-3</v>
      </c>
      <c r="M100" s="83">
        <v>12575.89</v>
      </c>
      <c r="N100" s="90">
        <v>25</v>
      </c>
      <c r="O100" s="116">
        <f t="shared" si="30"/>
        <v>6053.1972916666691</v>
      </c>
      <c r="P100" s="84">
        <f>+F100-O100</f>
        <v>95946.802708333329</v>
      </c>
      <c r="Q100" s="55"/>
      <c r="R100" s="55"/>
    </row>
    <row r="101" spans="1:18" s="55" customFormat="1" ht="30" customHeight="1" thickBot="1" x14ac:dyDescent="0.3">
      <c r="A101" s="229" t="s">
        <v>126</v>
      </c>
      <c r="B101" s="230"/>
      <c r="C101" s="230"/>
      <c r="D101" s="230"/>
      <c r="E101" s="231"/>
      <c r="F101" s="39">
        <f t="shared" ref="F101:P101" si="39">SUM(F100:F100)</f>
        <v>102000</v>
      </c>
      <c r="G101" s="39">
        <f t="shared" si="39"/>
        <v>2927.4</v>
      </c>
      <c r="H101" s="39">
        <f t="shared" si="39"/>
        <v>3100.8</v>
      </c>
      <c r="I101" s="39">
        <f t="shared" si="39"/>
        <v>0</v>
      </c>
      <c r="J101" s="39">
        <f t="shared" si="39"/>
        <v>6028.2000000000007</v>
      </c>
      <c r="K101" s="39">
        <f t="shared" si="39"/>
        <v>95971.8</v>
      </c>
      <c r="L101" s="39">
        <f t="shared" si="39"/>
        <v>-2.7083333316113567E-3</v>
      </c>
      <c r="M101" s="39"/>
      <c r="N101" s="39">
        <f t="shared" si="39"/>
        <v>25</v>
      </c>
      <c r="O101" s="39">
        <f t="shared" si="39"/>
        <v>6053.1972916666691</v>
      </c>
      <c r="P101" s="39">
        <f t="shared" si="39"/>
        <v>95946.802708333329</v>
      </c>
    </row>
    <row r="102" spans="1:18" s="55" customFormat="1" ht="30" customHeight="1" thickBot="1" x14ac:dyDescent="0.3">
      <c r="A102" s="264" t="s">
        <v>166</v>
      </c>
      <c r="B102" s="265"/>
      <c r="C102" s="265"/>
      <c r="D102" s="265"/>
      <c r="E102" s="26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</row>
    <row r="103" spans="1:18" s="41" customFormat="1" ht="30" customHeight="1" x14ac:dyDescent="0.25">
      <c r="A103" s="81">
        <f>A100+1</f>
        <v>54</v>
      </c>
      <c r="B103" s="82" t="s">
        <v>65</v>
      </c>
      <c r="C103" s="81" t="s">
        <v>430</v>
      </c>
      <c r="D103" s="94" t="s">
        <v>189</v>
      </c>
      <c r="E103" s="87" t="s">
        <v>123</v>
      </c>
      <c r="F103" s="83">
        <v>155250</v>
      </c>
      <c r="G103" s="83">
        <v>4455.6750000000002</v>
      </c>
      <c r="H103" s="88">
        <f>+F103*3.04%</f>
        <v>4719.6000000000004</v>
      </c>
      <c r="I103" s="83">
        <v>1577.45</v>
      </c>
      <c r="J103" s="83">
        <f t="shared" si="29"/>
        <v>10752.725000000002</v>
      </c>
      <c r="K103" s="83">
        <f t="shared" si="32"/>
        <v>144497.27499999999</v>
      </c>
      <c r="L103" s="83">
        <f>+IF(K103*12&lt;=416220.01,0,IF(K103*12&lt;=624329.01,(((K103*12-416220.01)*0.15)/12),IF((K103*12&lt;=867123.01),(31216+0.2*(K103*12-624329.01))/12,((79776+0.25*(K103*12-867123.01))/12))))-M103</f>
        <v>6211.5760416666635</v>
      </c>
      <c r="M103" s="83">
        <v>18495.68</v>
      </c>
      <c r="N103" s="90">
        <v>10125</v>
      </c>
      <c r="O103" s="116">
        <f t="shared" si="30"/>
        <v>27089.301041666666</v>
      </c>
      <c r="P103" s="84">
        <f>+F103-O103</f>
        <v>128160.69895833333</v>
      </c>
      <c r="Q103" s="55"/>
      <c r="R103" s="55"/>
    </row>
    <row r="104" spans="1:18" customFormat="1" ht="30" customHeight="1" x14ac:dyDescent="0.25">
      <c r="A104" s="86">
        <f>A103+1</f>
        <v>55</v>
      </c>
      <c r="B104" s="117" t="s">
        <v>261</v>
      </c>
      <c r="C104" s="38" t="s">
        <v>430</v>
      </c>
      <c r="D104" s="117" t="s">
        <v>66</v>
      </c>
      <c r="E104" s="117" t="s">
        <v>123</v>
      </c>
      <c r="F104" s="119">
        <v>60000</v>
      </c>
      <c r="G104" s="88">
        <f>F104*2.87%</f>
        <v>1722</v>
      </c>
      <c r="H104" s="88">
        <f>+F104*3.04%</f>
        <v>1824</v>
      </c>
      <c r="I104" s="88"/>
      <c r="J104" s="83">
        <f t="shared" si="29"/>
        <v>3546</v>
      </c>
      <c r="K104" s="83">
        <f t="shared" si="32"/>
        <v>56454</v>
      </c>
      <c r="L104" s="83">
        <f>+IF(K104*12&lt;=416220.01,0,IF(K104*12&lt;=624329.01,(((K104*12-416220.01)*0.15)/12),IF((K104*12&lt;=867123.01),(31216+0.2*(K104*12-624329.01))/12,((79776+0.25*(K104*12-867123.01))/12))))-M104</f>
        <v>-1.6666666715536849E-4</v>
      </c>
      <c r="M104" s="83">
        <v>3486.65</v>
      </c>
      <c r="N104" s="84">
        <v>125</v>
      </c>
      <c r="O104" s="116">
        <f t="shared" si="30"/>
        <v>3670.9998333333328</v>
      </c>
      <c r="P104" s="84">
        <f>+F104-O104</f>
        <v>56329.000166666665</v>
      </c>
    </row>
    <row r="105" spans="1:18" s="41" customFormat="1" ht="30" customHeight="1" x14ac:dyDescent="0.25">
      <c r="A105" s="229" t="s">
        <v>126</v>
      </c>
      <c r="B105" s="230"/>
      <c r="C105" s="230"/>
      <c r="D105" s="230"/>
      <c r="E105" s="231"/>
      <c r="F105" s="39">
        <f t="shared" ref="F105:P105" si="40">SUM(F103:F104)</f>
        <v>215250</v>
      </c>
      <c r="G105" s="39">
        <f t="shared" si="40"/>
        <v>6177.6750000000002</v>
      </c>
      <c r="H105" s="39">
        <f t="shared" si="40"/>
        <v>6543.6</v>
      </c>
      <c r="I105" s="39">
        <f t="shared" si="40"/>
        <v>1577.45</v>
      </c>
      <c r="J105" s="39">
        <f t="shared" si="40"/>
        <v>14298.725000000002</v>
      </c>
      <c r="K105" s="39">
        <f t="shared" si="40"/>
        <v>200951.27499999999</v>
      </c>
      <c r="L105" s="39">
        <f t="shared" si="40"/>
        <v>6211.5758749999968</v>
      </c>
      <c r="M105" s="39">
        <f t="shared" si="40"/>
        <v>21982.33</v>
      </c>
      <c r="N105" s="39">
        <f t="shared" si="40"/>
        <v>10250</v>
      </c>
      <c r="O105" s="39">
        <f t="shared" si="40"/>
        <v>30760.300874999997</v>
      </c>
      <c r="P105" s="39">
        <f t="shared" si="40"/>
        <v>184489.69912499998</v>
      </c>
      <c r="Q105" s="55"/>
      <c r="R105" s="55"/>
    </row>
    <row r="106" spans="1:18" s="92" customFormat="1" ht="30" customHeight="1" thickBot="1" x14ac:dyDescent="0.3">
      <c r="A106"/>
      <c r="B106"/>
      <c r="C106" s="147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8" s="55" customFormat="1" ht="30" customHeight="1" thickBot="1" x14ac:dyDescent="0.3">
      <c r="A107" s="264" t="s">
        <v>168</v>
      </c>
      <c r="B107" s="265"/>
      <c r="C107" s="265"/>
      <c r="D107" s="265"/>
      <c r="E107" s="26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</row>
    <row r="108" spans="1:18" s="55" customFormat="1" ht="30" customHeight="1" x14ac:dyDescent="0.25">
      <c r="A108" s="81">
        <f>+A104+1</f>
        <v>56</v>
      </c>
      <c r="B108" s="122" t="s">
        <v>262</v>
      </c>
      <c r="C108" s="132" t="s">
        <v>430</v>
      </c>
      <c r="D108" s="133" t="s">
        <v>263</v>
      </c>
      <c r="E108" s="122" t="s">
        <v>122</v>
      </c>
      <c r="F108" s="116">
        <v>155000</v>
      </c>
      <c r="G108" s="119">
        <f t="shared" ref="G108:G112" si="41">F108*2.87%</f>
        <v>4448.5</v>
      </c>
      <c r="H108" s="119">
        <f t="shared" ref="H108:H112" si="42">+F108*3.04%</f>
        <v>4712</v>
      </c>
      <c r="I108" s="116"/>
      <c r="J108" s="83">
        <f t="shared" si="29"/>
        <v>9160.5</v>
      </c>
      <c r="K108" s="83">
        <f t="shared" si="32"/>
        <v>145839.5</v>
      </c>
      <c r="L108" s="83">
        <f>+IF(K108*12&lt;=416220.01,0,IF(K108*12&lt;=624329.01,(((K108*12-416220.01)*0.15)/12),IF((K108*12&lt;=867123.01),(31216+0.2*(K108*12-624329.01))/12,((79776+0.25*(K108*12-867123.01))/12))))-M108</f>
        <v>25042.812291666665</v>
      </c>
      <c r="M108" s="83"/>
      <c r="N108" s="90">
        <v>125</v>
      </c>
      <c r="O108" s="116">
        <f t="shared" si="30"/>
        <v>34328.312291666662</v>
      </c>
      <c r="P108" s="84">
        <f>+F108-O108</f>
        <v>120671.68770833334</v>
      </c>
    </row>
    <row r="109" spans="1:18" s="55" customFormat="1" ht="30" customHeight="1" x14ac:dyDescent="0.25">
      <c r="A109" s="81">
        <f>+A108+1</f>
        <v>57</v>
      </c>
      <c r="B109" s="117" t="s">
        <v>264</v>
      </c>
      <c r="C109" s="38" t="s">
        <v>430</v>
      </c>
      <c r="D109" s="118" t="s">
        <v>51</v>
      </c>
      <c r="E109" s="117" t="s">
        <v>122</v>
      </c>
      <c r="F109" s="119">
        <v>90000</v>
      </c>
      <c r="G109" s="119">
        <f t="shared" si="41"/>
        <v>2583</v>
      </c>
      <c r="H109" s="119">
        <f t="shared" si="42"/>
        <v>2736</v>
      </c>
      <c r="I109" s="119"/>
      <c r="J109" s="83">
        <f t="shared" si="29"/>
        <v>5319</v>
      </c>
      <c r="K109" s="83">
        <f t="shared" si="32"/>
        <v>84681</v>
      </c>
      <c r="L109" s="83">
        <f t="shared" ref="L109:L112" si="43">+IF(K109*12&lt;=416220.01,0,IF(K109*12&lt;=624329.01,(((K109*12-416220.01)*0.15)/12),IF((K109*12&lt;=867123.01),(31216+0.2*(K109*12-624329.01))/12,((79776+0.25*(K109*12-867123.01))/12))))-M109</f>
        <v>9753.1872916666671</v>
      </c>
      <c r="M109" s="83"/>
      <c r="N109" s="90">
        <v>125</v>
      </c>
      <c r="O109" s="116">
        <f t="shared" si="30"/>
        <v>15197.187291666667</v>
      </c>
      <c r="P109" s="84">
        <f>+F109-O109</f>
        <v>74802.812708333338</v>
      </c>
    </row>
    <row r="110" spans="1:18" s="55" customFormat="1" ht="30" customHeight="1" x14ac:dyDescent="0.25">
      <c r="A110" s="86">
        <f t="shared" ref="A110:A112" si="44">+A109+1</f>
        <v>58</v>
      </c>
      <c r="B110" s="87" t="s">
        <v>260</v>
      </c>
      <c r="C110" s="86" t="s">
        <v>429</v>
      </c>
      <c r="D110" s="91" t="s">
        <v>51</v>
      </c>
      <c r="E110" s="87" t="s">
        <v>122</v>
      </c>
      <c r="F110" s="88">
        <v>90000</v>
      </c>
      <c r="G110" s="88">
        <f t="shared" si="41"/>
        <v>2583</v>
      </c>
      <c r="H110" s="88">
        <f t="shared" si="42"/>
        <v>2736</v>
      </c>
      <c r="I110" s="88"/>
      <c r="J110" s="83">
        <f t="shared" si="29"/>
        <v>5319</v>
      </c>
      <c r="K110" s="83">
        <f t="shared" si="32"/>
        <v>84681</v>
      </c>
      <c r="L110" s="83">
        <f t="shared" si="43"/>
        <v>-2.7083333334303461E-3</v>
      </c>
      <c r="M110" s="83">
        <v>9753.19</v>
      </c>
      <c r="N110" s="90">
        <v>11082.03</v>
      </c>
      <c r="O110" s="116">
        <f t="shared" si="30"/>
        <v>16401.027291666665</v>
      </c>
      <c r="P110" s="84">
        <f>+F110-O110</f>
        <v>73598.972708333342</v>
      </c>
    </row>
    <row r="111" spans="1:18" s="49" customFormat="1" ht="30" customHeight="1" x14ac:dyDescent="0.25">
      <c r="A111" s="81">
        <f t="shared" si="44"/>
        <v>59</v>
      </c>
      <c r="B111" s="117" t="s">
        <v>69</v>
      </c>
      <c r="C111" s="38" t="s">
        <v>429</v>
      </c>
      <c r="D111" s="118" t="s">
        <v>51</v>
      </c>
      <c r="E111" s="117" t="s">
        <v>122</v>
      </c>
      <c r="F111" s="119">
        <v>80000</v>
      </c>
      <c r="G111" s="119">
        <f t="shared" si="41"/>
        <v>2296</v>
      </c>
      <c r="H111" s="119">
        <f t="shared" si="42"/>
        <v>2432</v>
      </c>
      <c r="I111" s="135">
        <v>1577.45</v>
      </c>
      <c r="J111" s="83">
        <f t="shared" si="29"/>
        <v>6305.45</v>
      </c>
      <c r="K111" s="83">
        <f t="shared" si="32"/>
        <v>73694.55</v>
      </c>
      <c r="L111" s="83">
        <f t="shared" si="43"/>
        <v>4.7916666690070997E-3</v>
      </c>
      <c r="M111" s="83">
        <v>7006.57</v>
      </c>
      <c r="N111" s="90">
        <v>15964.04</v>
      </c>
      <c r="O111" s="116">
        <f t="shared" si="30"/>
        <v>22269.494791666672</v>
      </c>
      <c r="P111" s="84">
        <f>+F111-O111</f>
        <v>57730.505208333328</v>
      </c>
      <c r="Q111" s="93"/>
      <c r="R111" s="93"/>
    </row>
    <row r="112" spans="1:18" s="41" customFormat="1" ht="30" customHeight="1" x14ac:dyDescent="0.25">
      <c r="A112" s="86">
        <f t="shared" si="44"/>
        <v>60</v>
      </c>
      <c r="B112" s="117" t="s">
        <v>141</v>
      </c>
      <c r="C112" s="38" t="s">
        <v>430</v>
      </c>
      <c r="D112" s="118" t="s">
        <v>51</v>
      </c>
      <c r="E112" s="117" t="s">
        <v>122</v>
      </c>
      <c r="F112" s="119">
        <v>80000</v>
      </c>
      <c r="G112" s="119">
        <f t="shared" si="41"/>
        <v>2296</v>
      </c>
      <c r="H112" s="119">
        <f t="shared" si="42"/>
        <v>2432</v>
      </c>
      <c r="I112" s="119"/>
      <c r="J112" s="83">
        <f t="shared" si="29"/>
        <v>4728</v>
      </c>
      <c r="K112" s="83">
        <f t="shared" si="32"/>
        <v>75272</v>
      </c>
      <c r="L112" s="83">
        <f t="shared" si="43"/>
        <v>6761.387291666666</v>
      </c>
      <c r="M112" s="83">
        <v>639.54999999999995</v>
      </c>
      <c r="N112" s="90">
        <v>25</v>
      </c>
      <c r="O112" s="116">
        <f t="shared" si="30"/>
        <v>11514.387291666666</v>
      </c>
      <c r="P112" s="84">
        <f>+F112-O112</f>
        <v>68485.612708333327</v>
      </c>
      <c r="Q112" s="55"/>
      <c r="R112" s="55"/>
    </row>
    <row r="113" spans="1:18" s="41" customFormat="1" ht="30" customHeight="1" x14ac:dyDescent="0.25">
      <c r="A113" s="38"/>
      <c r="B113" s="48"/>
      <c r="C113" s="149"/>
      <c r="D113" s="229" t="s">
        <v>126</v>
      </c>
      <c r="E113" s="231"/>
      <c r="F113" s="39">
        <f t="shared" ref="F113:P113" si="45">SUM(F108:F112)</f>
        <v>495000</v>
      </c>
      <c r="G113" s="39">
        <f t="shared" si="45"/>
        <v>14206.5</v>
      </c>
      <c r="H113" s="39">
        <f t="shared" si="45"/>
        <v>15048</v>
      </c>
      <c r="I113" s="39">
        <f t="shared" si="45"/>
        <v>1577.45</v>
      </c>
      <c r="J113" s="39">
        <f t="shared" si="45"/>
        <v>30831.95</v>
      </c>
      <c r="K113" s="39">
        <f t="shared" si="45"/>
        <v>464168.05</v>
      </c>
      <c r="L113" s="39">
        <f t="shared" si="45"/>
        <v>41557.388958333329</v>
      </c>
      <c r="M113" s="39">
        <f t="shared" si="45"/>
        <v>17399.310000000001</v>
      </c>
      <c r="N113" s="39">
        <f t="shared" si="45"/>
        <v>27321.07</v>
      </c>
      <c r="O113" s="39">
        <f t="shared" si="45"/>
        <v>99710.408958333341</v>
      </c>
      <c r="P113" s="39">
        <f t="shared" si="45"/>
        <v>395289.59104166669</v>
      </c>
      <c r="Q113" s="55"/>
      <c r="R113" s="55"/>
    </row>
    <row r="114" spans="1:18" s="55" customFormat="1" ht="30" customHeight="1" thickBot="1" x14ac:dyDescent="0.3">
      <c r="A114" s="46"/>
      <c r="B114" s="44"/>
      <c r="C114" s="46"/>
      <c r="D114" s="45"/>
      <c r="E114" s="44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</row>
    <row r="115" spans="1:18" s="49" customFormat="1" ht="30" customHeight="1" thickBot="1" x14ac:dyDescent="0.3">
      <c r="A115" s="264" t="s">
        <v>169</v>
      </c>
      <c r="B115" s="265"/>
      <c r="C115" s="265"/>
      <c r="D115" s="265"/>
      <c r="E115" s="265"/>
      <c r="F115" s="235"/>
      <c r="G115" s="235"/>
      <c r="H115" s="235"/>
      <c r="I115" s="235"/>
      <c r="J115" s="235"/>
      <c r="K115" s="235"/>
      <c r="L115" s="235"/>
      <c r="M115" s="235"/>
      <c r="N115" s="235"/>
      <c r="O115" s="235"/>
      <c r="P115" s="235"/>
      <c r="Q115" s="93"/>
      <c r="R115" s="93"/>
    </row>
    <row r="116" spans="1:18" s="41" customFormat="1" ht="30" customHeight="1" x14ac:dyDescent="0.25">
      <c r="A116" s="86">
        <f>+A112+1</f>
        <v>61</v>
      </c>
      <c r="B116" s="117" t="s">
        <v>70</v>
      </c>
      <c r="C116" s="38" t="s">
        <v>430</v>
      </c>
      <c r="D116" s="118" t="s">
        <v>95</v>
      </c>
      <c r="E116" s="117" t="s">
        <v>123</v>
      </c>
      <c r="F116" s="119">
        <v>60000</v>
      </c>
      <c r="G116" s="119">
        <f>F116*2.87%</f>
        <v>1722</v>
      </c>
      <c r="H116" s="88">
        <f>+F116*3.04%</f>
        <v>1824</v>
      </c>
      <c r="I116" s="88">
        <v>3154.9</v>
      </c>
      <c r="J116" s="83">
        <f t="shared" si="29"/>
        <v>6700.9</v>
      </c>
      <c r="K116" s="83">
        <f t="shared" si="32"/>
        <v>53299.1</v>
      </c>
      <c r="L116" s="83">
        <f>+IF(K116*12&lt;=416220.01,0,IF(K116*12&lt;=624329.01,(((K116*12-416220.01)*0.15)/12),IF((K116*12&lt;=867123.01),(31216+0.2*(K116*12-624329.01))/12,((79776+0.25*(K116*12-867123.01))/12))))-M116</f>
        <v>-1.6666666806486319E-4</v>
      </c>
      <c r="M116" s="83">
        <v>2855.67</v>
      </c>
      <c r="N116" s="90">
        <v>911.92</v>
      </c>
      <c r="O116" s="116">
        <f t="shared" si="30"/>
        <v>7612.8198333333312</v>
      </c>
      <c r="P116" s="84">
        <f>+F116-O116</f>
        <v>52387.180166666672</v>
      </c>
      <c r="Q116" s="55"/>
      <c r="R116" s="55"/>
    </row>
    <row r="117" spans="1:18" s="41" customFormat="1" ht="30" customHeight="1" x14ac:dyDescent="0.25">
      <c r="A117" s="169">
        <f>+A116+1</f>
        <v>62</v>
      </c>
      <c r="B117" s="123" t="s">
        <v>75</v>
      </c>
      <c r="C117" s="188" t="s">
        <v>429</v>
      </c>
      <c r="D117" s="220" t="s">
        <v>603</v>
      </c>
      <c r="E117" s="117" t="s">
        <v>123</v>
      </c>
      <c r="F117" s="119">
        <v>110000</v>
      </c>
      <c r="G117" s="119">
        <f>F117*2.87%</f>
        <v>3157</v>
      </c>
      <c r="H117" s="88">
        <f>+F117*3.04%</f>
        <v>3344</v>
      </c>
      <c r="I117" s="88">
        <v>1577.45</v>
      </c>
      <c r="J117" s="83">
        <f t="shared" si="29"/>
        <v>8078.45</v>
      </c>
      <c r="K117" s="83">
        <f t="shared" si="32"/>
        <v>101921.55</v>
      </c>
      <c r="L117" s="83">
        <f>+IF(K117*12&lt;=416220.01,0,IF(K117*12&lt;=624329.01,(((K117*12-416220.01)*0.15)/12),IF((K117*12&lt;=867123.01),(31216+0.2*(K117*12-624329.01))/12,((79776+0.25*(K117*12-867123.01))/12))))-M117</f>
        <v>14063.324791666668</v>
      </c>
      <c r="M117" s="83"/>
      <c r="N117" s="90">
        <v>25</v>
      </c>
      <c r="O117" s="116">
        <f t="shared" si="30"/>
        <v>22166.774791666667</v>
      </c>
      <c r="P117" s="84">
        <f>+F117-O117</f>
        <v>87833.22520833333</v>
      </c>
      <c r="Q117" s="55"/>
      <c r="R117" s="55"/>
    </row>
    <row r="118" spans="1:18" s="41" customFormat="1" ht="30" customHeight="1" x14ac:dyDescent="0.25">
      <c r="A118" s="229" t="s">
        <v>126</v>
      </c>
      <c r="B118" s="230"/>
      <c r="C118" s="230"/>
      <c r="D118" s="230"/>
      <c r="E118" s="231"/>
      <c r="F118" s="39">
        <f>SUM(F116:F117)</f>
        <v>170000</v>
      </c>
      <c r="G118" s="39">
        <f t="shared" ref="G118:P118" si="46">SUM(G116:G117)</f>
        <v>4879</v>
      </c>
      <c r="H118" s="39">
        <f t="shared" si="46"/>
        <v>5168</v>
      </c>
      <c r="I118" s="39">
        <f t="shared" si="46"/>
        <v>4732.3500000000004</v>
      </c>
      <c r="J118" s="39">
        <f t="shared" si="46"/>
        <v>14779.349999999999</v>
      </c>
      <c r="K118" s="39">
        <f t="shared" si="46"/>
        <v>155220.65</v>
      </c>
      <c r="L118" s="39">
        <f t="shared" si="46"/>
        <v>14063.324624999999</v>
      </c>
      <c r="M118" s="39">
        <f t="shared" si="46"/>
        <v>2855.67</v>
      </c>
      <c r="N118" s="39">
        <f t="shared" si="46"/>
        <v>936.92</v>
      </c>
      <c r="O118" s="39">
        <f t="shared" si="46"/>
        <v>29779.594624999998</v>
      </c>
      <c r="P118" s="39">
        <f t="shared" si="46"/>
        <v>140220.405375</v>
      </c>
      <c r="Q118" s="55"/>
      <c r="R118" s="55"/>
    </row>
    <row r="119" spans="1:18" s="55" customFormat="1" ht="30" customHeight="1" thickBot="1" x14ac:dyDescent="0.3">
      <c r="A119" s="43"/>
      <c r="B119" s="50"/>
      <c r="C119" s="150"/>
      <c r="D119" s="50"/>
      <c r="E119" s="50"/>
      <c r="F119" s="51"/>
      <c r="G119" s="41"/>
      <c r="H119" s="41"/>
      <c r="I119" s="41"/>
      <c r="J119" s="41"/>
      <c r="K119" s="41"/>
      <c r="L119" s="41"/>
      <c r="M119" s="41"/>
      <c r="N119" s="41"/>
      <c r="O119" s="41"/>
      <c r="P119" s="41"/>
    </row>
    <row r="120" spans="1:18" s="92" customFormat="1" ht="30" customHeight="1" thickBot="1" x14ac:dyDescent="0.3">
      <c r="A120" s="264" t="s">
        <v>170</v>
      </c>
      <c r="B120" s="265"/>
      <c r="C120" s="265"/>
      <c r="D120" s="265"/>
      <c r="E120" s="265"/>
      <c r="F120" s="235"/>
      <c r="G120" s="235"/>
      <c r="H120" s="235"/>
      <c r="I120" s="235"/>
      <c r="J120" s="235"/>
      <c r="K120" s="235"/>
      <c r="L120" s="235"/>
      <c r="M120" s="235"/>
      <c r="N120" s="235"/>
      <c r="O120" s="235"/>
      <c r="P120" s="235"/>
    </row>
    <row r="121" spans="1:18" s="55" customFormat="1" ht="30" customHeight="1" x14ac:dyDescent="0.25">
      <c r="A121" s="86">
        <f>+A117+1</f>
        <v>63</v>
      </c>
      <c r="B121" s="117" t="s">
        <v>266</v>
      </c>
      <c r="C121" s="38" t="s">
        <v>430</v>
      </c>
      <c r="D121" s="118" t="s">
        <v>51</v>
      </c>
      <c r="E121" s="117" t="s">
        <v>123</v>
      </c>
      <c r="F121" s="119">
        <v>90000</v>
      </c>
      <c r="G121" s="88">
        <f>F121*2.87%</f>
        <v>2583</v>
      </c>
      <c r="H121" s="88">
        <f>+F121*3.04%</f>
        <v>2736</v>
      </c>
      <c r="I121" s="88"/>
      <c r="J121" s="83">
        <f t="shared" si="29"/>
        <v>5319</v>
      </c>
      <c r="K121" s="83">
        <f t="shared" si="32"/>
        <v>84681</v>
      </c>
      <c r="L121" s="83">
        <f>+IF(K121*12&lt;=416220.01,0,IF(K121*12&lt;=624329.01,(((K121*12-416220.01)*0.15)/12),IF((K121*12&lt;=867123.01),(31216+0.2*(K121*12-624329.01))/12,((79776+0.25*(K121*12-867123.01))/12))))-M121</f>
        <v>-2.7083333334303461E-3</v>
      </c>
      <c r="M121" s="83">
        <v>9753.19</v>
      </c>
      <c r="N121" s="90">
        <v>13692.99</v>
      </c>
      <c r="O121" s="116">
        <f t="shared" si="30"/>
        <v>19011.987291666665</v>
      </c>
      <c r="P121" s="84">
        <f>+F121-O121</f>
        <v>70988.012708333335</v>
      </c>
    </row>
    <row r="122" spans="1:18" s="41" customFormat="1" ht="30" customHeight="1" x14ac:dyDescent="0.25">
      <c r="A122" s="86">
        <f>+A121+1</f>
        <v>64</v>
      </c>
      <c r="B122" s="122" t="s">
        <v>64</v>
      </c>
      <c r="C122" s="132" t="s">
        <v>430</v>
      </c>
      <c r="D122" s="118" t="s">
        <v>51</v>
      </c>
      <c r="E122" s="117" t="s">
        <v>122</v>
      </c>
      <c r="F122" s="116">
        <v>80000</v>
      </c>
      <c r="G122" s="83">
        <f>F122*2.87%</f>
        <v>2296</v>
      </c>
      <c r="H122" s="83">
        <f>+F122*3.04%</f>
        <v>2432</v>
      </c>
      <c r="I122" s="83"/>
      <c r="J122" s="83">
        <f t="shared" si="29"/>
        <v>4728</v>
      </c>
      <c r="K122" s="83">
        <f t="shared" si="32"/>
        <v>75272</v>
      </c>
      <c r="L122" s="83">
        <f t="shared" ref="L122:L124" si="47">+IF(K122*12&lt;=416220.01,0,IF(K122*12&lt;=624329.01,(((K122*12-416220.01)*0.15)/12),IF((K122*12&lt;=867123.01),(31216+0.2*(K122*12-624329.01))/12,((79776+0.25*(K122*12-867123.01))/12))))-M122</f>
        <v>6761.387291666666</v>
      </c>
      <c r="M122" s="83">
        <v>639.54999999999995</v>
      </c>
      <c r="N122" s="90">
        <v>7360.85</v>
      </c>
      <c r="O122" s="116">
        <f t="shared" si="30"/>
        <v>18850.237291666665</v>
      </c>
      <c r="P122" s="84">
        <f>+F122-O122</f>
        <v>61149.762708333335</v>
      </c>
      <c r="Q122" s="55"/>
      <c r="R122" s="55"/>
    </row>
    <row r="123" spans="1:18" s="49" customFormat="1" ht="24" customHeight="1" x14ac:dyDescent="0.25">
      <c r="A123" s="86">
        <f>+A122+1</f>
        <v>65</v>
      </c>
      <c r="B123" s="117" t="s">
        <v>267</v>
      </c>
      <c r="C123" s="38" t="s">
        <v>429</v>
      </c>
      <c r="D123" s="118" t="s">
        <v>51</v>
      </c>
      <c r="E123" s="117" t="s">
        <v>122</v>
      </c>
      <c r="F123" s="119">
        <v>80000</v>
      </c>
      <c r="G123" s="88">
        <f>F123*2.87%</f>
        <v>2296</v>
      </c>
      <c r="H123" s="88">
        <f>+F123*3.04%</f>
        <v>2432</v>
      </c>
      <c r="I123" s="88"/>
      <c r="J123" s="83">
        <f t="shared" si="29"/>
        <v>4728</v>
      </c>
      <c r="K123" s="83">
        <f t="shared" si="32"/>
        <v>75272</v>
      </c>
      <c r="L123" s="83">
        <f t="shared" si="47"/>
        <v>6761.387291666666</v>
      </c>
      <c r="M123" s="83">
        <v>639.54999999999995</v>
      </c>
      <c r="N123" s="90">
        <v>3025</v>
      </c>
      <c r="O123" s="116">
        <f t="shared" si="30"/>
        <v>14514.387291666666</v>
      </c>
      <c r="P123" s="84">
        <f>+F123-O123</f>
        <v>65485.612708333334</v>
      </c>
      <c r="Q123" s="93"/>
      <c r="R123" s="93"/>
    </row>
    <row r="124" spans="1:18" s="41" customFormat="1" ht="30" customHeight="1" x14ac:dyDescent="0.25">
      <c r="A124" s="86">
        <f>+A123+1</f>
        <v>66</v>
      </c>
      <c r="B124" s="117" t="s">
        <v>275</v>
      </c>
      <c r="C124" s="38" t="s">
        <v>429</v>
      </c>
      <c r="D124" s="118" t="s">
        <v>51</v>
      </c>
      <c r="E124" s="117" t="s">
        <v>122</v>
      </c>
      <c r="F124" s="119">
        <v>80000</v>
      </c>
      <c r="G124" s="88">
        <f>F124*2.87%</f>
        <v>2296</v>
      </c>
      <c r="H124" s="88">
        <f>+F124*3.04%</f>
        <v>2432</v>
      </c>
      <c r="I124" s="88"/>
      <c r="J124" s="83">
        <f t="shared" si="29"/>
        <v>4728</v>
      </c>
      <c r="K124" s="83">
        <f t="shared" si="32"/>
        <v>75272</v>
      </c>
      <c r="L124" s="83">
        <f t="shared" si="47"/>
        <v>-2.7083333334303461E-3</v>
      </c>
      <c r="M124" s="83">
        <v>7400.94</v>
      </c>
      <c r="N124" s="90">
        <v>25</v>
      </c>
      <c r="O124" s="116">
        <f t="shared" si="30"/>
        <v>4752.9972916666666</v>
      </c>
      <c r="P124" s="84">
        <f>+F124-O124</f>
        <v>75247.002708333341</v>
      </c>
      <c r="Q124" s="55"/>
      <c r="R124" s="55"/>
    </row>
    <row r="125" spans="1:18" s="55" customFormat="1" ht="30" customHeight="1" thickBot="1" x14ac:dyDescent="0.3">
      <c r="A125" s="229" t="s">
        <v>126</v>
      </c>
      <c r="B125" s="230"/>
      <c r="C125" s="230"/>
      <c r="D125" s="230"/>
      <c r="E125" s="231"/>
      <c r="F125" s="39">
        <f t="shared" ref="F125:P125" si="48">SUM(F121:F124)</f>
        <v>330000</v>
      </c>
      <c r="G125" s="39">
        <f t="shared" si="48"/>
        <v>9471</v>
      </c>
      <c r="H125" s="39">
        <f t="shared" si="48"/>
        <v>10032</v>
      </c>
      <c r="I125" s="39">
        <f t="shared" si="48"/>
        <v>0</v>
      </c>
      <c r="J125" s="39">
        <f t="shared" si="48"/>
        <v>19503</v>
      </c>
      <c r="K125" s="39">
        <f t="shared" si="48"/>
        <v>310497</v>
      </c>
      <c r="L125" s="39">
        <f t="shared" si="48"/>
        <v>13522.769166666665</v>
      </c>
      <c r="M125" s="39">
        <f t="shared" si="48"/>
        <v>18433.23</v>
      </c>
      <c r="N125" s="39">
        <f t="shared" si="48"/>
        <v>24103.84</v>
      </c>
      <c r="O125" s="39">
        <f t="shared" si="48"/>
        <v>57129.609166666662</v>
      </c>
      <c r="P125" s="39">
        <f t="shared" si="48"/>
        <v>272870.39083333337</v>
      </c>
    </row>
    <row r="126" spans="1:18" s="55" customFormat="1" ht="30" customHeight="1" thickBot="1" x14ac:dyDescent="0.3">
      <c r="A126" s="264" t="s">
        <v>171</v>
      </c>
      <c r="B126" s="265"/>
      <c r="C126" s="265"/>
      <c r="D126" s="265"/>
      <c r="E126" s="265"/>
      <c r="F126" s="235"/>
      <c r="G126" s="235"/>
      <c r="H126" s="235"/>
      <c r="I126" s="235"/>
      <c r="J126" s="235"/>
      <c r="K126" s="235"/>
      <c r="L126" s="235"/>
      <c r="M126" s="235"/>
      <c r="N126" s="235"/>
      <c r="O126" s="235"/>
      <c r="P126" s="235"/>
    </row>
    <row r="127" spans="1:18" s="55" customFormat="1" ht="30" customHeight="1" x14ac:dyDescent="0.25">
      <c r="A127" s="38">
        <f>A124+1</f>
        <v>67</v>
      </c>
      <c r="B127" s="117" t="s">
        <v>190</v>
      </c>
      <c r="C127" s="38" t="s">
        <v>430</v>
      </c>
      <c r="D127" s="118" t="s">
        <v>51</v>
      </c>
      <c r="E127" s="117" t="s">
        <v>123</v>
      </c>
      <c r="F127" s="119">
        <v>90000</v>
      </c>
      <c r="G127" s="119">
        <f>F127*2.87%</f>
        <v>2583</v>
      </c>
      <c r="H127" s="88">
        <f>+F127*3.04%</f>
        <v>2736</v>
      </c>
      <c r="I127" s="88"/>
      <c r="J127" s="83">
        <f t="shared" si="29"/>
        <v>5319</v>
      </c>
      <c r="K127" s="83">
        <f t="shared" si="32"/>
        <v>84681</v>
      </c>
      <c r="L127" s="83">
        <f>+IF(K127*12&lt;=416220.01,0,IF(K127*12&lt;=624329.01,(((K127*12-416220.01)*0.15)/12),IF((K127*12&lt;=867123.01),(31216+0.2*(K127*12-624329.01))/12,((79776+0.25*(K127*12-867123.01))/12))))-M127</f>
        <v>9753.1872916666671</v>
      </c>
      <c r="M127" s="83"/>
      <c r="N127" s="90">
        <f>10010.34+25</f>
        <v>10035.34</v>
      </c>
      <c r="O127" s="116">
        <f t="shared" si="30"/>
        <v>25107.527291666665</v>
      </c>
      <c r="P127" s="84">
        <f>+F127-O127</f>
        <v>64892.472708333335</v>
      </c>
    </row>
    <row r="128" spans="1:18" s="55" customFormat="1" ht="30" customHeight="1" x14ac:dyDescent="0.25">
      <c r="A128" s="38">
        <f>+A127+1</f>
        <v>68</v>
      </c>
      <c r="B128" s="117" t="s">
        <v>524</v>
      </c>
      <c r="C128" s="38" t="s">
        <v>429</v>
      </c>
      <c r="D128" s="118" t="s">
        <v>51</v>
      </c>
      <c r="E128" s="117" t="s">
        <v>123</v>
      </c>
      <c r="F128" s="119">
        <v>90000</v>
      </c>
      <c r="G128" s="119">
        <f>F128*2.87%</f>
        <v>2583</v>
      </c>
      <c r="H128" s="88">
        <f>+F128*3.04%</f>
        <v>2736</v>
      </c>
      <c r="I128" s="88"/>
      <c r="J128" s="83">
        <f t="shared" si="29"/>
        <v>5319</v>
      </c>
      <c r="K128" s="83">
        <f t="shared" si="32"/>
        <v>84681</v>
      </c>
      <c r="L128" s="83">
        <f t="shared" ref="L128:L130" si="49">+IF(K128*12&lt;=416220.01,0,IF(K128*12&lt;=624329.01,(((K128*12-416220.01)*0.15)/12),IF((K128*12&lt;=867123.01),(31216+0.2*(K128*12-624329.01))/12,((79776+0.25*(K128*12-867123.01))/12))))-M128</f>
        <v>9753.1872916666671</v>
      </c>
      <c r="M128" s="83"/>
      <c r="N128" s="90">
        <v>18622.96</v>
      </c>
      <c r="O128" s="116">
        <f t="shared" si="30"/>
        <v>33695.147291666668</v>
      </c>
      <c r="P128" s="84">
        <f>+F128-O128</f>
        <v>56304.852708333332</v>
      </c>
    </row>
    <row r="129" spans="1:18" s="49" customFormat="1" ht="30" customHeight="1" x14ac:dyDescent="0.25">
      <c r="A129" s="38">
        <f>+A128+1</f>
        <v>69</v>
      </c>
      <c r="B129" s="117" t="s">
        <v>269</v>
      </c>
      <c r="C129" s="38" t="s">
        <v>430</v>
      </c>
      <c r="D129" s="118" t="s">
        <v>51</v>
      </c>
      <c r="E129" s="117" t="s">
        <v>123</v>
      </c>
      <c r="F129" s="119">
        <v>85000</v>
      </c>
      <c r="G129" s="119">
        <f>F129*2.87%</f>
        <v>2439.5</v>
      </c>
      <c r="H129" s="88">
        <f>+F129*3.04%</f>
        <v>2584</v>
      </c>
      <c r="I129" s="88"/>
      <c r="J129" s="83">
        <f t="shared" si="29"/>
        <v>5023.5</v>
      </c>
      <c r="K129" s="83">
        <f t="shared" si="32"/>
        <v>79976.5</v>
      </c>
      <c r="L129" s="83">
        <f t="shared" si="49"/>
        <v>8577.0622916666671</v>
      </c>
      <c r="M129" s="83"/>
      <c r="N129" s="90">
        <v>911.92</v>
      </c>
      <c r="O129" s="116">
        <f t="shared" si="30"/>
        <v>14512.482291666667</v>
      </c>
      <c r="P129" s="84">
        <f>+F129-O129</f>
        <v>70487.517708333326</v>
      </c>
      <c r="Q129" s="93"/>
      <c r="R129" s="93"/>
    </row>
    <row r="130" spans="1:18" ht="30" customHeight="1" x14ac:dyDescent="0.25">
      <c r="A130" s="38">
        <f>+A129+1</f>
        <v>70</v>
      </c>
      <c r="B130" s="117" t="s">
        <v>198</v>
      </c>
      <c r="C130" s="38" t="s">
        <v>429</v>
      </c>
      <c r="D130" s="118" t="s">
        <v>51</v>
      </c>
      <c r="E130" s="117" t="s">
        <v>123</v>
      </c>
      <c r="F130" s="119">
        <v>80000</v>
      </c>
      <c r="G130" s="88">
        <v>2296</v>
      </c>
      <c r="H130" s="88">
        <v>2432</v>
      </c>
      <c r="I130" s="88">
        <v>3154.9</v>
      </c>
      <c r="J130" s="83">
        <f t="shared" si="29"/>
        <v>7882.9</v>
      </c>
      <c r="K130" s="83">
        <f t="shared" si="32"/>
        <v>72117.100000000006</v>
      </c>
      <c r="L130" s="83">
        <f t="shared" si="49"/>
        <v>-1.6666666579112643E-4</v>
      </c>
      <c r="M130" s="83">
        <v>6619.27</v>
      </c>
      <c r="N130" s="90">
        <v>15405.79</v>
      </c>
      <c r="O130" s="116">
        <f t="shared" si="30"/>
        <v>23288.689833333337</v>
      </c>
      <c r="P130" s="84">
        <f>+F130-O130</f>
        <v>56711.310166666663</v>
      </c>
    </row>
    <row r="131" spans="1:18" s="41" customFormat="1" ht="30" customHeight="1" x14ac:dyDescent="0.25">
      <c r="A131" s="229" t="s">
        <v>126</v>
      </c>
      <c r="B131" s="230"/>
      <c r="C131" s="230"/>
      <c r="D131" s="230"/>
      <c r="E131" s="231"/>
      <c r="F131" s="39">
        <f t="shared" ref="F131:P131" si="50">SUM(F127:F130)</f>
        <v>345000</v>
      </c>
      <c r="G131" s="39">
        <f t="shared" si="50"/>
        <v>9901.5</v>
      </c>
      <c r="H131" s="39">
        <f t="shared" si="50"/>
        <v>10488</v>
      </c>
      <c r="I131" s="39">
        <f t="shared" si="50"/>
        <v>3154.9</v>
      </c>
      <c r="J131" s="39">
        <f t="shared" si="50"/>
        <v>23544.400000000001</v>
      </c>
      <c r="K131" s="39">
        <f t="shared" si="50"/>
        <v>321455.59999999998</v>
      </c>
      <c r="L131" s="39">
        <f t="shared" si="50"/>
        <v>28083.436708333335</v>
      </c>
      <c r="M131" s="39">
        <f t="shared" si="50"/>
        <v>6619.27</v>
      </c>
      <c r="N131" s="39">
        <f t="shared" si="50"/>
        <v>44976.009999999995</v>
      </c>
      <c r="O131" s="39">
        <f t="shared" si="50"/>
        <v>96603.846708333338</v>
      </c>
      <c r="P131" s="39">
        <f t="shared" si="50"/>
        <v>248396.15329166665</v>
      </c>
      <c r="Q131" s="55"/>
      <c r="R131" s="55"/>
    </row>
    <row r="132" spans="1:18" s="41" customFormat="1" ht="30" customHeight="1" thickBot="1" x14ac:dyDescent="0.3">
      <c r="A132" s="4"/>
      <c r="B132" s="25"/>
      <c r="C132" s="4"/>
      <c r="D132" s="25"/>
      <c r="E132" s="25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55"/>
      <c r="R132" s="55"/>
    </row>
    <row r="133" spans="1:18" s="55" customFormat="1" ht="30" customHeight="1" thickBot="1" x14ac:dyDescent="0.3">
      <c r="A133" s="264" t="s">
        <v>172</v>
      </c>
      <c r="B133" s="265"/>
      <c r="C133" s="265"/>
      <c r="D133" s="265"/>
      <c r="E133" s="265"/>
      <c r="F133" s="235"/>
      <c r="G133" s="235"/>
      <c r="H133" s="235"/>
      <c r="I133" s="235"/>
      <c r="J133" s="235"/>
      <c r="K133" s="235"/>
      <c r="L133" s="235"/>
      <c r="M133" s="235"/>
      <c r="N133" s="235"/>
      <c r="O133" s="235"/>
      <c r="P133" s="235"/>
    </row>
    <row r="134" spans="1:18" s="49" customFormat="1" ht="30" customHeight="1" x14ac:dyDescent="0.25">
      <c r="A134" s="86">
        <f>+A130+1</f>
        <v>71</v>
      </c>
      <c r="B134" s="87" t="s">
        <v>103</v>
      </c>
      <c r="C134" s="86" t="s">
        <v>430</v>
      </c>
      <c r="D134" s="91" t="s">
        <v>51</v>
      </c>
      <c r="E134" s="87" t="s">
        <v>122</v>
      </c>
      <c r="F134" s="88">
        <v>90000</v>
      </c>
      <c r="G134" s="88">
        <f t="shared" ref="G134:G139" si="51">F134*2.87%</f>
        <v>2583</v>
      </c>
      <c r="H134" s="88">
        <f t="shared" ref="H134:H139" si="52">+F134*3.04%</f>
        <v>2736</v>
      </c>
      <c r="I134" s="88"/>
      <c r="J134" s="83">
        <f t="shared" ref="J134:J195" si="53">+G134+H134+I134</f>
        <v>5319</v>
      </c>
      <c r="K134" s="83">
        <f t="shared" si="32"/>
        <v>84681</v>
      </c>
      <c r="L134" s="83">
        <f>+IF(K134*12&lt;=416220.01,0,IF(K134*12&lt;=624329.01,(((K134*12-416220.01)*0.15)/12),IF((K134*12&lt;=867123.01),(31216+0.2*(K134*12-624329.01))/12,((79776+0.25*(K134*12-867123.01))/12))))-M134</f>
        <v>-2.7083333334303461E-3</v>
      </c>
      <c r="M134" s="83">
        <v>9753.19</v>
      </c>
      <c r="N134" s="90">
        <v>25</v>
      </c>
      <c r="O134" s="116">
        <f t="shared" si="30"/>
        <v>5343.9972916666666</v>
      </c>
      <c r="P134" s="84">
        <f t="shared" ref="P134:P139" si="54">+F134-O134</f>
        <v>84656.002708333341</v>
      </c>
      <c r="Q134" s="93"/>
      <c r="R134" s="93"/>
    </row>
    <row r="135" spans="1:18" s="55" customFormat="1" ht="30" customHeight="1" x14ac:dyDescent="0.25">
      <c r="A135" s="86">
        <f>+A134+1</f>
        <v>72</v>
      </c>
      <c r="B135" s="117" t="s">
        <v>59</v>
      </c>
      <c r="C135" s="38" t="s">
        <v>430</v>
      </c>
      <c r="D135" s="118" t="s">
        <v>51</v>
      </c>
      <c r="E135" s="117" t="s">
        <v>123</v>
      </c>
      <c r="F135" s="119">
        <v>90000</v>
      </c>
      <c r="G135" s="119">
        <f t="shared" si="51"/>
        <v>2583</v>
      </c>
      <c r="H135" s="88">
        <f t="shared" si="52"/>
        <v>2736</v>
      </c>
      <c r="I135" s="88">
        <v>3154.9</v>
      </c>
      <c r="J135" s="83">
        <f t="shared" si="53"/>
        <v>8473.9</v>
      </c>
      <c r="K135" s="83">
        <f t="shared" si="32"/>
        <v>81526.100000000006</v>
      </c>
      <c r="L135" s="83">
        <f t="shared" ref="L135:L139" si="55">+IF(K135*12&lt;=416220.01,0,IF(K135*12&lt;=624329.01,(((K135*12-416220.01)*0.15)/12),IF((K135*12&lt;=867123.01),(31216+0.2*(K135*12-624329.01))/12,((79776+0.25*(K135*12-867123.01))/12))))-M135</f>
        <v>2.2916666694072774E-3</v>
      </c>
      <c r="M135" s="83">
        <v>8964.4599999999991</v>
      </c>
      <c r="N135" s="90">
        <v>125</v>
      </c>
      <c r="O135" s="116">
        <f t="shared" ref="O135:O195" si="56">+N135+I135+H135+G135+L135</f>
        <v>8598.902291666669</v>
      </c>
      <c r="P135" s="84">
        <f t="shared" si="54"/>
        <v>81401.097708333327</v>
      </c>
    </row>
    <row r="136" spans="1:18" s="55" customFormat="1" ht="30" customHeight="1" x14ac:dyDescent="0.25">
      <c r="A136" s="38">
        <f>+A135+1</f>
        <v>73</v>
      </c>
      <c r="B136" s="117" t="s">
        <v>5</v>
      </c>
      <c r="C136" s="38" t="s">
        <v>430</v>
      </c>
      <c r="D136" s="118" t="s">
        <v>51</v>
      </c>
      <c r="E136" s="117" t="s">
        <v>123</v>
      </c>
      <c r="F136" s="119">
        <v>90000</v>
      </c>
      <c r="G136" s="119">
        <f t="shared" si="51"/>
        <v>2583</v>
      </c>
      <c r="H136" s="88">
        <f t="shared" si="52"/>
        <v>2736</v>
      </c>
      <c r="I136" s="88"/>
      <c r="J136" s="83">
        <f t="shared" si="53"/>
        <v>5319</v>
      </c>
      <c r="K136" s="83">
        <f t="shared" si="32"/>
        <v>84681</v>
      </c>
      <c r="L136" s="83">
        <f t="shared" si="55"/>
        <v>9753.1872916666671</v>
      </c>
      <c r="M136" s="83"/>
      <c r="N136" s="84">
        <v>11891.85</v>
      </c>
      <c r="O136" s="116">
        <f t="shared" si="56"/>
        <v>26964.037291666667</v>
      </c>
      <c r="P136" s="84">
        <f t="shared" si="54"/>
        <v>63035.962708333333</v>
      </c>
    </row>
    <row r="137" spans="1:18" s="55" customFormat="1" ht="30" customHeight="1" x14ac:dyDescent="0.25">
      <c r="A137" s="86">
        <f>+A136+1</f>
        <v>74</v>
      </c>
      <c r="B137" s="117" t="s">
        <v>271</v>
      </c>
      <c r="C137" s="38" t="s">
        <v>430</v>
      </c>
      <c r="D137" s="118" t="s">
        <v>51</v>
      </c>
      <c r="E137" s="117" t="s">
        <v>122</v>
      </c>
      <c r="F137" s="119">
        <v>80000</v>
      </c>
      <c r="G137" s="119">
        <f t="shared" si="51"/>
        <v>2296</v>
      </c>
      <c r="H137" s="88">
        <f t="shared" si="52"/>
        <v>2432</v>
      </c>
      <c r="I137" s="88"/>
      <c r="J137" s="83">
        <f t="shared" si="53"/>
        <v>4728</v>
      </c>
      <c r="K137" s="83">
        <f t="shared" si="32"/>
        <v>75272</v>
      </c>
      <c r="L137" s="83">
        <f t="shared" si="55"/>
        <v>-2.7083333334303461E-3</v>
      </c>
      <c r="M137" s="83">
        <v>7400.94</v>
      </c>
      <c r="N137" s="90">
        <v>25</v>
      </c>
      <c r="O137" s="116">
        <f t="shared" si="56"/>
        <v>4752.9972916666666</v>
      </c>
      <c r="P137" s="84">
        <f t="shared" si="54"/>
        <v>75247.002708333341</v>
      </c>
    </row>
    <row r="138" spans="1:18" ht="30" customHeight="1" x14ac:dyDescent="0.25">
      <c r="A138" s="86">
        <f>+A137+1</f>
        <v>75</v>
      </c>
      <c r="B138" s="117" t="s">
        <v>272</v>
      </c>
      <c r="C138" s="38" t="s">
        <v>429</v>
      </c>
      <c r="D138" s="118" t="s">
        <v>51</v>
      </c>
      <c r="E138" s="117" t="s">
        <v>122</v>
      </c>
      <c r="F138" s="119">
        <v>80000</v>
      </c>
      <c r="G138" s="119">
        <f t="shared" si="51"/>
        <v>2296</v>
      </c>
      <c r="H138" s="88">
        <f t="shared" si="52"/>
        <v>2432</v>
      </c>
      <c r="I138" s="88"/>
      <c r="J138" s="83">
        <f t="shared" si="53"/>
        <v>4728</v>
      </c>
      <c r="K138" s="83">
        <f t="shared" ref="K138:K199" si="57">+F138-J138</f>
        <v>75272</v>
      </c>
      <c r="L138" s="83">
        <f t="shared" si="55"/>
        <v>-2.7083333334303461E-3</v>
      </c>
      <c r="M138" s="83">
        <v>7400.94</v>
      </c>
      <c r="N138" s="90">
        <v>25</v>
      </c>
      <c r="O138" s="116">
        <f t="shared" si="56"/>
        <v>4752.9972916666666</v>
      </c>
      <c r="P138" s="84">
        <f t="shared" si="54"/>
        <v>75247.002708333341</v>
      </c>
    </row>
    <row r="139" spans="1:18" s="41" customFormat="1" ht="30" customHeight="1" x14ac:dyDescent="0.25">
      <c r="A139" s="86">
        <f>+A138+1</f>
        <v>76</v>
      </c>
      <c r="B139" s="117" t="s">
        <v>273</v>
      </c>
      <c r="C139" s="38" t="s">
        <v>430</v>
      </c>
      <c r="D139" s="118" t="s">
        <v>51</v>
      </c>
      <c r="E139" s="117" t="s">
        <v>123</v>
      </c>
      <c r="F139" s="119">
        <v>80000</v>
      </c>
      <c r="G139" s="119">
        <f t="shared" si="51"/>
        <v>2296</v>
      </c>
      <c r="H139" s="88">
        <f t="shared" si="52"/>
        <v>2432</v>
      </c>
      <c r="I139" s="88"/>
      <c r="J139" s="83">
        <f t="shared" si="53"/>
        <v>4728</v>
      </c>
      <c r="K139" s="83">
        <f t="shared" si="57"/>
        <v>75272</v>
      </c>
      <c r="L139" s="83">
        <f t="shared" si="55"/>
        <v>6761.387291666666</v>
      </c>
      <c r="M139" s="83">
        <v>639.54999999999995</v>
      </c>
      <c r="N139" s="90">
        <v>25</v>
      </c>
      <c r="O139" s="116">
        <f t="shared" si="56"/>
        <v>11514.387291666666</v>
      </c>
      <c r="P139" s="84">
        <f t="shared" si="54"/>
        <v>68485.612708333327</v>
      </c>
      <c r="Q139" s="55"/>
      <c r="R139" s="55"/>
    </row>
    <row r="140" spans="1:18" s="55" customFormat="1" ht="30" customHeight="1" x14ac:dyDescent="0.25">
      <c r="A140" s="229" t="s">
        <v>126</v>
      </c>
      <c r="B140" s="230"/>
      <c r="C140" s="230"/>
      <c r="D140" s="230"/>
      <c r="E140" s="231"/>
      <c r="F140" s="39">
        <f t="shared" ref="F140:P140" si="58">SUM(F134:F139)</f>
        <v>510000</v>
      </c>
      <c r="G140" s="39">
        <f t="shared" si="58"/>
        <v>14637</v>
      </c>
      <c r="H140" s="39">
        <f t="shared" si="58"/>
        <v>15504</v>
      </c>
      <c r="I140" s="39">
        <f t="shared" si="58"/>
        <v>3154.9</v>
      </c>
      <c r="J140" s="39">
        <f t="shared" si="58"/>
        <v>33295.9</v>
      </c>
      <c r="K140" s="39">
        <f t="shared" si="58"/>
        <v>476704.1</v>
      </c>
      <c r="L140" s="39">
        <f t="shared" si="58"/>
        <v>16514.568750000002</v>
      </c>
      <c r="M140" s="39">
        <f t="shared" si="58"/>
        <v>34159.08</v>
      </c>
      <c r="N140" s="39">
        <f t="shared" si="58"/>
        <v>12116.85</v>
      </c>
      <c r="O140" s="39">
        <f t="shared" si="58"/>
        <v>61927.318749999999</v>
      </c>
      <c r="P140" s="39">
        <f t="shared" si="58"/>
        <v>448072.68124999991</v>
      </c>
    </row>
    <row r="141" spans="1:18" s="93" customFormat="1" ht="30" customHeight="1" thickBot="1" x14ac:dyDescent="0.3">
      <c r="A141" s="4"/>
      <c r="B141" s="25"/>
      <c r="C141" s="4"/>
      <c r="D141" s="25"/>
      <c r="E141" s="25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8" s="49" customFormat="1" ht="30" customHeight="1" thickBot="1" x14ac:dyDescent="0.3">
      <c r="A142" s="264" t="s">
        <v>173</v>
      </c>
      <c r="B142" s="265"/>
      <c r="C142" s="265"/>
      <c r="D142" s="265"/>
      <c r="E142" s="265"/>
      <c r="F142" s="235"/>
      <c r="G142" s="235"/>
      <c r="H142" s="235"/>
      <c r="I142" s="235"/>
      <c r="J142" s="235"/>
      <c r="K142" s="235"/>
      <c r="L142" s="235"/>
      <c r="M142" s="235"/>
      <c r="N142" s="235"/>
      <c r="O142" s="235"/>
      <c r="P142" s="235"/>
      <c r="Q142" s="93"/>
      <c r="R142" s="93"/>
    </row>
    <row r="143" spans="1:18" ht="30" customHeight="1" x14ac:dyDescent="0.25">
      <c r="A143" s="86">
        <f>+A139+1</f>
        <v>77</v>
      </c>
      <c r="B143" s="87" t="s">
        <v>274</v>
      </c>
      <c r="C143" s="86" t="s">
        <v>430</v>
      </c>
      <c r="D143" s="91" t="s">
        <v>51</v>
      </c>
      <c r="E143" s="87" t="s">
        <v>123</v>
      </c>
      <c r="F143" s="88">
        <v>90000</v>
      </c>
      <c r="G143" s="88">
        <f>F143*2.87%</f>
        <v>2583</v>
      </c>
      <c r="H143" s="88">
        <f>+F143*3.04%</f>
        <v>2736</v>
      </c>
      <c r="I143" s="88">
        <v>1577.45</v>
      </c>
      <c r="J143" s="83">
        <f t="shared" si="53"/>
        <v>6896.45</v>
      </c>
      <c r="K143" s="83">
        <f t="shared" si="57"/>
        <v>83103.55</v>
      </c>
      <c r="L143" s="83">
        <f>+IF(K143*12&lt;=416220.01,0,IF(K143*12&lt;=624329.01,(((K143*12-416220.01)*0.15)/12),IF((K143*12&lt;=867123.01),(31216+0.2*(K143*12-624329.01))/12,((79776+0.25*(K143*12-867123.01))/12))))-M143</f>
        <v>4.791666668097605E-3</v>
      </c>
      <c r="M143" s="83">
        <v>9358.82</v>
      </c>
      <c r="N143" s="90">
        <v>25</v>
      </c>
      <c r="O143" s="116">
        <f t="shared" si="56"/>
        <v>6921.4547916666679</v>
      </c>
      <c r="P143" s="84">
        <f>+F143-O143</f>
        <v>83078.545208333337</v>
      </c>
    </row>
    <row r="144" spans="1:18" s="41" customFormat="1" ht="30" customHeight="1" x14ac:dyDescent="0.25">
      <c r="A144" s="86">
        <f>+A143+1</f>
        <v>78</v>
      </c>
      <c r="B144" s="117" t="s">
        <v>191</v>
      </c>
      <c r="C144" s="38" t="s">
        <v>429</v>
      </c>
      <c r="D144" s="117" t="s">
        <v>51</v>
      </c>
      <c r="E144" s="117" t="s">
        <v>122</v>
      </c>
      <c r="F144" s="119">
        <v>90000</v>
      </c>
      <c r="G144" s="88">
        <f>F144*2.87%</f>
        <v>2583</v>
      </c>
      <c r="H144" s="88">
        <f>+F144*3.04%</f>
        <v>2736</v>
      </c>
      <c r="I144" s="88"/>
      <c r="J144" s="83">
        <f t="shared" si="53"/>
        <v>5319</v>
      </c>
      <c r="K144" s="83">
        <f t="shared" si="57"/>
        <v>84681</v>
      </c>
      <c r="L144" s="83">
        <f>+IF(K144*12&lt;=416220.01,0,IF(K144*12&lt;=624329.01,(((K144*12-416220.01)*0.15)/12),IF((K144*12&lt;=867123.01),(31216+0.2*(K144*12-624329.01))/12,((79776+0.25*(K144*12-867123.01))/12))))-M144</f>
        <v>9753.1872916666671</v>
      </c>
      <c r="M144" s="83"/>
      <c r="N144" s="90">
        <v>25</v>
      </c>
      <c r="O144" s="116">
        <f t="shared" si="56"/>
        <v>15097.187291666667</v>
      </c>
      <c r="P144" s="84">
        <f>+F144-O144</f>
        <v>74902.812708333338</v>
      </c>
      <c r="Q144" s="55"/>
      <c r="R144" s="55"/>
    </row>
    <row r="145" spans="1:18" s="55" customFormat="1" ht="30" customHeight="1" x14ac:dyDescent="0.25">
      <c r="A145" s="229" t="s">
        <v>126</v>
      </c>
      <c r="B145" s="230"/>
      <c r="C145" s="230"/>
      <c r="D145" s="230"/>
      <c r="E145" s="231"/>
      <c r="F145" s="39">
        <f t="shared" ref="F145:P145" si="59">SUM(F143:F144)</f>
        <v>180000</v>
      </c>
      <c r="G145" s="39">
        <f t="shared" si="59"/>
        <v>5166</v>
      </c>
      <c r="H145" s="39">
        <f t="shared" si="59"/>
        <v>5472</v>
      </c>
      <c r="I145" s="39">
        <f t="shared" si="59"/>
        <v>1577.45</v>
      </c>
      <c r="J145" s="39">
        <f t="shared" si="59"/>
        <v>12215.45</v>
      </c>
      <c r="K145" s="39">
        <f t="shared" si="59"/>
        <v>167784.55</v>
      </c>
      <c r="L145" s="39">
        <f t="shared" si="59"/>
        <v>9753.1920833333352</v>
      </c>
      <c r="M145" s="39"/>
      <c r="N145" s="39">
        <f t="shared" si="59"/>
        <v>50</v>
      </c>
      <c r="O145" s="39">
        <f t="shared" si="59"/>
        <v>22018.642083333336</v>
      </c>
      <c r="P145" s="39">
        <f t="shared" si="59"/>
        <v>157981.35791666666</v>
      </c>
    </row>
    <row r="146" spans="1:18" s="55" customFormat="1" ht="30" customHeight="1" thickBot="1" x14ac:dyDescent="0.3">
      <c r="A146" s="4"/>
      <c r="B146" s="25"/>
      <c r="C146" s="4"/>
      <c r="D146" s="25"/>
      <c r="E146" s="25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8" s="55" customFormat="1" ht="30" customHeight="1" thickBot="1" x14ac:dyDescent="0.3">
      <c r="A147" s="264" t="s">
        <v>174</v>
      </c>
      <c r="B147" s="265"/>
      <c r="C147" s="265"/>
      <c r="D147" s="265"/>
      <c r="E147" s="265"/>
      <c r="F147" s="235"/>
      <c r="G147" s="235"/>
      <c r="H147" s="235"/>
      <c r="I147" s="235"/>
      <c r="J147" s="235"/>
      <c r="K147" s="235"/>
      <c r="L147" s="235"/>
      <c r="M147" s="235"/>
      <c r="N147" s="235"/>
      <c r="O147" s="235"/>
      <c r="P147" s="235"/>
    </row>
    <row r="148" spans="1:18" s="55" customFormat="1" ht="30" customHeight="1" x14ac:dyDescent="0.25">
      <c r="A148" s="81">
        <f>+A144+1</f>
        <v>79</v>
      </c>
      <c r="B148" s="122" t="s">
        <v>276</v>
      </c>
      <c r="C148" s="132" t="s">
        <v>429</v>
      </c>
      <c r="D148" s="133" t="s">
        <v>277</v>
      </c>
      <c r="E148" s="117" t="s">
        <v>123</v>
      </c>
      <c r="F148" s="116">
        <v>126500</v>
      </c>
      <c r="G148" s="88">
        <v>3630.55</v>
      </c>
      <c r="H148" s="88">
        <v>3845.6</v>
      </c>
      <c r="I148" s="88">
        <v>1577.45</v>
      </c>
      <c r="J148" s="83">
        <f t="shared" si="53"/>
        <v>9053.6</v>
      </c>
      <c r="K148" s="83">
        <f t="shared" si="57"/>
        <v>117446.39999999999</v>
      </c>
      <c r="L148" s="83">
        <f>+IF(K148*12&lt;=416220.01,0,IF(K148*12&lt;=624329.01,(((K148*12-416220.01)*0.15)/12),IF((K148*12&lt;=867123.01),(31216+0.2*(K148*12-624329.01))/12,((79776+0.25*(K148*12-867123.01))/12))))-M148</f>
        <v>-2.7083333370683249E-3</v>
      </c>
      <c r="M148" s="83">
        <v>17944.54</v>
      </c>
      <c r="N148" s="90">
        <v>125</v>
      </c>
      <c r="O148" s="116">
        <f t="shared" si="56"/>
        <v>9178.5972916666633</v>
      </c>
      <c r="P148" s="84">
        <f>+F148-O148</f>
        <v>117321.40270833333</v>
      </c>
    </row>
    <row r="149" spans="1:18" s="55" customFormat="1" ht="30" customHeight="1" x14ac:dyDescent="0.25">
      <c r="A149" s="86">
        <f>A148+1</f>
        <v>80</v>
      </c>
      <c r="B149" s="117" t="s">
        <v>278</v>
      </c>
      <c r="C149" s="38" t="s">
        <v>430</v>
      </c>
      <c r="D149" s="118" t="s">
        <v>51</v>
      </c>
      <c r="E149" s="117" t="s">
        <v>123</v>
      </c>
      <c r="F149" s="119">
        <v>90000</v>
      </c>
      <c r="G149" s="119">
        <f>F149*2.87%</f>
        <v>2583</v>
      </c>
      <c r="H149" s="88">
        <f>+F149*3.04%</f>
        <v>2736</v>
      </c>
      <c r="I149" s="88"/>
      <c r="J149" s="83">
        <f t="shared" si="53"/>
        <v>5319</v>
      </c>
      <c r="K149" s="83">
        <f t="shared" si="57"/>
        <v>84681</v>
      </c>
      <c r="L149" s="83">
        <f t="shared" ref="L149:L152" si="60">+IF(K149*12&lt;=416220.01,0,IF(K149*12&lt;=624329.01,(((K149*12-416220.01)*0.15)/12),IF((K149*12&lt;=867123.01),(31216+0.2*(K149*12-624329.01))/12,((79776+0.25*(K149*12-867123.01))/12))))-M149</f>
        <v>-2.7083333334303461E-3</v>
      </c>
      <c r="M149" s="83">
        <v>9753.19</v>
      </c>
      <c r="N149" s="90">
        <v>25</v>
      </c>
      <c r="O149" s="116">
        <f t="shared" si="56"/>
        <v>5343.9972916666666</v>
      </c>
      <c r="P149" s="84">
        <f>+F149-O149</f>
        <v>84656.002708333341</v>
      </c>
    </row>
    <row r="150" spans="1:18" s="49" customFormat="1" ht="30" customHeight="1" x14ac:dyDescent="0.25">
      <c r="A150" s="86">
        <f>+A149+1</f>
        <v>81</v>
      </c>
      <c r="B150" s="117" t="s">
        <v>279</v>
      </c>
      <c r="C150" s="38" t="s">
        <v>430</v>
      </c>
      <c r="D150" s="118" t="s">
        <v>51</v>
      </c>
      <c r="E150" s="117" t="s">
        <v>123</v>
      </c>
      <c r="F150" s="119">
        <v>90000</v>
      </c>
      <c r="G150" s="119">
        <f>F150*2.87%</f>
        <v>2583</v>
      </c>
      <c r="H150" s="88">
        <f>+F150*3.04%</f>
        <v>2736</v>
      </c>
      <c r="I150" s="88"/>
      <c r="J150" s="83">
        <f t="shared" si="53"/>
        <v>5319</v>
      </c>
      <c r="K150" s="83">
        <f t="shared" si="57"/>
        <v>84681</v>
      </c>
      <c r="L150" s="83">
        <f t="shared" si="60"/>
        <v>9753.1872916666671</v>
      </c>
      <c r="M150" s="83"/>
      <c r="N150" s="90">
        <v>25</v>
      </c>
      <c r="O150" s="116">
        <f t="shared" si="56"/>
        <v>15097.187291666667</v>
      </c>
      <c r="P150" s="84">
        <f>+F150-O150</f>
        <v>74902.812708333338</v>
      </c>
      <c r="Q150" s="93"/>
      <c r="R150" s="93"/>
    </row>
    <row r="151" spans="1:18" ht="29.25" customHeight="1" x14ac:dyDescent="0.25">
      <c r="A151" s="81">
        <f>+A150+1</f>
        <v>82</v>
      </c>
      <c r="B151" s="117" t="s">
        <v>142</v>
      </c>
      <c r="C151" s="38" t="s">
        <v>430</v>
      </c>
      <c r="D151" s="118" t="s">
        <v>51</v>
      </c>
      <c r="E151" s="117" t="s">
        <v>123</v>
      </c>
      <c r="F151" s="119">
        <v>80000</v>
      </c>
      <c r="G151" s="119">
        <f>F151*2.87%</f>
        <v>2296</v>
      </c>
      <c r="H151" s="88">
        <f>+F151*3.04%</f>
        <v>2432</v>
      </c>
      <c r="I151" s="88"/>
      <c r="J151" s="83">
        <f t="shared" si="53"/>
        <v>4728</v>
      </c>
      <c r="K151" s="83">
        <f t="shared" si="57"/>
        <v>75272</v>
      </c>
      <c r="L151" s="83">
        <f t="shared" si="60"/>
        <v>6949.5672916666663</v>
      </c>
      <c r="M151" s="83">
        <v>451.37</v>
      </c>
      <c r="N151" s="90">
        <v>1025</v>
      </c>
      <c r="O151" s="116">
        <f t="shared" si="56"/>
        <v>12702.567291666666</v>
      </c>
      <c r="P151" s="84">
        <f>+F151-O151</f>
        <v>67297.432708333334</v>
      </c>
    </row>
    <row r="152" spans="1:18" ht="29.25" customHeight="1" x14ac:dyDescent="0.25">
      <c r="A152" s="86">
        <f>+A151+1</f>
        <v>83</v>
      </c>
      <c r="B152" s="117" t="s">
        <v>71</v>
      </c>
      <c r="C152" s="38" t="s">
        <v>429</v>
      </c>
      <c r="D152" s="118" t="s">
        <v>51</v>
      </c>
      <c r="E152" s="117" t="s">
        <v>123</v>
      </c>
      <c r="F152" s="119">
        <v>80000</v>
      </c>
      <c r="G152" s="119">
        <f>F152*2.87%</f>
        <v>2296</v>
      </c>
      <c r="H152" s="88">
        <f>+F152*3.04%</f>
        <v>2432</v>
      </c>
      <c r="I152" s="88">
        <v>1577.45</v>
      </c>
      <c r="J152" s="83">
        <f t="shared" si="53"/>
        <v>6305.45</v>
      </c>
      <c r="K152" s="83">
        <f t="shared" si="57"/>
        <v>73694.55</v>
      </c>
      <c r="L152" s="83">
        <f t="shared" si="60"/>
        <v>1366.1647916666689</v>
      </c>
      <c r="M152" s="83">
        <v>5640.41</v>
      </c>
      <c r="N152" s="90">
        <v>25</v>
      </c>
      <c r="O152" s="116">
        <f t="shared" si="56"/>
        <v>7696.6147916666687</v>
      </c>
      <c r="P152" s="84">
        <f>+F152-O152</f>
        <v>72303.385208333333</v>
      </c>
    </row>
    <row r="153" spans="1:18" s="55" customFormat="1" ht="30" customHeight="1" x14ac:dyDescent="0.25">
      <c r="A153" s="229" t="s">
        <v>126</v>
      </c>
      <c r="B153" s="230"/>
      <c r="C153" s="230"/>
      <c r="D153" s="230"/>
      <c r="E153" s="231"/>
      <c r="F153" s="39">
        <f t="shared" ref="F153:P153" si="61">SUM(F148:F152)</f>
        <v>466500</v>
      </c>
      <c r="G153" s="39">
        <f t="shared" si="61"/>
        <v>13388.55</v>
      </c>
      <c r="H153" s="39">
        <f t="shared" si="61"/>
        <v>14181.6</v>
      </c>
      <c r="I153" s="39">
        <f t="shared" si="61"/>
        <v>3154.9</v>
      </c>
      <c r="J153" s="39">
        <f t="shared" si="61"/>
        <v>30725.05</v>
      </c>
      <c r="K153" s="39">
        <f t="shared" si="61"/>
        <v>435774.95</v>
      </c>
      <c r="L153" s="39">
        <f t="shared" si="61"/>
        <v>18068.913958333331</v>
      </c>
      <c r="M153" s="39">
        <f t="shared" si="61"/>
        <v>33789.51</v>
      </c>
      <c r="N153" s="39">
        <f t="shared" si="61"/>
        <v>1225</v>
      </c>
      <c r="O153" s="39">
        <f t="shared" si="61"/>
        <v>50018.963958333334</v>
      </c>
      <c r="P153" s="39">
        <f t="shared" si="61"/>
        <v>416481.0360416667</v>
      </c>
    </row>
    <row r="154" spans="1:18" s="49" customFormat="1" ht="47.45" customHeight="1" thickBot="1" x14ac:dyDescent="0.3">
      <c r="A154" s="52"/>
      <c r="B154" s="52"/>
      <c r="C154" s="52"/>
      <c r="D154" s="52"/>
      <c r="E154" s="5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93"/>
      <c r="R154" s="93"/>
    </row>
    <row r="155" spans="1:18" s="49" customFormat="1" ht="37.5" customHeight="1" thickBot="1" x14ac:dyDescent="0.3">
      <c r="A155" s="232" t="s">
        <v>175</v>
      </c>
      <c r="B155" s="233"/>
      <c r="C155" s="233"/>
      <c r="D155" s="233"/>
      <c r="E155" s="233"/>
      <c r="F155" s="233"/>
      <c r="G155" s="233"/>
      <c r="H155" s="233"/>
      <c r="I155" s="233"/>
      <c r="J155" s="233"/>
      <c r="K155" s="233"/>
      <c r="L155" s="233"/>
      <c r="M155" s="233"/>
      <c r="N155" s="233"/>
      <c r="O155" s="233"/>
      <c r="P155" s="233"/>
      <c r="Q155" s="93"/>
      <c r="R155" s="93"/>
    </row>
    <row r="156" spans="1:18" customFormat="1" ht="27" customHeight="1" x14ac:dyDescent="0.25">
      <c r="A156" s="86">
        <f>+A152+1</f>
        <v>84</v>
      </c>
      <c r="B156" s="117" t="s">
        <v>72</v>
      </c>
      <c r="C156" s="38" t="s">
        <v>430</v>
      </c>
      <c r="D156" s="118" t="s">
        <v>204</v>
      </c>
      <c r="E156" s="117" t="s">
        <v>123</v>
      </c>
      <c r="F156" s="119">
        <v>148500</v>
      </c>
      <c r="G156" s="88">
        <v>4261.95</v>
      </c>
      <c r="H156" s="88">
        <v>4514.3999999999996</v>
      </c>
      <c r="I156" s="88"/>
      <c r="J156" s="83">
        <f t="shared" si="53"/>
        <v>8776.3499999999985</v>
      </c>
      <c r="K156" s="83">
        <f t="shared" si="57"/>
        <v>139723.65</v>
      </c>
      <c r="L156" s="83">
        <f>+IF(K156*12&lt;=416220.01,0,IF(K156*12&lt;=624329.01,(((K156*12-416220.01)*0.15)/12),IF((K156*12&lt;=867123.01),(31216+0.2*(K156*12-624329.01))/12,((79776+0.25*(K156*12-867123.01))/12))))-M156</f>
        <v>23513.849791666664</v>
      </c>
      <c r="M156" s="83"/>
      <c r="N156" s="90">
        <v>11277.87</v>
      </c>
      <c r="O156" s="116">
        <f t="shared" si="56"/>
        <v>43568.069791666669</v>
      </c>
      <c r="P156" s="90">
        <f>+F156-O156</f>
        <v>104931.93020833333</v>
      </c>
    </row>
    <row r="157" spans="1:18" s="41" customFormat="1" ht="30" customHeight="1" x14ac:dyDescent="0.25">
      <c r="A157" s="38">
        <f>+A156+1</f>
        <v>85</v>
      </c>
      <c r="B157" s="117" t="s">
        <v>470</v>
      </c>
      <c r="C157" s="38" t="s">
        <v>430</v>
      </c>
      <c r="D157" s="118" t="s">
        <v>66</v>
      </c>
      <c r="E157" s="117" t="s">
        <v>233</v>
      </c>
      <c r="F157" s="119">
        <v>50000</v>
      </c>
      <c r="G157" s="88">
        <f>+F157*2.87%</f>
        <v>1435</v>
      </c>
      <c r="H157" s="88">
        <f>+F157*3.04%</f>
        <v>1520</v>
      </c>
      <c r="I157" s="88"/>
      <c r="J157" s="83">
        <f t="shared" si="53"/>
        <v>2955</v>
      </c>
      <c r="K157" s="83">
        <f t="shared" si="57"/>
        <v>47045</v>
      </c>
      <c r="L157" s="83">
        <f>+IF(K157*12&lt;=416220.01,0,IF(K157*12&lt;=624329.01,(((K157*12-416220.01)*0.15)/12),IF((K157*12&lt;=867123.01),(31216+0.2*(K157*12-624329.01))/12,((79776+0.25*(K157*12-867123.01))/12))))-M157</f>
        <v>-1.2500000025283953E-4</v>
      </c>
      <c r="M157" s="83">
        <v>1854</v>
      </c>
      <c r="N157" s="90">
        <v>25</v>
      </c>
      <c r="O157" s="116">
        <f t="shared" si="56"/>
        <v>2979.9998749999995</v>
      </c>
      <c r="P157" s="90">
        <f>+F157-O157</f>
        <v>47020.000124999999</v>
      </c>
      <c r="Q157" s="55"/>
      <c r="R157" s="55"/>
    </row>
    <row r="158" spans="1:18" s="55" customFormat="1" ht="30" customHeight="1" x14ac:dyDescent="0.25">
      <c r="A158" s="229" t="s">
        <v>126</v>
      </c>
      <c r="B158" s="230"/>
      <c r="C158" s="230"/>
      <c r="D158" s="230"/>
      <c r="E158" s="231"/>
      <c r="F158" s="39">
        <f>SUM(F156:F157)</f>
        <v>198500</v>
      </c>
      <c r="G158" s="39">
        <f t="shared" ref="G158:P158" si="62">SUM(G156:G157)</f>
        <v>5696.95</v>
      </c>
      <c r="H158" s="39">
        <f t="shared" si="62"/>
        <v>6034.4</v>
      </c>
      <c r="I158" s="39">
        <f t="shared" si="62"/>
        <v>0</v>
      </c>
      <c r="J158" s="39">
        <f t="shared" si="62"/>
        <v>11731.349999999999</v>
      </c>
      <c r="K158" s="39">
        <f t="shared" si="62"/>
        <v>186768.65</v>
      </c>
      <c r="L158" s="39">
        <f t="shared" si="62"/>
        <v>23513.849666666665</v>
      </c>
      <c r="M158" s="39">
        <f t="shared" si="62"/>
        <v>1854</v>
      </c>
      <c r="N158" s="39">
        <f t="shared" si="62"/>
        <v>11302.87</v>
      </c>
      <c r="O158" s="39">
        <f t="shared" si="62"/>
        <v>46548.06966666667</v>
      </c>
      <c r="P158" s="39">
        <f t="shared" si="62"/>
        <v>151951.93033333332</v>
      </c>
    </row>
    <row r="159" spans="1:18" s="55" customFormat="1" ht="30" customHeight="1" thickBot="1" x14ac:dyDescent="0.3">
      <c r="A159"/>
      <c r="B159"/>
      <c r="C159" s="147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8" s="55" customFormat="1" ht="30" customHeight="1" thickBot="1" x14ac:dyDescent="0.3">
      <c r="A160" s="264" t="s">
        <v>176</v>
      </c>
      <c r="B160" s="265"/>
      <c r="C160" s="265"/>
      <c r="D160" s="265"/>
      <c r="E160" s="265"/>
      <c r="F160" s="235"/>
      <c r="G160" s="235"/>
      <c r="H160" s="235"/>
      <c r="I160" s="235"/>
      <c r="J160" s="235"/>
      <c r="K160" s="235"/>
      <c r="L160" s="235"/>
      <c r="M160" s="235"/>
      <c r="N160" s="235"/>
      <c r="O160" s="235"/>
      <c r="P160" s="235"/>
    </row>
    <row r="161" spans="1:18" s="33" customFormat="1" ht="30" customHeight="1" x14ac:dyDescent="0.25">
      <c r="A161" s="86">
        <f>+A157+1</f>
        <v>86</v>
      </c>
      <c r="B161" s="117" t="s">
        <v>192</v>
      </c>
      <c r="C161" s="38" t="s">
        <v>430</v>
      </c>
      <c r="D161" s="118" t="s">
        <v>51</v>
      </c>
      <c r="E161" s="117" t="s">
        <v>123</v>
      </c>
      <c r="F161" s="119">
        <v>100000</v>
      </c>
      <c r="G161" s="119">
        <f>F161*2.87%</f>
        <v>2870</v>
      </c>
      <c r="H161" s="88">
        <f>+F161*3.04%</f>
        <v>3040</v>
      </c>
      <c r="I161" s="88">
        <v>3154.9</v>
      </c>
      <c r="J161" s="83">
        <f t="shared" si="53"/>
        <v>9064.9</v>
      </c>
      <c r="K161" s="83">
        <f t="shared" si="57"/>
        <v>90935.1</v>
      </c>
      <c r="L161" s="83">
        <f>+IF(K161*12&lt;=416220.01,0,IF(K161*12&lt;=624329.01,(((K161*12-416220.01)*0.15)/12),IF((K161*12&lt;=867123.01),(31216+0.2*(K161*12-624329.01))/12,((79776+0.25*(K161*12-867123.01))/12))))-M161</f>
        <v>9190.8522916666698</v>
      </c>
      <c r="M161" s="83">
        <v>2125.86</v>
      </c>
      <c r="N161" s="90">
        <v>25</v>
      </c>
      <c r="O161" s="116">
        <f t="shared" si="56"/>
        <v>18280.752291666671</v>
      </c>
      <c r="P161" s="84">
        <f>+F161-O161</f>
        <v>81719.247708333336</v>
      </c>
    </row>
    <row r="162" spans="1:18" s="41" customFormat="1" ht="30" customHeight="1" x14ac:dyDescent="0.25">
      <c r="A162" s="86">
        <f>+A161+1</f>
        <v>87</v>
      </c>
      <c r="B162" s="117" t="s">
        <v>281</v>
      </c>
      <c r="C162" s="38" t="s">
        <v>430</v>
      </c>
      <c r="D162" s="118" t="s">
        <v>51</v>
      </c>
      <c r="E162" s="117" t="s">
        <v>123</v>
      </c>
      <c r="F162" s="119">
        <v>95000</v>
      </c>
      <c r="G162" s="119">
        <f>F162*2.87%</f>
        <v>2726.5</v>
      </c>
      <c r="H162" s="88">
        <f>+F162*3.04%</f>
        <v>2888</v>
      </c>
      <c r="I162" s="88"/>
      <c r="J162" s="83">
        <f t="shared" si="53"/>
        <v>5614.5</v>
      </c>
      <c r="K162" s="83">
        <f t="shared" si="57"/>
        <v>89385.5</v>
      </c>
      <c r="L162" s="83">
        <f t="shared" ref="L162:L164" si="63">+IF(K162*12&lt;=416220.01,0,IF(K162*12&lt;=624329.01,(((K162*12-416220.01)*0.15)/12),IF((K162*12&lt;=867123.01),(31216+0.2*(K162*12-624329.01))/12,((79776+0.25*(K162*12-867123.01))/12))))-M162</f>
        <v>10929.312291666667</v>
      </c>
      <c r="M162" s="83"/>
      <c r="N162" s="90">
        <v>25</v>
      </c>
      <c r="O162" s="116">
        <f t="shared" si="56"/>
        <v>16568.812291666669</v>
      </c>
      <c r="P162" s="84">
        <f>+F162-O162</f>
        <v>78431.187708333338</v>
      </c>
      <c r="Q162" s="55"/>
      <c r="R162" s="55"/>
    </row>
    <row r="163" spans="1:18" s="41" customFormat="1" ht="30" customHeight="1" x14ac:dyDescent="0.25">
      <c r="A163" s="86">
        <f>+A162+1</f>
        <v>88</v>
      </c>
      <c r="B163" s="117" t="s">
        <v>282</v>
      </c>
      <c r="C163" s="38" t="s">
        <v>429</v>
      </c>
      <c r="D163" s="118" t="s">
        <v>51</v>
      </c>
      <c r="E163" s="117" t="s">
        <v>123</v>
      </c>
      <c r="F163" s="119">
        <v>90000</v>
      </c>
      <c r="G163" s="119">
        <f>F163*2.87%</f>
        <v>2583</v>
      </c>
      <c r="H163" s="88">
        <f>F163*3.04%</f>
        <v>2736</v>
      </c>
      <c r="I163" s="88"/>
      <c r="J163" s="83">
        <f t="shared" si="53"/>
        <v>5319</v>
      </c>
      <c r="K163" s="83">
        <f t="shared" si="57"/>
        <v>84681</v>
      </c>
      <c r="L163" s="83">
        <f t="shared" si="63"/>
        <v>9753.1872916666671</v>
      </c>
      <c r="M163" s="83"/>
      <c r="N163" s="90">
        <v>25</v>
      </c>
      <c r="O163" s="116">
        <f t="shared" si="56"/>
        <v>15097.187291666667</v>
      </c>
      <c r="P163" s="84">
        <f>+F163-O163</f>
        <v>74902.812708333338</v>
      </c>
      <c r="Q163" s="55" t="s">
        <v>628</v>
      </c>
      <c r="R163" s="55"/>
    </row>
    <row r="164" spans="1:18" s="41" customFormat="1" ht="30" customHeight="1" x14ac:dyDescent="0.25">
      <c r="A164" s="81">
        <f>+A163+1</f>
        <v>89</v>
      </c>
      <c r="B164" s="117" t="s">
        <v>47</v>
      </c>
      <c r="C164" s="38" t="s">
        <v>429</v>
      </c>
      <c r="D164" s="117" t="s">
        <v>51</v>
      </c>
      <c r="E164" s="117" t="s">
        <v>122</v>
      </c>
      <c r="F164" s="119">
        <v>80000</v>
      </c>
      <c r="G164" s="119">
        <f>F164*2.87%</f>
        <v>2296</v>
      </c>
      <c r="H164" s="88">
        <f>+F164*3.04%</f>
        <v>2432</v>
      </c>
      <c r="I164" s="88">
        <v>1577.45</v>
      </c>
      <c r="J164" s="83">
        <f t="shared" si="53"/>
        <v>6305.45</v>
      </c>
      <c r="K164" s="83">
        <f t="shared" si="57"/>
        <v>73694.55</v>
      </c>
      <c r="L164" s="83">
        <f t="shared" si="63"/>
        <v>6367.0147916666683</v>
      </c>
      <c r="M164" s="83">
        <v>639.55999999999995</v>
      </c>
      <c r="N164" s="90">
        <v>125</v>
      </c>
      <c r="O164" s="116">
        <f t="shared" si="56"/>
        <v>12797.464791666669</v>
      </c>
      <c r="P164" s="84">
        <f>+F164-O164</f>
        <v>67202.535208333327</v>
      </c>
      <c r="Q164" s="55"/>
      <c r="R164" s="55"/>
    </row>
    <row r="165" spans="1:18" s="41" customFormat="1" ht="30" customHeight="1" x14ac:dyDescent="0.25">
      <c r="A165" s="229" t="s">
        <v>126</v>
      </c>
      <c r="B165" s="230"/>
      <c r="C165" s="230"/>
      <c r="D165" s="230"/>
      <c r="E165" s="231"/>
      <c r="F165" s="39">
        <f t="shared" ref="F165:P165" si="64">SUM(F161:F164)</f>
        <v>365000</v>
      </c>
      <c r="G165" s="39">
        <f t="shared" si="64"/>
        <v>10475.5</v>
      </c>
      <c r="H165" s="39">
        <f t="shared" si="64"/>
        <v>11096</v>
      </c>
      <c r="I165" s="39">
        <f t="shared" si="64"/>
        <v>4732.3500000000004</v>
      </c>
      <c r="J165" s="39">
        <f t="shared" si="64"/>
        <v>26303.850000000002</v>
      </c>
      <c r="K165" s="39">
        <f t="shared" si="64"/>
        <v>338696.14999999997</v>
      </c>
      <c r="L165" s="39">
        <f t="shared" si="64"/>
        <v>36240.366666666676</v>
      </c>
      <c r="M165" s="39">
        <f t="shared" si="64"/>
        <v>2765.42</v>
      </c>
      <c r="N165" s="39">
        <f t="shared" si="64"/>
        <v>200</v>
      </c>
      <c r="O165" s="39">
        <f t="shared" si="64"/>
        <v>62744.216666666674</v>
      </c>
      <c r="P165" s="39">
        <f t="shared" si="64"/>
        <v>302255.78333333333</v>
      </c>
      <c r="Q165" s="55"/>
      <c r="R165" s="55"/>
    </row>
    <row r="166" spans="1:18" s="55" customFormat="1" ht="30" customHeight="1" thickBot="1" x14ac:dyDescent="0.3">
      <c r="A166" s="41"/>
      <c r="B166" s="41"/>
      <c r="C166" s="43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</row>
    <row r="167" spans="1:18" s="41" customFormat="1" ht="30" customHeight="1" thickBot="1" x14ac:dyDescent="0.3">
      <c r="A167" s="232" t="s">
        <v>295</v>
      </c>
      <c r="B167" s="233"/>
      <c r="C167" s="233"/>
      <c r="D167" s="233"/>
      <c r="E167" s="233"/>
      <c r="F167" s="233"/>
      <c r="G167" s="233"/>
      <c r="H167" s="233"/>
      <c r="I167" s="233"/>
      <c r="J167" s="233"/>
      <c r="K167" s="233"/>
      <c r="L167" s="233"/>
      <c r="M167" s="233"/>
      <c r="N167" s="233"/>
      <c r="O167" s="233"/>
      <c r="P167" s="233"/>
      <c r="Q167" s="55"/>
      <c r="R167" s="55"/>
    </row>
    <row r="168" spans="1:18" s="41" customFormat="1" ht="30" customHeight="1" thickBot="1" x14ac:dyDescent="0.3">
      <c r="A168" s="232" t="s">
        <v>296</v>
      </c>
      <c r="B168" s="233"/>
      <c r="C168" s="233"/>
      <c r="D168" s="233"/>
      <c r="E168" s="233"/>
      <c r="F168" s="233"/>
      <c r="G168" s="233"/>
      <c r="H168" s="233"/>
      <c r="I168" s="233"/>
      <c r="J168" s="233"/>
      <c r="K168" s="233"/>
      <c r="L168" s="233"/>
      <c r="M168" s="233"/>
      <c r="N168" s="233"/>
      <c r="O168" s="233"/>
      <c r="P168" s="233"/>
      <c r="Q168" s="55"/>
      <c r="R168" s="55"/>
    </row>
    <row r="169" spans="1:18" s="49" customFormat="1" ht="30.75" customHeight="1" x14ac:dyDescent="0.25">
      <c r="A169" s="86">
        <f>A164+1</f>
        <v>90</v>
      </c>
      <c r="B169" s="117" t="s">
        <v>284</v>
      </c>
      <c r="C169" s="38" t="s">
        <v>430</v>
      </c>
      <c r="D169" s="136" t="s">
        <v>605</v>
      </c>
      <c r="E169" s="117" t="s">
        <v>122</v>
      </c>
      <c r="F169" s="119">
        <v>120000</v>
      </c>
      <c r="G169" s="119">
        <f>F169*2.87%</f>
        <v>3444</v>
      </c>
      <c r="H169" s="88">
        <f>+F169*3.04%</f>
        <v>3648</v>
      </c>
      <c r="I169" s="88"/>
      <c r="J169" s="83">
        <f t="shared" si="53"/>
        <v>7092</v>
      </c>
      <c r="K169" s="83">
        <f t="shared" si="57"/>
        <v>112908</v>
      </c>
      <c r="L169" s="83">
        <f>+IF(K169*12&lt;=416220.01,0,IF(K169*12&lt;=624329.01,(((K169*12-416220.01)*0.15)/12),IF((K169*12&lt;=867123.01),(31216+0.2*(K169*12-624329.01))/12,((79776+0.25*(K169*12-867123.01))/12))))-M169</f>
        <v>16809.937291666665</v>
      </c>
      <c r="M169" s="83"/>
      <c r="N169" s="90">
        <v>25</v>
      </c>
      <c r="O169" s="116">
        <f t="shared" si="56"/>
        <v>23926.937291666665</v>
      </c>
      <c r="P169" s="90">
        <f>+F169-O169</f>
        <v>96073.062708333338</v>
      </c>
      <c r="Q169" s="93"/>
      <c r="R169" s="93"/>
    </row>
    <row r="170" spans="1:18" s="49" customFormat="1" ht="30.75" customHeight="1" x14ac:dyDescent="0.25">
      <c r="A170" s="169">
        <f>+A169+1</f>
        <v>91</v>
      </c>
      <c r="B170" s="123" t="s">
        <v>604</v>
      </c>
      <c r="C170" s="188" t="s">
        <v>430</v>
      </c>
      <c r="D170" s="136" t="s">
        <v>283</v>
      </c>
      <c r="E170" s="117" t="s">
        <v>122</v>
      </c>
      <c r="F170" s="119">
        <v>90000</v>
      </c>
      <c r="G170" s="119">
        <f>F170*2.87%</f>
        <v>2583</v>
      </c>
      <c r="H170" s="88">
        <f>+F170*3.04%</f>
        <v>2736</v>
      </c>
      <c r="I170" s="88"/>
      <c r="J170" s="83">
        <f t="shared" si="53"/>
        <v>5319</v>
      </c>
      <c r="K170" s="83">
        <f t="shared" si="57"/>
        <v>84681</v>
      </c>
      <c r="L170" s="83">
        <f>+IF(K170*12&lt;=416220.01,0,IF(K170*12&lt;=624329.01,(((K170*12-416220.01)*0.15)/12),IF((K170*12&lt;=867123.01),(31216+0.2*(K170*12-624329.01))/12,((79776+0.25*(K170*12-867123.01))/12))))-M170</f>
        <v>-2.7083333334303461E-3</v>
      </c>
      <c r="M170" s="83">
        <v>9753.19</v>
      </c>
      <c r="N170" s="90">
        <v>25</v>
      </c>
      <c r="O170" s="116">
        <f t="shared" si="56"/>
        <v>5343.9972916666666</v>
      </c>
      <c r="P170" s="90">
        <f>+F170-O170</f>
        <v>84656.002708333341</v>
      </c>
      <c r="Q170" s="93"/>
      <c r="R170" s="93"/>
    </row>
    <row r="171" spans="1:18" s="55" customFormat="1" ht="30" customHeight="1" x14ac:dyDescent="0.25">
      <c r="A171" s="229" t="s">
        <v>126</v>
      </c>
      <c r="B171" s="230"/>
      <c r="C171" s="230"/>
      <c r="D171" s="230"/>
      <c r="E171" s="231"/>
      <c r="F171" s="39">
        <f>SUM(F169:F170)</f>
        <v>210000</v>
      </c>
      <c r="G171" s="39">
        <f t="shared" ref="G171:P171" si="65">SUM(G169:G170)</f>
        <v>6027</v>
      </c>
      <c r="H171" s="39">
        <f t="shared" si="65"/>
        <v>6384</v>
      </c>
      <c r="I171" s="39">
        <f t="shared" si="65"/>
        <v>0</v>
      </c>
      <c r="J171" s="39">
        <f t="shared" si="65"/>
        <v>12411</v>
      </c>
      <c r="K171" s="39">
        <f t="shared" si="65"/>
        <v>197589</v>
      </c>
      <c r="L171" s="39">
        <f t="shared" si="65"/>
        <v>16809.934583333332</v>
      </c>
      <c r="M171" s="39">
        <f t="shared" si="65"/>
        <v>9753.19</v>
      </c>
      <c r="N171" s="39">
        <f t="shared" si="65"/>
        <v>50</v>
      </c>
      <c r="O171" s="39">
        <f t="shared" si="65"/>
        <v>29270.934583333332</v>
      </c>
      <c r="P171" s="39">
        <f t="shared" si="65"/>
        <v>180729.06541666668</v>
      </c>
    </row>
    <row r="172" spans="1:18" s="41" customFormat="1" ht="30" customHeight="1" thickBot="1" x14ac:dyDescent="0.3">
      <c r="C172" s="43"/>
      <c r="Q172" s="55"/>
      <c r="R172" s="55"/>
    </row>
    <row r="173" spans="1:18" s="41" customFormat="1" ht="24" customHeight="1" thickBot="1" x14ac:dyDescent="0.3">
      <c r="A173" s="232" t="s">
        <v>91</v>
      </c>
      <c r="B173" s="233"/>
      <c r="C173" s="233"/>
      <c r="D173" s="233"/>
      <c r="E173" s="233"/>
      <c r="F173" s="233"/>
      <c r="G173" s="233"/>
      <c r="H173" s="233"/>
      <c r="I173" s="233"/>
      <c r="J173" s="233"/>
      <c r="K173" s="233"/>
      <c r="L173" s="233"/>
      <c r="M173" s="233"/>
      <c r="N173" s="233"/>
      <c r="O173" s="233"/>
      <c r="P173" s="233"/>
      <c r="Q173" s="55"/>
      <c r="R173" s="55"/>
    </row>
    <row r="174" spans="1:18" s="55" customFormat="1" ht="51" customHeight="1" x14ac:dyDescent="0.25">
      <c r="A174" s="86">
        <f>+A170+1</f>
        <v>92</v>
      </c>
      <c r="B174" s="117" t="s">
        <v>77</v>
      </c>
      <c r="C174" s="38" t="s">
        <v>429</v>
      </c>
      <c r="D174" s="136" t="s">
        <v>606</v>
      </c>
      <c r="E174" s="117" t="s">
        <v>122</v>
      </c>
      <c r="F174" s="116">
        <v>120000</v>
      </c>
      <c r="G174" s="83">
        <f>F174*2.87%</f>
        <v>3444</v>
      </c>
      <c r="H174" s="83">
        <f>+F174*3.04%</f>
        <v>3648</v>
      </c>
      <c r="I174" s="83"/>
      <c r="J174" s="83">
        <f t="shared" si="53"/>
        <v>7092</v>
      </c>
      <c r="K174" s="83">
        <f t="shared" si="57"/>
        <v>112908</v>
      </c>
      <c r="L174" s="83">
        <f>+IF(K174*12&lt;=416220.01,0,IF(K174*12&lt;=624329.01,(((K174*12-416220.01)*0.15)/12),IF((K174*12&lt;=867123.01),(31216+0.2*(K174*12-624329.01))/12,((79776+0.25*(K174*12-867123.01))/12))))-M174</f>
        <v>16170.387291666666</v>
      </c>
      <c r="M174" s="83">
        <v>639.54999999999995</v>
      </c>
      <c r="N174" s="90">
        <v>125</v>
      </c>
      <c r="O174" s="116">
        <f t="shared" si="56"/>
        <v>23387.387291666666</v>
      </c>
      <c r="P174" s="90">
        <f>+F174-O174</f>
        <v>96612.612708333327</v>
      </c>
    </row>
    <row r="175" spans="1:18" s="55" customFormat="1" ht="30" customHeight="1" thickBot="1" x14ac:dyDescent="0.3">
      <c r="A175" s="229" t="s">
        <v>126</v>
      </c>
      <c r="B175" s="230"/>
      <c r="C175" s="230"/>
      <c r="D175" s="230"/>
      <c r="E175" s="231"/>
      <c r="F175" s="39">
        <f t="shared" ref="F175:P175" si="66">SUM(F174:F174)</f>
        <v>120000</v>
      </c>
      <c r="G175" s="39">
        <f t="shared" si="66"/>
        <v>3444</v>
      </c>
      <c r="H175" s="39">
        <f t="shared" si="66"/>
        <v>3648</v>
      </c>
      <c r="I175" s="39">
        <f t="shared" si="66"/>
        <v>0</v>
      </c>
      <c r="J175" s="39">
        <f t="shared" si="66"/>
        <v>7092</v>
      </c>
      <c r="K175" s="39">
        <f t="shared" si="66"/>
        <v>112908</v>
      </c>
      <c r="L175" s="39">
        <f t="shared" si="66"/>
        <v>16170.387291666666</v>
      </c>
      <c r="M175" s="39">
        <f t="shared" si="66"/>
        <v>639.54999999999995</v>
      </c>
      <c r="N175" s="39">
        <f t="shared" si="66"/>
        <v>125</v>
      </c>
      <c r="O175" s="39">
        <f t="shared" si="66"/>
        <v>23387.387291666666</v>
      </c>
      <c r="P175" s="39">
        <f t="shared" si="66"/>
        <v>96612.612708333327</v>
      </c>
    </row>
    <row r="176" spans="1:18" s="55" customFormat="1" ht="30" customHeight="1" thickBot="1" x14ac:dyDescent="0.3">
      <c r="A176" s="232" t="s">
        <v>92</v>
      </c>
      <c r="B176" s="233"/>
      <c r="C176" s="233"/>
      <c r="D176" s="233"/>
      <c r="E176" s="233"/>
      <c r="F176" s="233"/>
      <c r="G176" s="233"/>
      <c r="H176" s="233"/>
      <c r="I176" s="233"/>
      <c r="J176" s="233"/>
      <c r="K176" s="233"/>
      <c r="L176" s="233"/>
      <c r="M176" s="233"/>
      <c r="N176" s="233"/>
      <c r="O176" s="233"/>
      <c r="P176" s="233"/>
    </row>
    <row r="177" spans="1:18" s="41" customFormat="1" ht="30" customHeight="1" x14ac:dyDescent="0.25">
      <c r="A177" s="81">
        <f>+A174+1</f>
        <v>93</v>
      </c>
      <c r="B177" s="122" t="s">
        <v>285</v>
      </c>
      <c r="C177" s="132" t="s">
        <v>430</v>
      </c>
      <c r="D177" s="133" t="s">
        <v>475</v>
      </c>
      <c r="E177" s="117" t="s">
        <v>123</v>
      </c>
      <c r="F177" s="116">
        <v>170500</v>
      </c>
      <c r="G177" s="88">
        <v>4893.3500000000004</v>
      </c>
      <c r="H177" s="116">
        <f>+F177*3.04%</f>
        <v>5183.2</v>
      </c>
      <c r="I177" s="88">
        <v>1577.45</v>
      </c>
      <c r="J177" s="83">
        <f t="shared" si="53"/>
        <v>11654</v>
      </c>
      <c r="K177" s="83">
        <f t="shared" si="57"/>
        <v>158846</v>
      </c>
      <c r="L177" s="83">
        <f>+IF(K177*12&lt;=416220.01,0,IF(K177*12&lt;=624329.01,(((K177*12-416220.01)*0.15)/12),IF((K177*12&lt;=867123.01),(31216+0.2*(K177*12-624329.01))/12,((79776+0.25*(K177*12-867123.01))/12))))-M177</f>
        <v>2894.387291666666</v>
      </c>
      <c r="M177" s="83">
        <v>25400.05</v>
      </c>
      <c r="N177" s="90">
        <v>25</v>
      </c>
      <c r="O177" s="116">
        <f t="shared" si="56"/>
        <v>14573.387291666666</v>
      </c>
      <c r="P177" s="90">
        <f>+F177-O177</f>
        <v>155926.61270833333</v>
      </c>
      <c r="Q177" s="55"/>
      <c r="R177" s="55"/>
    </row>
    <row r="178" spans="1:18" s="41" customFormat="1" ht="25.5" customHeight="1" x14ac:dyDescent="0.25">
      <c r="A178" s="81">
        <f>+A177+1</f>
        <v>94</v>
      </c>
      <c r="B178" s="122" t="s">
        <v>14</v>
      </c>
      <c r="C178" s="132" t="s">
        <v>430</v>
      </c>
      <c r="D178" s="158" t="s">
        <v>108</v>
      </c>
      <c r="E178" s="122" t="s">
        <v>200</v>
      </c>
      <c r="F178" s="116">
        <v>135000</v>
      </c>
      <c r="G178" s="116">
        <f>F178*2.87%</f>
        <v>3874.5</v>
      </c>
      <c r="H178" s="116">
        <f>+F178*3.04%</f>
        <v>4104</v>
      </c>
      <c r="I178" s="116"/>
      <c r="J178" s="83">
        <f t="shared" si="53"/>
        <v>7978.5</v>
      </c>
      <c r="K178" s="83">
        <f t="shared" si="57"/>
        <v>127021.5</v>
      </c>
      <c r="L178" s="83">
        <f>+IF(K178*12&lt;=416220.01,0,IF(K178*12&lt;=624329.01,(((K178*12-416220.01)*0.15)/12),IF((K178*12&lt;=867123.01),(31216+0.2*(K178*12-624329.01))/12,((79776+0.25*(K178*12-867123.01))/12))))-M178</f>
        <v>20338.312291666665</v>
      </c>
      <c r="M178" s="83"/>
      <c r="N178" s="120">
        <v>25</v>
      </c>
      <c r="O178" s="116">
        <f t="shared" si="56"/>
        <v>28341.812291666665</v>
      </c>
      <c r="P178" s="120">
        <f>+F178-O178</f>
        <v>106658.18770833334</v>
      </c>
      <c r="Q178" s="55"/>
      <c r="R178" s="55"/>
    </row>
    <row r="179" spans="1:18" s="55" customFormat="1" ht="30" customHeight="1" x14ac:dyDescent="0.25">
      <c r="A179" s="229" t="s">
        <v>126</v>
      </c>
      <c r="B179" s="230"/>
      <c r="C179" s="230"/>
      <c r="D179" s="230"/>
      <c r="E179" s="231"/>
      <c r="F179" s="39">
        <f>SUM(F177:F178)</f>
        <v>305500</v>
      </c>
      <c r="G179" s="39">
        <f t="shared" ref="G179:P179" si="67">SUM(G177:G178)</f>
        <v>8767.85</v>
      </c>
      <c r="H179" s="39">
        <f t="shared" si="67"/>
        <v>9287.2000000000007</v>
      </c>
      <c r="I179" s="39">
        <f t="shared" si="67"/>
        <v>1577.45</v>
      </c>
      <c r="J179" s="39">
        <f t="shared" si="67"/>
        <v>19632.5</v>
      </c>
      <c r="K179" s="39">
        <f t="shared" si="67"/>
        <v>285867.5</v>
      </c>
      <c r="L179" s="39">
        <f t="shared" si="67"/>
        <v>23232.699583333331</v>
      </c>
      <c r="M179" s="39">
        <f t="shared" si="67"/>
        <v>25400.05</v>
      </c>
      <c r="N179" s="39">
        <f t="shared" si="67"/>
        <v>50</v>
      </c>
      <c r="O179" s="39">
        <f t="shared" si="67"/>
        <v>42915.199583333335</v>
      </c>
      <c r="P179" s="39">
        <f t="shared" si="67"/>
        <v>262584.80041666667</v>
      </c>
    </row>
    <row r="180" spans="1:18" s="55" customFormat="1" ht="30" customHeight="1" thickBot="1" x14ac:dyDescent="0.3">
      <c r="A180" s="52"/>
      <c r="B180" s="52"/>
      <c r="C180" s="52"/>
      <c r="D180" s="52"/>
      <c r="E180" s="52"/>
      <c r="F180"/>
      <c r="G180"/>
      <c r="H180"/>
      <c r="I180"/>
      <c r="J180"/>
      <c r="K180"/>
      <c r="L180"/>
      <c r="M180"/>
      <c r="N180"/>
      <c r="O180"/>
      <c r="P180"/>
    </row>
    <row r="181" spans="1:18" s="55" customFormat="1" ht="30" customHeight="1" thickBot="1" x14ac:dyDescent="0.3">
      <c r="A181" s="232" t="s">
        <v>294</v>
      </c>
      <c r="B181" s="233"/>
      <c r="C181" s="233"/>
      <c r="D181" s="233"/>
      <c r="E181" s="233"/>
      <c r="F181" s="233"/>
      <c r="G181" s="233"/>
      <c r="H181" s="233"/>
      <c r="I181" s="233"/>
      <c r="J181" s="233"/>
      <c r="K181" s="233"/>
      <c r="L181" s="233"/>
      <c r="M181" s="233"/>
      <c r="N181" s="233"/>
      <c r="O181" s="233"/>
      <c r="P181" s="233"/>
    </row>
    <row r="182" spans="1:18" s="55" customFormat="1" ht="30" customHeight="1" x14ac:dyDescent="0.25">
      <c r="A182" s="81">
        <f>+A178+1</f>
        <v>95</v>
      </c>
      <c r="B182" s="117" t="s">
        <v>15</v>
      </c>
      <c r="C182" s="132" t="s">
        <v>430</v>
      </c>
      <c r="D182" s="133" t="s">
        <v>571</v>
      </c>
      <c r="E182" s="117" t="s">
        <v>122</v>
      </c>
      <c r="F182" s="119">
        <v>110000</v>
      </c>
      <c r="G182" s="119">
        <f>F182*2.87%</f>
        <v>3157</v>
      </c>
      <c r="H182" s="88">
        <f>+F182*3.04%</f>
        <v>3344</v>
      </c>
      <c r="I182" s="88"/>
      <c r="J182" s="83">
        <f t="shared" si="53"/>
        <v>6501</v>
      </c>
      <c r="K182" s="83">
        <f t="shared" si="57"/>
        <v>103499</v>
      </c>
      <c r="L182" s="83">
        <f>+IF(K182*12&lt;=416220.01,0,IF(K182*12&lt;=624329.01,(((K182*12-416220.01)*0.15)/12),IF((K182*12&lt;=867123.01),(31216+0.2*(K182*12-624329.01))/12,((79776+0.25*(K182*12-867123.01))/12))))-M182</f>
        <v>14457.687291666667</v>
      </c>
      <c r="M182" s="83"/>
      <c r="N182" s="84">
        <v>25</v>
      </c>
      <c r="O182" s="116">
        <f t="shared" si="56"/>
        <v>20983.687291666669</v>
      </c>
      <c r="P182" s="84">
        <f>+F182-O182</f>
        <v>89016.312708333338</v>
      </c>
    </row>
    <row r="183" spans="1:18" s="41" customFormat="1" ht="30" customHeight="1" x14ac:dyDescent="0.25">
      <c r="A183" s="81">
        <f>+A182+1</f>
        <v>96</v>
      </c>
      <c r="B183" s="87" t="s">
        <v>58</v>
      </c>
      <c r="C183" s="86" t="s">
        <v>430</v>
      </c>
      <c r="D183" s="91" t="s">
        <v>569</v>
      </c>
      <c r="E183" s="87" t="s">
        <v>122</v>
      </c>
      <c r="F183" s="88">
        <v>115000</v>
      </c>
      <c r="G183" s="88">
        <f>F183*2.87%</f>
        <v>3300.5</v>
      </c>
      <c r="H183" s="88">
        <f>+F183*3.04%</f>
        <v>3496</v>
      </c>
      <c r="I183" s="88">
        <v>1577.45</v>
      </c>
      <c r="J183" s="83">
        <f t="shared" si="53"/>
        <v>8373.9500000000007</v>
      </c>
      <c r="K183" s="83">
        <f t="shared" si="57"/>
        <v>106626.05</v>
      </c>
      <c r="L183" s="83">
        <f t="shared" ref="L183:L186" si="68">+IF(K183*12&lt;=416220.01,0,IF(K183*12&lt;=624329.01,(((K183*12-416220.01)*0.15)/12),IF((K183*12&lt;=867123.01),(31216+0.2*(K183*12-624329.01))/12,((79776+0.25*(K183*12-867123.01))/12))))-M183</f>
        <v>-2.0833333292102907E-4</v>
      </c>
      <c r="M183" s="83">
        <v>15239.45</v>
      </c>
      <c r="N183" s="90">
        <v>25</v>
      </c>
      <c r="O183" s="116">
        <f t="shared" si="56"/>
        <v>8398.9497916666678</v>
      </c>
      <c r="P183" s="84">
        <f>+F183-O183</f>
        <v>106601.05020833333</v>
      </c>
      <c r="Q183" s="55"/>
      <c r="R183" s="55"/>
    </row>
    <row r="184" spans="1:18" s="41" customFormat="1" ht="33" customHeight="1" x14ac:dyDescent="0.25">
      <c r="A184" s="81">
        <f t="shared" ref="A184:A186" si="69">+A183+1</f>
        <v>97</v>
      </c>
      <c r="B184" s="87" t="s">
        <v>256</v>
      </c>
      <c r="C184" s="86" t="s">
        <v>430</v>
      </c>
      <c r="D184" s="91" t="s">
        <v>51</v>
      </c>
      <c r="E184" s="87" t="s">
        <v>122</v>
      </c>
      <c r="F184" s="88">
        <v>85000</v>
      </c>
      <c r="G184" s="88">
        <f>F184*2.87%</f>
        <v>2439.5</v>
      </c>
      <c r="H184" s="88">
        <f>+F184*3.04%</f>
        <v>2584</v>
      </c>
      <c r="I184" s="88"/>
      <c r="J184" s="83">
        <f t="shared" si="53"/>
        <v>5023.5</v>
      </c>
      <c r="K184" s="83">
        <f t="shared" si="57"/>
        <v>79976.5</v>
      </c>
      <c r="L184" s="83">
        <f t="shared" si="68"/>
        <v>8577.0622916666671</v>
      </c>
      <c r="M184" s="83"/>
      <c r="N184" s="90">
        <v>7625</v>
      </c>
      <c r="O184" s="116">
        <f t="shared" si="56"/>
        <v>21225.562291666669</v>
      </c>
      <c r="P184" s="84">
        <f>+F184-O184</f>
        <v>63774.437708333331</v>
      </c>
      <c r="Q184" s="55"/>
      <c r="R184" s="55"/>
    </row>
    <row r="185" spans="1:18" s="55" customFormat="1" ht="30" customHeight="1" x14ac:dyDescent="0.25">
      <c r="A185" s="81">
        <f t="shared" si="69"/>
        <v>98</v>
      </c>
      <c r="B185" s="184" t="s">
        <v>290</v>
      </c>
      <c r="C185" s="185" t="s">
        <v>430</v>
      </c>
      <c r="D185" s="118" t="s">
        <v>289</v>
      </c>
      <c r="E185" s="186" t="s">
        <v>123</v>
      </c>
      <c r="F185" s="119">
        <v>80000</v>
      </c>
      <c r="G185" s="119">
        <f>F185*2.87%</f>
        <v>2296</v>
      </c>
      <c r="H185" s="88">
        <f>+F185*3.04%</f>
        <v>2432</v>
      </c>
      <c r="I185" s="88"/>
      <c r="J185" s="83">
        <f t="shared" si="53"/>
        <v>4728</v>
      </c>
      <c r="K185" s="83">
        <f t="shared" si="57"/>
        <v>75272</v>
      </c>
      <c r="L185" s="83">
        <f t="shared" si="68"/>
        <v>6761.387291666666</v>
      </c>
      <c r="M185" s="83">
        <v>639.54999999999995</v>
      </c>
      <c r="N185" s="90">
        <v>25</v>
      </c>
      <c r="O185" s="116">
        <f t="shared" si="56"/>
        <v>11514.387291666666</v>
      </c>
      <c r="P185" s="84">
        <f>+F185-O185</f>
        <v>68485.612708333327</v>
      </c>
    </row>
    <row r="186" spans="1:18" s="41" customFormat="1" ht="27" customHeight="1" x14ac:dyDescent="0.25">
      <c r="A186" s="81">
        <f t="shared" si="69"/>
        <v>99</v>
      </c>
      <c r="B186" s="117" t="s">
        <v>287</v>
      </c>
      <c r="C186" s="38" t="s">
        <v>430</v>
      </c>
      <c r="D186" s="117" t="s">
        <v>66</v>
      </c>
      <c r="E186" s="117" t="s">
        <v>123</v>
      </c>
      <c r="F186" s="119">
        <v>50000</v>
      </c>
      <c r="G186" s="88">
        <f>F186*2.87%</f>
        <v>1435</v>
      </c>
      <c r="H186" s="88">
        <f>+F186*3.04%</f>
        <v>1520</v>
      </c>
      <c r="I186" s="88">
        <v>1577.45</v>
      </c>
      <c r="J186" s="83">
        <f t="shared" si="53"/>
        <v>4532.45</v>
      </c>
      <c r="K186" s="83">
        <f t="shared" si="57"/>
        <v>45467.55</v>
      </c>
      <c r="L186" s="83">
        <f t="shared" si="68"/>
        <v>2.3750000009385985E-3</v>
      </c>
      <c r="M186" s="83">
        <v>1617.38</v>
      </c>
      <c r="N186" s="84">
        <v>13326.36</v>
      </c>
      <c r="O186" s="116">
        <f t="shared" si="56"/>
        <v>17858.812375000001</v>
      </c>
      <c r="P186" s="90">
        <f>+F186-O186</f>
        <v>32141.187624999999</v>
      </c>
      <c r="Q186" s="55"/>
      <c r="R186" s="55"/>
    </row>
    <row r="187" spans="1:18" s="55" customFormat="1" ht="30" customHeight="1" x14ac:dyDescent="0.25">
      <c r="A187" s="229" t="s">
        <v>126</v>
      </c>
      <c r="B187" s="230"/>
      <c r="C187" s="230"/>
      <c r="D187" s="230"/>
      <c r="E187" s="231"/>
      <c r="F187" s="39">
        <f>SUM(F182:F186)</f>
        <v>440000</v>
      </c>
      <c r="G187" s="39">
        <f t="shared" ref="G187:P187" si="70">SUM(G182:G186)</f>
        <v>12628</v>
      </c>
      <c r="H187" s="39">
        <f t="shared" si="70"/>
        <v>13376</v>
      </c>
      <c r="I187" s="39">
        <f t="shared" si="70"/>
        <v>3154.9</v>
      </c>
      <c r="J187" s="39">
        <f t="shared" si="70"/>
        <v>29158.9</v>
      </c>
      <c r="K187" s="39">
        <f t="shared" si="70"/>
        <v>410841.1</v>
      </c>
      <c r="L187" s="39">
        <f t="shared" si="70"/>
        <v>29796.139041666665</v>
      </c>
      <c r="M187" s="39">
        <f t="shared" si="70"/>
        <v>17496.38</v>
      </c>
      <c r="N187" s="39">
        <f t="shared" si="70"/>
        <v>21026.36</v>
      </c>
      <c r="O187" s="39">
        <f t="shared" si="70"/>
        <v>79981.399041666678</v>
      </c>
      <c r="P187" s="39">
        <f t="shared" si="70"/>
        <v>360018.60095833335</v>
      </c>
    </row>
    <row r="188" spans="1:18" s="93" customFormat="1" ht="30" customHeight="1" thickBot="1" x14ac:dyDescent="0.3">
      <c r="A188" s="43"/>
      <c r="B188" s="50"/>
      <c r="C188" s="150"/>
      <c r="D188" s="50"/>
      <c r="E188" s="50"/>
      <c r="F188" s="51"/>
      <c r="G188" s="41"/>
      <c r="H188" s="41"/>
      <c r="I188" s="41"/>
      <c r="J188" s="41"/>
      <c r="K188" s="41"/>
      <c r="L188" s="41"/>
      <c r="M188" s="41"/>
      <c r="N188" s="41"/>
      <c r="O188" s="41"/>
      <c r="P188" s="41"/>
    </row>
    <row r="189" spans="1:18" s="55" customFormat="1" ht="30" customHeight="1" thickBot="1" x14ac:dyDescent="0.3">
      <c r="A189" s="232" t="s">
        <v>93</v>
      </c>
      <c r="B189" s="233"/>
      <c r="C189" s="233"/>
      <c r="D189" s="233"/>
      <c r="E189" s="233"/>
      <c r="F189" s="233"/>
      <c r="G189" s="233"/>
      <c r="H189" s="233"/>
      <c r="I189" s="233"/>
      <c r="J189" s="233"/>
      <c r="K189" s="233"/>
      <c r="L189" s="233"/>
      <c r="M189" s="233"/>
      <c r="N189" s="233"/>
      <c r="O189" s="233"/>
      <c r="P189" s="233"/>
    </row>
    <row r="190" spans="1:18" s="41" customFormat="1" ht="30" customHeight="1" x14ac:dyDescent="0.25">
      <c r="A190" s="86">
        <f>+A186+1</f>
        <v>100</v>
      </c>
      <c r="B190" s="122" t="s">
        <v>74</v>
      </c>
      <c r="C190" s="132" t="s">
        <v>430</v>
      </c>
      <c r="D190" s="133" t="s">
        <v>607</v>
      </c>
      <c r="E190" s="122" t="s">
        <v>122</v>
      </c>
      <c r="F190" s="119">
        <v>110000</v>
      </c>
      <c r="G190" s="88">
        <f t="shared" ref="G190:G193" si="71">F190*2.87%</f>
        <v>3157</v>
      </c>
      <c r="H190" s="88">
        <f t="shared" ref="H190:H193" si="72">+F190*3.04%</f>
        <v>3344</v>
      </c>
      <c r="I190" s="88"/>
      <c r="J190" s="83">
        <f t="shared" si="53"/>
        <v>6501</v>
      </c>
      <c r="K190" s="83">
        <f t="shared" si="57"/>
        <v>103499</v>
      </c>
      <c r="L190" s="83">
        <f>+IF(K190*12&lt;=416220.01,0,IF(K190*12&lt;=624329.01,(((K190*12-416220.01)*0.15)/12),IF((K190*12&lt;=867123.01),(31216+0.2*(K190*12-624329.01))/12,((79776+0.25*(K190*12-867123.01))/12))))-M190</f>
        <v>14457.687291666667</v>
      </c>
      <c r="M190" s="83"/>
      <c r="N190" s="84">
        <v>3025</v>
      </c>
      <c r="O190" s="116">
        <f t="shared" si="56"/>
        <v>23983.687291666669</v>
      </c>
      <c r="P190" s="84">
        <f t="shared" ref="P190:P195" si="73">+F190-O190</f>
        <v>86016.312708333338</v>
      </c>
      <c r="Q190" s="55"/>
      <c r="R190" s="55"/>
    </row>
    <row r="191" spans="1:18" s="55" customFormat="1" ht="30" customHeight="1" x14ac:dyDescent="0.25">
      <c r="A191" s="86">
        <f t="shared" ref="A191:A194" si="74">+A190+1</f>
        <v>101</v>
      </c>
      <c r="B191" s="117" t="s">
        <v>87</v>
      </c>
      <c r="C191" s="38" t="s">
        <v>430</v>
      </c>
      <c r="D191" s="118" t="s">
        <v>291</v>
      </c>
      <c r="E191" s="117" t="s">
        <v>122</v>
      </c>
      <c r="F191" s="119">
        <v>80000</v>
      </c>
      <c r="G191" s="88">
        <f t="shared" si="71"/>
        <v>2296</v>
      </c>
      <c r="H191" s="88">
        <f t="shared" si="72"/>
        <v>2432</v>
      </c>
      <c r="I191" s="88">
        <v>1577.45</v>
      </c>
      <c r="J191" s="83">
        <f t="shared" si="53"/>
        <v>6305.45</v>
      </c>
      <c r="K191" s="83">
        <f t="shared" si="57"/>
        <v>73694.55</v>
      </c>
      <c r="L191" s="83">
        <f t="shared" ref="L191:L195" si="75">+IF(K191*12&lt;=416220.01,0,IF(K191*12&lt;=624329.01,(((K191*12-416220.01)*0.15)/12),IF((K191*12&lt;=867123.01),(31216+0.2*(K191*12-624329.01))/12,((79776+0.25*(K191*12-867123.01))/12))))-M191</f>
        <v>6367.0247916666685</v>
      </c>
      <c r="M191" s="83">
        <v>639.54999999999995</v>
      </c>
      <c r="N191" s="90">
        <v>25</v>
      </c>
      <c r="O191" s="116">
        <f t="shared" si="56"/>
        <v>12697.474791666667</v>
      </c>
      <c r="P191" s="84">
        <f t="shared" si="73"/>
        <v>67302.525208333333</v>
      </c>
    </row>
    <row r="192" spans="1:18" s="41" customFormat="1" ht="31.5" customHeight="1" x14ac:dyDescent="0.25">
      <c r="A192" s="86">
        <f>+A191+1</f>
        <v>102</v>
      </c>
      <c r="B192" s="117" t="s">
        <v>73</v>
      </c>
      <c r="C192" s="38" t="s">
        <v>430</v>
      </c>
      <c r="D192" s="118" t="s">
        <v>607</v>
      </c>
      <c r="E192" s="117" t="s">
        <v>122</v>
      </c>
      <c r="F192" s="119">
        <v>110000</v>
      </c>
      <c r="G192" s="88">
        <f t="shared" si="71"/>
        <v>3157</v>
      </c>
      <c r="H192" s="88">
        <f t="shared" si="72"/>
        <v>3344</v>
      </c>
      <c r="I192" s="88"/>
      <c r="J192" s="83">
        <f t="shared" si="53"/>
        <v>6501</v>
      </c>
      <c r="K192" s="83">
        <f t="shared" si="57"/>
        <v>103499</v>
      </c>
      <c r="L192" s="83">
        <f t="shared" si="75"/>
        <v>13818.137291666668</v>
      </c>
      <c r="M192" s="83">
        <v>639.54999999999995</v>
      </c>
      <c r="N192" s="90">
        <v>2025</v>
      </c>
      <c r="O192" s="116">
        <f>+N192+I192+H192+G192+L192</f>
        <v>22344.137291666666</v>
      </c>
      <c r="P192" s="84">
        <f t="shared" si="73"/>
        <v>87655.862708333327</v>
      </c>
      <c r="Q192" s="55"/>
      <c r="R192" s="55"/>
    </row>
    <row r="193" spans="1:18" s="41" customFormat="1" ht="33" customHeight="1" x14ac:dyDescent="0.25">
      <c r="A193" s="86">
        <f t="shared" si="74"/>
        <v>103</v>
      </c>
      <c r="B193" s="117" t="s">
        <v>265</v>
      </c>
      <c r="C193" s="38" t="s">
        <v>430</v>
      </c>
      <c r="D193" s="118" t="s">
        <v>291</v>
      </c>
      <c r="E193" s="117" t="s">
        <v>122</v>
      </c>
      <c r="F193" s="119">
        <v>80000</v>
      </c>
      <c r="G193" s="88">
        <f t="shared" si="71"/>
        <v>2296</v>
      </c>
      <c r="H193" s="88">
        <f t="shared" si="72"/>
        <v>2432</v>
      </c>
      <c r="I193" s="88"/>
      <c r="J193" s="83">
        <f t="shared" si="53"/>
        <v>4728</v>
      </c>
      <c r="K193" s="83">
        <f t="shared" si="57"/>
        <v>75272</v>
      </c>
      <c r="L193" s="83">
        <f t="shared" si="75"/>
        <v>7400.9372916666662</v>
      </c>
      <c r="M193" s="83"/>
      <c r="N193" s="90">
        <v>3775</v>
      </c>
      <c r="O193" s="116">
        <f t="shared" si="56"/>
        <v>15903.937291666665</v>
      </c>
      <c r="P193" s="84">
        <f t="shared" si="73"/>
        <v>64096.062708333338</v>
      </c>
      <c r="Q193" s="55"/>
      <c r="R193" s="55"/>
    </row>
    <row r="194" spans="1:18" s="55" customFormat="1" ht="30" customHeight="1" x14ac:dyDescent="0.25">
      <c r="A194" s="81">
        <f t="shared" si="74"/>
        <v>104</v>
      </c>
      <c r="B194" s="182" t="s">
        <v>288</v>
      </c>
      <c r="C194" s="183" t="s">
        <v>430</v>
      </c>
      <c r="D194" s="118" t="s">
        <v>291</v>
      </c>
      <c r="E194" s="117" t="s">
        <v>122</v>
      </c>
      <c r="F194" s="119">
        <v>80000</v>
      </c>
      <c r="G194" s="119">
        <f>F194*2.87%</f>
        <v>2296</v>
      </c>
      <c r="H194" s="88">
        <f>+F194*3.04%</f>
        <v>2432</v>
      </c>
      <c r="I194" s="88">
        <v>3154.9</v>
      </c>
      <c r="J194" s="83">
        <f t="shared" si="53"/>
        <v>7882.9</v>
      </c>
      <c r="K194" s="83">
        <f t="shared" si="57"/>
        <v>72117.100000000006</v>
      </c>
      <c r="L194" s="83">
        <f t="shared" si="75"/>
        <v>5708.5898333333344</v>
      </c>
      <c r="M194" s="83">
        <v>910.68</v>
      </c>
      <c r="N194" s="90">
        <v>3775</v>
      </c>
      <c r="O194" s="116">
        <f t="shared" si="56"/>
        <v>17366.489833333333</v>
      </c>
      <c r="P194" s="84">
        <f t="shared" si="73"/>
        <v>62633.510166666667</v>
      </c>
    </row>
    <row r="195" spans="1:18" s="41" customFormat="1" ht="30" customHeight="1" x14ac:dyDescent="0.25">
      <c r="A195" s="132">
        <v>105</v>
      </c>
      <c r="B195" s="117" t="s">
        <v>139</v>
      </c>
      <c r="C195" s="38" t="s">
        <v>430</v>
      </c>
      <c r="D195" s="117" t="s">
        <v>66</v>
      </c>
      <c r="E195" s="117" t="s">
        <v>233</v>
      </c>
      <c r="F195" s="119">
        <v>45000</v>
      </c>
      <c r="G195" s="119">
        <f>F195*2.87%</f>
        <v>1291.5</v>
      </c>
      <c r="H195" s="119">
        <f>+F195*3.04%</f>
        <v>1368</v>
      </c>
      <c r="I195" s="119"/>
      <c r="J195" s="83">
        <f t="shared" si="53"/>
        <v>2659.5</v>
      </c>
      <c r="K195" s="83">
        <f t="shared" si="57"/>
        <v>42340.5</v>
      </c>
      <c r="L195" s="83">
        <f t="shared" si="75"/>
        <v>4.8749999998562998E-3</v>
      </c>
      <c r="M195" s="83">
        <v>1148.32</v>
      </c>
      <c r="N195" s="120">
        <f>1000+25</f>
        <v>1025</v>
      </c>
      <c r="O195" s="116">
        <f t="shared" si="56"/>
        <v>3684.5048749999996</v>
      </c>
      <c r="P195" s="120">
        <f t="shared" si="73"/>
        <v>41315.495125000001</v>
      </c>
      <c r="Q195" s="55"/>
      <c r="R195" s="55"/>
    </row>
    <row r="196" spans="1:18" s="41" customFormat="1" ht="37.5" customHeight="1" x14ac:dyDescent="0.25">
      <c r="A196" s="229" t="s">
        <v>126</v>
      </c>
      <c r="B196" s="230"/>
      <c r="C196" s="230"/>
      <c r="D196" s="230"/>
      <c r="E196" s="231"/>
      <c r="F196" s="39">
        <f t="shared" ref="F196:P196" si="76">SUM(F190:F195)</f>
        <v>505000</v>
      </c>
      <c r="G196" s="39">
        <f t="shared" si="76"/>
        <v>14493.5</v>
      </c>
      <c r="H196" s="39">
        <f t="shared" si="76"/>
        <v>15352</v>
      </c>
      <c r="I196" s="39">
        <f t="shared" si="76"/>
        <v>4732.3500000000004</v>
      </c>
      <c r="J196" s="39">
        <f t="shared" si="76"/>
        <v>34577.85</v>
      </c>
      <c r="K196" s="39">
        <f t="shared" si="76"/>
        <v>470422.15</v>
      </c>
      <c r="L196" s="39">
        <f t="shared" si="76"/>
        <v>47752.381375000004</v>
      </c>
      <c r="M196" s="39">
        <f t="shared" si="76"/>
        <v>3338.0999999999995</v>
      </c>
      <c r="N196" s="39">
        <f t="shared" si="76"/>
        <v>13650</v>
      </c>
      <c r="O196" s="39">
        <f t="shared" si="76"/>
        <v>95980.231374999988</v>
      </c>
      <c r="P196" s="39">
        <f t="shared" si="76"/>
        <v>409019.76862499997</v>
      </c>
      <c r="Q196" s="55"/>
      <c r="R196" s="55"/>
    </row>
    <row r="197" spans="1:18" s="41" customFormat="1" ht="28.5" customHeight="1" thickBot="1" x14ac:dyDescent="0.3">
      <c r="A197" s="52"/>
      <c r="B197" s="52"/>
      <c r="C197" s="52"/>
      <c r="D197" s="52"/>
      <c r="E197" s="52"/>
      <c r="F197"/>
      <c r="G197"/>
      <c r="H197"/>
      <c r="I197"/>
      <c r="J197"/>
      <c r="K197"/>
      <c r="L197"/>
      <c r="M197"/>
      <c r="N197"/>
      <c r="O197"/>
      <c r="P197"/>
      <c r="Q197" s="55"/>
      <c r="R197" s="55"/>
    </row>
    <row r="198" spans="1:18" s="41" customFormat="1" ht="30" customHeight="1" thickBot="1" x14ac:dyDescent="0.3">
      <c r="A198" s="232" t="s">
        <v>208</v>
      </c>
      <c r="B198" s="233"/>
      <c r="C198" s="233"/>
      <c r="D198" s="233"/>
      <c r="E198" s="233"/>
      <c r="F198" s="233"/>
      <c r="G198" s="233"/>
      <c r="H198" s="233"/>
      <c r="I198" s="233"/>
      <c r="J198" s="233"/>
      <c r="K198" s="233"/>
      <c r="L198" s="233"/>
      <c r="M198" s="233"/>
      <c r="N198" s="233"/>
      <c r="O198" s="233"/>
      <c r="P198" s="233"/>
      <c r="Q198" s="55"/>
      <c r="R198" s="55"/>
    </row>
    <row r="199" spans="1:18" s="55" customFormat="1" ht="30" customHeight="1" x14ac:dyDescent="0.25">
      <c r="A199" s="132">
        <f>+A194+1</f>
        <v>105</v>
      </c>
      <c r="B199" s="122" t="s">
        <v>185</v>
      </c>
      <c r="C199" s="132" t="s">
        <v>430</v>
      </c>
      <c r="D199" s="122" t="s">
        <v>293</v>
      </c>
      <c r="E199" s="122" t="s">
        <v>122</v>
      </c>
      <c r="F199" s="145">
        <v>55000</v>
      </c>
      <c r="G199" s="83">
        <f>F199*2.87%</f>
        <v>1578.5</v>
      </c>
      <c r="H199" s="83">
        <f>+F199*3.04%</f>
        <v>1672</v>
      </c>
      <c r="I199" s="146"/>
      <c r="J199" s="83">
        <f t="shared" ref="J199:J255" si="77">+G199+H199+I199</f>
        <v>3250.5</v>
      </c>
      <c r="K199" s="83">
        <f t="shared" si="57"/>
        <v>51749.5</v>
      </c>
      <c r="L199" s="83">
        <f t="shared" ref="L199:L203" si="78">+IF(K199*12&lt;=416220.01,0,IF(K199*12&lt;=624329.01,(((K199*12-416220.01)*0.15)/12),IF((K199*12&lt;=867123.01),(31216+0.2*(K199*12-624329.01))/12,((79776+0.25*(K199*12-867123.01))/12))))</f>
        <v>2559.6748749999997</v>
      </c>
      <c r="M199" s="83"/>
      <c r="N199" s="84">
        <v>11290.95</v>
      </c>
      <c r="O199" s="116">
        <f t="shared" ref="O199:O255" si="79">+N199+I199+H199+G199+L199</f>
        <v>17101.124875000001</v>
      </c>
      <c r="P199" s="84">
        <f>+F199-O199</f>
        <v>37898.875124999999</v>
      </c>
    </row>
    <row r="200" spans="1:18" s="41" customFormat="1" ht="30" customHeight="1" x14ac:dyDescent="0.25">
      <c r="A200" s="229" t="s">
        <v>126</v>
      </c>
      <c r="B200" s="230"/>
      <c r="C200" s="230"/>
      <c r="D200" s="230"/>
      <c r="E200" s="231"/>
      <c r="F200" s="39">
        <f t="shared" ref="F200:P200" si="80">+F199</f>
        <v>55000</v>
      </c>
      <c r="G200" s="39">
        <f t="shared" si="80"/>
        <v>1578.5</v>
      </c>
      <c r="H200" s="39">
        <f t="shared" si="80"/>
        <v>1672</v>
      </c>
      <c r="I200" s="39">
        <f t="shared" si="80"/>
        <v>0</v>
      </c>
      <c r="J200" s="39">
        <f t="shared" si="80"/>
        <v>3250.5</v>
      </c>
      <c r="K200" s="39">
        <f t="shared" si="80"/>
        <v>51749.5</v>
      </c>
      <c r="L200" s="39">
        <f t="shared" si="80"/>
        <v>2559.6748749999997</v>
      </c>
      <c r="M200" s="39"/>
      <c r="N200" s="39">
        <f t="shared" si="80"/>
        <v>11290.95</v>
      </c>
      <c r="O200" s="39">
        <f t="shared" si="80"/>
        <v>17101.124875000001</v>
      </c>
      <c r="P200" s="39">
        <f t="shared" si="80"/>
        <v>37898.875124999999</v>
      </c>
      <c r="Q200" s="55"/>
      <c r="R200" s="55"/>
    </row>
    <row r="201" spans="1:18" s="41" customFormat="1" ht="30" customHeight="1" thickBot="1" x14ac:dyDescent="0.3">
      <c r="A201" s="52"/>
      <c r="B201" s="52"/>
      <c r="C201" s="52"/>
      <c r="D201" s="52"/>
      <c r="E201" s="52"/>
      <c r="F201" s="66"/>
      <c r="G201"/>
      <c r="H201"/>
      <c r="I201"/>
      <c r="J201"/>
      <c r="K201"/>
      <c r="L201"/>
      <c r="M201"/>
      <c r="N201"/>
      <c r="O201"/>
      <c r="P201"/>
      <c r="Q201" s="55"/>
      <c r="R201" s="55"/>
    </row>
    <row r="202" spans="1:18" s="55" customFormat="1" ht="30" customHeight="1" thickBot="1" x14ac:dyDescent="0.3">
      <c r="A202" s="232" t="s">
        <v>297</v>
      </c>
      <c r="B202" s="233"/>
      <c r="C202" s="233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3"/>
      <c r="O202" s="233"/>
      <c r="P202" s="233"/>
    </row>
    <row r="203" spans="1:18" s="85" customFormat="1" ht="30" customHeight="1" x14ac:dyDescent="0.25">
      <c r="A203" s="81">
        <f>+A199+1</f>
        <v>106</v>
      </c>
      <c r="B203" s="122" t="s">
        <v>11</v>
      </c>
      <c r="C203" s="132" t="s">
        <v>430</v>
      </c>
      <c r="D203" s="133" t="s">
        <v>112</v>
      </c>
      <c r="E203" s="122" t="s">
        <v>122</v>
      </c>
      <c r="F203" s="116">
        <v>190000</v>
      </c>
      <c r="G203" s="116">
        <f>F203*2.87%</f>
        <v>5453</v>
      </c>
      <c r="H203" s="83">
        <f>187020*3.04%</f>
        <v>5685.4080000000004</v>
      </c>
      <c r="I203" s="83"/>
      <c r="J203" s="83">
        <f t="shared" si="77"/>
        <v>11138.407999999999</v>
      </c>
      <c r="K203" s="83">
        <f t="shared" ref="K203:K260" si="81">+F203-J203</f>
        <v>178861.592</v>
      </c>
      <c r="L203" s="83">
        <f t="shared" si="78"/>
        <v>33298.33529166667</v>
      </c>
      <c r="M203" s="83"/>
      <c r="N203" s="84">
        <v>25</v>
      </c>
      <c r="O203" s="116">
        <f t="shared" si="79"/>
        <v>44461.743291666673</v>
      </c>
      <c r="P203" s="84">
        <f>+F203-O203</f>
        <v>145538.25670833333</v>
      </c>
    </row>
    <row r="204" spans="1:18" s="41" customFormat="1" ht="30" customHeight="1" thickBot="1" x14ac:dyDescent="0.3">
      <c r="A204" s="229" t="s">
        <v>126</v>
      </c>
      <c r="B204" s="230"/>
      <c r="C204" s="230"/>
      <c r="D204" s="230"/>
      <c r="E204" s="231"/>
      <c r="F204" s="39">
        <f t="shared" ref="F204:P204" si="82">+SUM(F203:F203)</f>
        <v>190000</v>
      </c>
      <c r="G204" s="39">
        <f t="shared" si="82"/>
        <v>5453</v>
      </c>
      <c r="H204" s="39">
        <f t="shared" si="82"/>
        <v>5685.4080000000004</v>
      </c>
      <c r="I204" s="39">
        <f t="shared" si="82"/>
        <v>0</v>
      </c>
      <c r="J204" s="39">
        <f t="shared" si="82"/>
        <v>11138.407999999999</v>
      </c>
      <c r="K204" s="39">
        <f t="shared" si="82"/>
        <v>178861.592</v>
      </c>
      <c r="L204" s="39">
        <f t="shared" si="82"/>
        <v>33298.33529166667</v>
      </c>
      <c r="M204" s="39"/>
      <c r="N204" s="39">
        <f t="shared" si="82"/>
        <v>25</v>
      </c>
      <c r="O204" s="39">
        <f t="shared" si="82"/>
        <v>44461.743291666673</v>
      </c>
      <c r="P204" s="39">
        <f t="shared" si="82"/>
        <v>145538.25670833333</v>
      </c>
      <c r="Q204" s="55"/>
      <c r="R204" s="55"/>
    </row>
    <row r="205" spans="1:18" s="41" customFormat="1" ht="30" customHeight="1" thickBot="1" x14ac:dyDescent="0.3">
      <c r="A205" s="237" t="s">
        <v>298</v>
      </c>
      <c r="B205" s="238"/>
      <c r="C205" s="238"/>
      <c r="D205" s="238"/>
      <c r="E205" s="238"/>
      <c r="F205" s="238"/>
      <c r="G205" s="238"/>
      <c r="H205" s="238"/>
      <c r="I205" s="238"/>
      <c r="J205" s="238"/>
      <c r="K205" s="238"/>
      <c r="L205" s="238"/>
      <c r="M205" s="238"/>
      <c r="N205" s="238"/>
      <c r="O205" s="238"/>
      <c r="P205" s="238"/>
      <c r="Q205" s="55"/>
      <c r="R205" s="55"/>
    </row>
    <row r="206" spans="1:18" s="49" customFormat="1" ht="30" customHeight="1" x14ac:dyDescent="0.25">
      <c r="A206" s="81">
        <f>+A203+1</f>
        <v>107</v>
      </c>
      <c r="B206" s="122" t="s">
        <v>12</v>
      </c>
      <c r="C206" s="132" t="s">
        <v>430</v>
      </c>
      <c r="D206" s="158" t="s">
        <v>113</v>
      </c>
      <c r="E206" s="117" t="s">
        <v>122</v>
      </c>
      <c r="F206" s="116">
        <v>135000</v>
      </c>
      <c r="G206" s="83">
        <f>F206*2.87%</f>
        <v>3874.5</v>
      </c>
      <c r="H206" s="83">
        <f>+F206*3.04%</f>
        <v>4104</v>
      </c>
      <c r="I206" s="83"/>
      <c r="J206" s="83">
        <f t="shared" si="77"/>
        <v>7978.5</v>
      </c>
      <c r="K206" s="83">
        <f t="shared" si="81"/>
        <v>127021.5</v>
      </c>
      <c r="L206" s="83">
        <f>+IF(K206*12&lt;=416220.01,0,IF(K206*12&lt;=624329.01,(((K206*12-416220.01)*0.15)/12),IF((K206*12&lt;=867123.01),(31216+0.2*(K206*12-624329.01))/12,((79776+0.25*(K206*12-867123.01))/12))))-M206</f>
        <v>2.2916666639503092E-3</v>
      </c>
      <c r="M206" s="83">
        <v>20338.310000000001</v>
      </c>
      <c r="N206" s="84">
        <v>2025</v>
      </c>
      <c r="O206" s="116">
        <f t="shared" si="79"/>
        <v>10003.502291666664</v>
      </c>
      <c r="P206" s="84">
        <f>+F206-O206</f>
        <v>124996.49770833334</v>
      </c>
      <c r="Q206" s="93"/>
      <c r="R206" s="93"/>
    </row>
    <row r="207" spans="1:18" s="42" customFormat="1" ht="30" customHeight="1" x14ac:dyDescent="0.25">
      <c r="A207" s="86">
        <f>+A206+1</f>
        <v>108</v>
      </c>
      <c r="B207" s="117" t="s">
        <v>299</v>
      </c>
      <c r="C207" s="38" t="s">
        <v>429</v>
      </c>
      <c r="D207" s="117" t="s">
        <v>114</v>
      </c>
      <c r="E207" s="117" t="s">
        <v>123</v>
      </c>
      <c r="F207" s="119">
        <v>70000</v>
      </c>
      <c r="G207" s="88">
        <f>F207*2.87%</f>
        <v>2009</v>
      </c>
      <c r="H207" s="88">
        <f>+F207*3.04%</f>
        <v>2128</v>
      </c>
      <c r="I207" s="83"/>
      <c r="J207" s="83">
        <f t="shared" si="77"/>
        <v>4137</v>
      </c>
      <c r="K207" s="83">
        <f t="shared" si="81"/>
        <v>65863</v>
      </c>
      <c r="L207" s="83">
        <f t="shared" ref="L207:L208" si="83">+IF(K207*12&lt;=416220.01,0,IF(K207*12&lt;=624329.01,(((K207*12-416220.01)*0.15)/12),IF((K207*12&lt;=867123.01),(31216+0.2*(K207*12-624329.01))/12,((79776+0.25*(K207*12-867123.01))/12))))-M207</f>
        <v>1869.4398333333329</v>
      </c>
      <c r="M207" s="83">
        <v>3499.01</v>
      </c>
      <c r="N207" s="84">
        <f>21844.41+25</f>
        <v>21869.41</v>
      </c>
      <c r="O207" s="116">
        <f t="shared" si="79"/>
        <v>27875.849833333334</v>
      </c>
      <c r="P207" s="84">
        <f>+F207-O207</f>
        <v>42124.150166666666</v>
      </c>
      <c r="Q207" s="92"/>
      <c r="R207" s="92"/>
    </row>
    <row r="208" spans="1:18" s="55" customFormat="1" ht="30" customHeight="1" x14ac:dyDescent="0.25">
      <c r="A208" s="81">
        <f>+A207+1</f>
        <v>109</v>
      </c>
      <c r="B208" s="117" t="s">
        <v>354</v>
      </c>
      <c r="C208" s="38" t="s">
        <v>430</v>
      </c>
      <c r="D208" s="117" t="s">
        <v>525</v>
      </c>
      <c r="E208" s="117" t="s">
        <v>122</v>
      </c>
      <c r="F208" s="119">
        <v>45000</v>
      </c>
      <c r="G208" s="88">
        <f>F208*2.87%</f>
        <v>1291.5</v>
      </c>
      <c r="H208" s="88">
        <f>+F208*3.04%</f>
        <v>1368</v>
      </c>
      <c r="I208" s="88"/>
      <c r="J208" s="83">
        <f t="shared" si="77"/>
        <v>2659.5</v>
      </c>
      <c r="K208" s="83">
        <f t="shared" si="81"/>
        <v>42340.5</v>
      </c>
      <c r="L208" s="83">
        <f t="shared" si="83"/>
        <v>4.8749999998562998E-3</v>
      </c>
      <c r="M208" s="83">
        <v>1148.32</v>
      </c>
      <c r="N208" s="84">
        <v>25</v>
      </c>
      <c r="O208" s="116">
        <f t="shared" si="79"/>
        <v>2684.5048749999996</v>
      </c>
      <c r="P208" s="90">
        <f>+F208-O208</f>
        <v>42315.495125000001</v>
      </c>
    </row>
    <row r="209" spans="1:18" s="41" customFormat="1" ht="30" customHeight="1" x14ac:dyDescent="0.25">
      <c r="A209" s="229" t="s">
        <v>126</v>
      </c>
      <c r="B209" s="230"/>
      <c r="C209" s="230"/>
      <c r="D209" s="230"/>
      <c r="E209" s="231"/>
      <c r="F209" s="39">
        <f t="shared" ref="F209:P209" si="84">SUM(F206:F208)</f>
        <v>250000</v>
      </c>
      <c r="G209" s="39">
        <f t="shared" si="84"/>
        <v>7175</v>
      </c>
      <c r="H209" s="39">
        <f t="shared" si="84"/>
        <v>7600</v>
      </c>
      <c r="I209" s="39">
        <f t="shared" si="84"/>
        <v>0</v>
      </c>
      <c r="J209" s="39">
        <f t="shared" si="84"/>
        <v>14775</v>
      </c>
      <c r="K209" s="39">
        <f t="shared" si="84"/>
        <v>235225</v>
      </c>
      <c r="L209" s="39">
        <f t="shared" si="84"/>
        <v>1869.4469999999967</v>
      </c>
      <c r="M209" s="39">
        <f t="shared" si="84"/>
        <v>24985.64</v>
      </c>
      <c r="N209" s="39">
        <f t="shared" si="84"/>
        <v>23919.41</v>
      </c>
      <c r="O209" s="39">
        <f t="shared" si="84"/>
        <v>40563.856999999996</v>
      </c>
      <c r="P209" s="39">
        <f t="shared" si="84"/>
        <v>209436.14299999998</v>
      </c>
      <c r="Q209" s="55"/>
      <c r="R209" s="55"/>
    </row>
    <row r="210" spans="1:18" s="41" customFormat="1" ht="30" customHeight="1" thickBot="1" x14ac:dyDescent="0.3">
      <c r="A210" s="46"/>
      <c r="B210" s="44"/>
      <c r="C210" s="46"/>
      <c r="D210" s="45"/>
      <c r="E210" s="45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55"/>
      <c r="R210" s="55"/>
    </row>
    <row r="211" spans="1:18" s="41" customFormat="1" ht="30" customHeight="1" thickBot="1" x14ac:dyDescent="0.3">
      <c r="A211" s="237" t="s">
        <v>300</v>
      </c>
      <c r="B211" s="238"/>
      <c r="C211" s="238"/>
      <c r="D211" s="238"/>
      <c r="E211" s="238"/>
      <c r="F211" s="238"/>
      <c r="G211" s="238"/>
      <c r="H211" s="238"/>
      <c r="I211" s="238"/>
      <c r="J211" s="238"/>
      <c r="K211" s="238"/>
      <c r="L211" s="238"/>
      <c r="M211" s="238"/>
      <c r="N211" s="238"/>
      <c r="O211" s="238"/>
      <c r="P211" s="238"/>
      <c r="Q211" s="55"/>
      <c r="R211" s="55"/>
    </row>
    <row r="212" spans="1:18" s="55" customFormat="1" ht="30" customHeight="1" x14ac:dyDescent="0.25">
      <c r="A212" s="86">
        <f>+A208+1</f>
        <v>110</v>
      </c>
      <c r="B212" s="117" t="s">
        <v>301</v>
      </c>
      <c r="C212" s="38" t="s">
        <v>429</v>
      </c>
      <c r="D212" s="117" t="s">
        <v>94</v>
      </c>
      <c r="E212" s="117" t="s">
        <v>200</v>
      </c>
      <c r="F212" s="119">
        <v>100000</v>
      </c>
      <c r="G212" s="119">
        <f>F212*2.87%</f>
        <v>2870</v>
      </c>
      <c r="H212" s="119">
        <f>+F212*3.04%</f>
        <v>3040</v>
      </c>
      <c r="I212" s="119"/>
      <c r="J212" s="83">
        <f t="shared" si="77"/>
        <v>5910</v>
      </c>
      <c r="K212" s="83">
        <f t="shared" si="81"/>
        <v>94090</v>
      </c>
      <c r="L212" s="83">
        <f t="shared" ref="L212:L250" si="85">+IF(K212*12&lt;=416220.01,0,IF(K212*12&lt;=624329.01,(((K212*12-416220.01)*0.15)/12),IF((K212*12&lt;=867123.01),(31216+0.2*(K212*12-624329.01))/12,((79776+0.25*(K212*12-867123.01))/12))))</f>
        <v>12105.437291666667</v>
      </c>
      <c r="M212" s="83"/>
      <c r="N212" s="84">
        <v>25</v>
      </c>
      <c r="O212" s="116">
        <f t="shared" si="79"/>
        <v>18040.437291666669</v>
      </c>
      <c r="P212" s="84">
        <f>+F212-O212</f>
        <v>81959.562708333338</v>
      </c>
    </row>
    <row r="213" spans="1:18" s="93" customFormat="1" ht="30" customHeight="1" x14ac:dyDescent="0.25">
      <c r="A213" s="229" t="s">
        <v>126</v>
      </c>
      <c r="B213" s="230"/>
      <c r="C213" s="230"/>
      <c r="D213" s="230"/>
      <c r="E213" s="231"/>
      <c r="F213" s="39">
        <f t="shared" ref="F213:P213" si="86">SUM(F212)</f>
        <v>100000</v>
      </c>
      <c r="G213" s="39">
        <f t="shared" si="86"/>
        <v>2870</v>
      </c>
      <c r="H213" s="39">
        <f t="shared" si="86"/>
        <v>3040</v>
      </c>
      <c r="I213" s="39">
        <f t="shared" si="86"/>
        <v>0</v>
      </c>
      <c r="J213" s="39">
        <f t="shared" si="86"/>
        <v>5910</v>
      </c>
      <c r="K213" s="39">
        <f t="shared" si="86"/>
        <v>94090</v>
      </c>
      <c r="L213" s="39">
        <f t="shared" si="86"/>
        <v>12105.437291666667</v>
      </c>
      <c r="M213" s="39"/>
      <c r="N213" s="39">
        <f t="shared" si="86"/>
        <v>25</v>
      </c>
      <c r="O213" s="39">
        <f t="shared" si="86"/>
        <v>18040.437291666669</v>
      </c>
      <c r="P213" s="39">
        <f t="shared" si="86"/>
        <v>81959.562708333338</v>
      </c>
    </row>
    <row r="214" spans="1:18" s="93" customFormat="1" ht="30" customHeight="1" thickBot="1" x14ac:dyDescent="0.3">
      <c r="A214" s="52"/>
      <c r="B214" s="52"/>
      <c r="C214" s="52"/>
      <c r="D214" s="52"/>
      <c r="E214" s="5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</row>
    <row r="215" spans="1:18" s="41" customFormat="1" ht="30" customHeight="1" thickBot="1" x14ac:dyDescent="0.3">
      <c r="A215" s="237" t="s">
        <v>460</v>
      </c>
      <c r="B215" s="238"/>
      <c r="C215" s="238"/>
      <c r="D215" s="238"/>
      <c r="E215" s="238"/>
      <c r="F215" s="238"/>
      <c r="G215" s="238"/>
      <c r="H215" s="238"/>
      <c r="I215" s="238"/>
      <c r="J215" s="238"/>
      <c r="K215" s="238"/>
      <c r="L215" s="238"/>
      <c r="M215" s="238"/>
      <c r="N215" s="238"/>
      <c r="O215" s="238"/>
      <c r="P215" s="238"/>
      <c r="Q215" s="55"/>
      <c r="R215" s="55"/>
    </row>
    <row r="216" spans="1:18" s="41" customFormat="1" ht="30" customHeight="1" x14ac:dyDescent="0.25">
      <c r="A216" s="86">
        <f>+A212+1</f>
        <v>111</v>
      </c>
      <c r="B216" s="117" t="s">
        <v>13</v>
      </c>
      <c r="C216" s="38" t="s">
        <v>429</v>
      </c>
      <c r="D216" s="136" t="s">
        <v>94</v>
      </c>
      <c r="E216" s="117" t="s">
        <v>200</v>
      </c>
      <c r="F216" s="119">
        <v>85000</v>
      </c>
      <c r="G216" s="88">
        <v>2439.5</v>
      </c>
      <c r="H216" s="88">
        <v>2584</v>
      </c>
      <c r="I216" s="88">
        <v>1577.45</v>
      </c>
      <c r="J216" s="83">
        <f t="shared" si="77"/>
        <v>6600.95</v>
      </c>
      <c r="K216" s="83">
        <f t="shared" si="81"/>
        <v>78399.05</v>
      </c>
      <c r="L216" s="83">
        <f t="shared" si="85"/>
        <v>8182.6997916666687</v>
      </c>
      <c r="M216" s="83"/>
      <c r="N216" s="84">
        <v>4775</v>
      </c>
      <c r="O216" s="116">
        <f t="shared" si="79"/>
        <v>19558.64979166667</v>
      </c>
      <c r="P216" s="84">
        <f>+F216-O216</f>
        <v>65441.35020833333</v>
      </c>
      <c r="Q216" s="55"/>
      <c r="R216" s="55"/>
    </row>
    <row r="217" spans="1:18" s="85" customFormat="1" ht="30" customHeight="1" x14ac:dyDescent="0.25">
      <c r="A217" s="229" t="s">
        <v>126</v>
      </c>
      <c r="B217" s="230"/>
      <c r="C217" s="230"/>
      <c r="D217" s="230"/>
      <c r="E217" s="231"/>
      <c r="F217" s="39">
        <f t="shared" ref="F217:P217" si="87">SUM(F216)</f>
        <v>85000</v>
      </c>
      <c r="G217" s="39">
        <f t="shared" si="87"/>
        <v>2439.5</v>
      </c>
      <c r="H217" s="39">
        <f t="shared" si="87"/>
        <v>2584</v>
      </c>
      <c r="I217" s="39">
        <f t="shared" si="87"/>
        <v>1577.45</v>
      </c>
      <c r="J217" s="39">
        <f t="shared" si="87"/>
        <v>6600.95</v>
      </c>
      <c r="K217" s="39">
        <f t="shared" si="87"/>
        <v>78399.05</v>
      </c>
      <c r="L217" s="39">
        <f t="shared" si="87"/>
        <v>8182.6997916666687</v>
      </c>
      <c r="M217" s="39"/>
      <c r="N217" s="39">
        <f t="shared" si="87"/>
        <v>4775</v>
      </c>
      <c r="O217" s="39">
        <f t="shared" si="87"/>
        <v>19558.64979166667</v>
      </c>
      <c r="P217" s="39">
        <f t="shared" si="87"/>
        <v>65441.35020833333</v>
      </c>
    </row>
    <row r="218" spans="1:18" s="41" customFormat="1" ht="30" customHeight="1" thickBot="1" x14ac:dyDescent="0.3">
      <c r="C218" s="43"/>
      <c r="Q218" s="55"/>
      <c r="R218" s="55"/>
    </row>
    <row r="219" spans="1:18" s="41" customFormat="1" ht="30" customHeight="1" thickBot="1" x14ac:dyDescent="0.3">
      <c r="A219" s="232" t="s">
        <v>303</v>
      </c>
      <c r="B219" s="233"/>
      <c r="C219" s="233"/>
      <c r="D219" s="233"/>
      <c r="E219" s="233"/>
      <c r="F219" s="233"/>
      <c r="G219" s="233"/>
      <c r="H219" s="233"/>
      <c r="I219" s="233"/>
      <c r="J219" s="233"/>
      <c r="K219" s="233"/>
      <c r="L219" s="233"/>
      <c r="M219" s="233"/>
      <c r="N219" s="233"/>
      <c r="O219" s="233"/>
      <c r="P219" s="233"/>
      <c r="Q219" s="55"/>
      <c r="R219" s="55"/>
    </row>
    <row r="220" spans="1:18" s="41" customFormat="1" ht="30" customHeight="1" x14ac:dyDescent="0.25">
      <c r="A220" s="81">
        <f>+A216+1</f>
        <v>112</v>
      </c>
      <c r="B220" s="122" t="s">
        <v>304</v>
      </c>
      <c r="C220" s="132" t="s">
        <v>430</v>
      </c>
      <c r="D220" s="158" t="s">
        <v>305</v>
      </c>
      <c r="E220" s="117" t="s">
        <v>122</v>
      </c>
      <c r="F220" s="116">
        <v>135000</v>
      </c>
      <c r="G220" s="83">
        <f>F220*2.87%</f>
        <v>3874.5</v>
      </c>
      <c r="H220" s="83">
        <f>F220*3.04%</f>
        <v>4104</v>
      </c>
      <c r="I220" s="83">
        <v>1577.45</v>
      </c>
      <c r="J220" s="83">
        <f t="shared" si="77"/>
        <v>9555.9500000000007</v>
      </c>
      <c r="K220" s="83">
        <f t="shared" si="81"/>
        <v>125444.05</v>
      </c>
      <c r="L220" s="83">
        <f>+IF(K220*12&lt;=416220.01,0,IF(K220*12&lt;=624329.01,(((K220*12-416220.01)*0.15)/12),IF((K220*12&lt;=867123.01),(31216+0.2*(K220*12-624329.01))/12,((79776+0.25*(K220*12-867123.01))/12))))-M220</f>
        <v>19943.94979166667</v>
      </c>
      <c r="M220" s="83"/>
      <c r="N220" s="84">
        <v>25</v>
      </c>
      <c r="O220" s="116">
        <f t="shared" si="79"/>
        <v>29524.89979166667</v>
      </c>
      <c r="P220" s="83">
        <f>+F220-O220</f>
        <v>105475.10020833333</v>
      </c>
      <c r="Q220" s="55"/>
      <c r="R220" s="55"/>
    </row>
    <row r="221" spans="1:18" s="55" customFormat="1" ht="30" customHeight="1" x14ac:dyDescent="0.25">
      <c r="A221" s="86">
        <f>+A220+1</f>
        <v>113</v>
      </c>
      <c r="B221" s="117" t="s">
        <v>16</v>
      </c>
      <c r="C221" s="38" t="s">
        <v>430</v>
      </c>
      <c r="D221" s="117" t="s">
        <v>306</v>
      </c>
      <c r="E221" s="117" t="s">
        <v>123</v>
      </c>
      <c r="F221" s="119">
        <v>80000</v>
      </c>
      <c r="G221" s="88">
        <f>F221*2.87%</f>
        <v>2296</v>
      </c>
      <c r="H221" s="88">
        <f>+F221*3.04%</f>
        <v>2432</v>
      </c>
      <c r="I221" s="88">
        <v>4732.3500000000004</v>
      </c>
      <c r="J221" s="83">
        <f t="shared" si="77"/>
        <v>9460.35</v>
      </c>
      <c r="K221" s="83">
        <f t="shared" si="81"/>
        <v>70539.649999999994</v>
      </c>
      <c r="L221" s="83">
        <f>+IF(K221*12&lt;=416220.01,0,IF(K221*12&lt;=624329.01,(((K221*12-416220.01)*0.15)/12),IF((K221*12&lt;=867123.01),(31216+0.2*(K221*12-624329.01))/12,((79776+0.25*(K221*12-867123.01))/12))))-M221</f>
        <v>1084.0898333333316</v>
      </c>
      <c r="M221" s="83">
        <v>5219.6899999999996</v>
      </c>
      <c r="N221" s="84">
        <v>1625</v>
      </c>
      <c r="O221" s="116">
        <f t="shared" si="79"/>
        <v>12169.439833333332</v>
      </c>
      <c r="P221" s="83">
        <f>+F221-O221</f>
        <v>67830.560166666663</v>
      </c>
    </row>
    <row r="222" spans="1:18" s="96" customFormat="1" ht="30" customHeight="1" x14ac:dyDescent="0.25">
      <c r="A222" s="229" t="s">
        <v>126</v>
      </c>
      <c r="B222" s="230"/>
      <c r="C222" s="230"/>
      <c r="D222" s="230"/>
      <c r="E222" s="231"/>
      <c r="F222" s="39">
        <f t="shared" ref="F222:P222" si="88">SUM(F220:F221)</f>
        <v>215000</v>
      </c>
      <c r="G222" s="39">
        <f t="shared" si="88"/>
        <v>6170.5</v>
      </c>
      <c r="H222" s="39">
        <f t="shared" si="88"/>
        <v>6536</v>
      </c>
      <c r="I222" s="39">
        <f t="shared" si="88"/>
        <v>6309.8</v>
      </c>
      <c r="J222" s="39">
        <f t="shared" si="88"/>
        <v>19016.300000000003</v>
      </c>
      <c r="K222" s="39">
        <f t="shared" si="88"/>
        <v>195983.7</v>
      </c>
      <c r="L222" s="39">
        <f t="shared" si="88"/>
        <v>21028.039625000001</v>
      </c>
      <c r="M222" s="39">
        <f t="shared" si="88"/>
        <v>5219.6899999999996</v>
      </c>
      <c r="N222" s="39">
        <f t="shared" si="88"/>
        <v>1650</v>
      </c>
      <c r="O222" s="39">
        <f t="shared" si="88"/>
        <v>41694.339625000001</v>
      </c>
      <c r="P222" s="39">
        <f t="shared" si="88"/>
        <v>173305.66037499998</v>
      </c>
    </row>
    <row r="223" spans="1:18" s="96" customFormat="1" ht="30" customHeight="1" thickBot="1" x14ac:dyDescent="0.3">
      <c r="A223" s="52"/>
      <c r="B223" s="52"/>
      <c r="C223" s="52"/>
      <c r="D223" s="52"/>
      <c r="E223" s="52"/>
      <c r="F223"/>
      <c r="G223"/>
      <c r="H223"/>
      <c r="I223"/>
      <c r="J223"/>
      <c r="K223"/>
      <c r="L223"/>
      <c r="M223"/>
      <c r="N223"/>
      <c r="O223"/>
      <c r="P223"/>
    </row>
    <row r="224" spans="1:18" s="41" customFormat="1" ht="30" customHeight="1" thickBot="1" x14ac:dyDescent="0.3">
      <c r="A224" s="232" t="s">
        <v>307</v>
      </c>
      <c r="B224" s="233"/>
      <c r="C224" s="233"/>
      <c r="D224" s="233"/>
      <c r="E224" s="233"/>
      <c r="F224" s="233"/>
      <c r="G224" s="233"/>
      <c r="H224" s="233"/>
      <c r="I224" s="233"/>
      <c r="J224" s="233"/>
      <c r="K224" s="233"/>
      <c r="L224" s="233"/>
      <c r="M224" s="233"/>
      <c r="N224" s="233"/>
      <c r="O224" s="233"/>
      <c r="P224" s="233"/>
      <c r="Q224" s="55"/>
      <c r="R224" s="55"/>
    </row>
    <row r="225" spans="1:18" s="41" customFormat="1" ht="30" customHeight="1" x14ac:dyDescent="0.25">
      <c r="A225" s="86">
        <f>+A221+1</f>
        <v>114</v>
      </c>
      <c r="B225" s="117" t="s">
        <v>110</v>
      </c>
      <c r="C225" s="38" t="s">
        <v>430</v>
      </c>
      <c r="D225" s="117" t="s">
        <v>111</v>
      </c>
      <c r="E225" s="117" t="s">
        <v>123</v>
      </c>
      <c r="F225" s="119">
        <v>100000</v>
      </c>
      <c r="G225" s="88">
        <f>F225*2.87%</f>
        <v>2870</v>
      </c>
      <c r="H225" s="88">
        <f>+F225*3.04%</f>
        <v>3040</v>
      </c>
      <c r="I225" s="88"/>
      <c r="J225" s="83">
        <f t="shared" si="77"/>
        <v>5910</v>
      </c>
      <c r="K225" s="83">
        <f t="shared" si="81"/>
        <v>94090</v>
      </c>
      <c r="L225" s="83">
        <f>+IF(K225*12&lt;=416220.01,0,IF(K225*12&lt;=624329.01,(((K225*12-416220.01)*0.15)/12),IF((K225*12&lt;=867123.01),(31216+0.2*(K225*12-624329.01))/12,((79776+0.25*(K225*12-867123.01))/12))))-M225</f>
        <v>10995.437291666667</v>
      </c>
      <c r="M225" s="83">
        <v>1110</v>
      </c>
      <c r="N225" s="84">
        <v>2025</v>
      </c>
      <c r="O225" s="116">
        <f t="shared" si="79"/>
        <v>18930.437291666669</v>
      </c>
      <c r="P225" s="83">
        <f>+F225-O225</f>
        <v>81069.562708333338</v>
      </c>
      <c r="Q225" s="55"/>
      <c r="R225" s="55"/>
    </row>
    <row r="226" spans="1:18" s="55" customFormat="1" ht="30" customHeight="1" x14ac:dyDescent="0.25">
      <c r="A226" s="86">
        <f>+A225+1</f>
        <v>115</v>
      </c>
      <c r="B226" s="117" t="s">
        <v>308</v>
      </c>
      <c r="C226" s="38" t="s">
        <v>429</v>
      </c>
      <c r="D226" s="117" t="s">
        <v>22</v>
      </c>
      <c r="E226" s="117" t="s">
        <v>200</v>
      </c>
      <c r="F226" s="119">
        <v>35000</v>
      </c>
      <c r="G226" s="88">
        <v>1004.5</v>
      </c>
      <c r="H226" s="88">
        <v>1064</v>
      </c>
      <c r="I226" s="88"/>
      <c r="J226" s="83">
        <f t="shared" si="77"/>
        <v>2068.5</v>
      </c>
      <c r="K226" s="83">
        <f t="shared" si="81"/>
        <v>32931.5</v>
      </c>
      <c r="L226" s="83">
        <f>+IF(K226*12&lt;=416220.01,0,IF(K226*12&lt;=624329.01,(((K226*12-416220.01)*0.15)/12),IF((K226*12&lt;=867123.01),(31216+0.2*(K226*12-624329.01))/12,((79776+0.25*(K226*12-867123.01))/12))))-M226</f>
        <v>0</v>
      </c>
      <c r="M226" s="83"/>
      <c r="N226" s="84">
        <v>25</v>
      </c>
      <c r="O226" s="116">
        <f t="shared" si="79"/>
        <v>2093.5</v>
      </c>
      <c r="P226" s="83">
        <f>+F226-O226</f>
        <v>32906.5</v>
      </c>
    </row>
    <row r="227" spans="1:18" s="55" customFormat="1" ht="30" customHeight="1" x14ac:dyDescent="0.25">
      <c r="A227" s="229" t="s">
        <v>126</v>
      </c>
      <c r="B227" s="230"/>
      <c r="C227" s="230"/>
      <c r="D227" s="230"/>
      <c r="E227" s="231"/>
      <c r="F227" s="39">
        <f t="shared" ref="F227:P227" si="89">SUM(F225:F226)</f>
        <v>135000</v>
      </c>
      <c r="G227" s="39">
        <f t="shared" si="89"/>
        <v>3874.5</v>
      </c>
      <c r="H227" s="39">
        <f t="shared" si="89"/>
        <v>4104</v>
      </c>
      <c r="I227" s="39">
        <f t="shared" si="89"/>
        <v>0</v>
      </c>
      <c r="J227" s="39">
        <f t="shared" si="89"/>
        <v>7978.5</v>
      </c>
      <c r="K227" s="39">
        <f t="shared" si="89"/>
        <v>127021.5</v>
      </c>
      <c r="L227" s="39">
        <f t="shared" si="89"/>
        <v>10995.437291666667</v>
      </c>
      <c r="M227" s="39">
        <f t="shared" si="89"/>
        <v>1110</v>
      </c>
      <c r="N227" s="39">
        <f t="shared" si="89"/>
        <v>2050</v>
      </c>
      <c r="O227" s="39">
        <f t="shared" si="89"/>
        <v>21023.937291666669</v>
      </c>
      <c r="P227" s="39">
        <f t="shared" si="89"/>
        <v>113976.06270833334</v>
      </c>
    </row>
    <row r="228" spans="1:18" s="41" customFormat="1" ht="30" customHeight="1" thickBot="1" x14ac:dyDescent="0.3">
      <c r="A228" s="43"/>
      <c r="B228" s="50"/>
      <c r="C228" s="150"/>
      <c r="D228" s="50"/>
      <c r="E228" s="50"/>
      <c r="F228" s="51"/>
      <c r="Q228" s="55"/>
      <c r="R228" s="55"/>
    </row>
    <row r="229" spans="1:18" s="41" customFormat="1" ht="30" customHeight="1" x14ac:dyDescent="0.25">
      <c r="A229" s="241" t="s">
        <v>209</v>
      </c>
      <c r="B229" s="242"/>
      <c r="C229" s="242"/>
      <c r="D229" s="242"/>
      <c r="E229" s="242"/>
      <c r="F229" s="242"/>
      <c r="G229" s="242"/>
      <c r="H229" s="242"/>
      <c r="I229" s="242"/>
      <c r="J229" s="242"/>
      <c r="K229" s="242"/>
      <c r="L229" s="242"/>
      <c r="M229" s="242"/>
      <c r="N229" s="242"/>
      <c r="O229" s="242"/>
      <c r="P229" s="242"/>
      <c r="Q229" s="55"/>
      <c r="R229" s="55"/>
    </row>
    <row r="230" spans="1:18" s="41" customFormat="1" ht="30" customHeight="1" x14ac:dyDescent="0.25">
      <c r="A230" s="86">
        <f>+A226+1</f>
        <v>116</v>
      </c>
      <c r="B230" s="117" t="s">
        <v>634</v>
      </c>
      <c r="C230" s="38" t="s">
        <v>430</v>
      </c>
      <c r="D230" s="117" t="s">
        <v>22</v>
      </c>
      <c r="E230" s="186" t="s">
        <v>233</v>
      </c>
      <c r="F230" s="119">
        <v>35000</v>
      </c>
      <c r="G230" s="88">
        <f>F230*2.87%</f>
        <v>1004.5</v>
      </c>
      <c r="H230" s="88">
        <f>+F230*3.04%</f>
        <v>1064</v>
      </c>
      <c r="I230" s="88"/>
      <c r="J230" s="83">
        <f t="shared" si="77"/>
        <v>2068.5</v>
      </c>
      <c r="K230" s="83">
        <f t="shared" si="81"/>
        <v>32931.5</v>
      </c>
      <c r="L230" s="83">
        <f t="shared" si="85"/>
        <v>0</v>
      </c>
      <c r="M230" s="83"/>
      <c r="N230" s="88">
        <v>5343.89</v>
      </c>
      <c r="O230" s="116">
        <f t="shared" si="79"/>
        <v>7412.39</v>
      </c>
      <c r="P230" s="83">
        <f>+F230-O230</f>
        <v>27587.61</v>
      </c>
      <c r="Q230" s="55"/>
      <c r="R230" s="55"/>
    </row>
    <row r="231" spans="1:18" s="41" customFormat="1" ht="30" customHeight="1" x14ac:dyDescent="0.25">
      <c r="A231" s="229" t="s">
        <v>126</v>
      </c>
      <c r="B231" s="230"/>
      <c r="C231" s="230"/>
      <c r="D231" s="230"/>
      <c r="E231" s="231"/>
      <c r="F231" s="39">
        <f t="shared" ref="F231:P231" si="90">SUM(F230:F230)</f>
        <v>35000</v>
      </c>
      <c r="G231" s="39">
        <f t="shared" si="90"/>
        <v>1004.5</v>
      </c>
      <c r="H231" s="39">
        <f t="shared" si="90"/>
        <v>1064</v>
      </c>
      <c r="I231" s="39">
        <f t="shared" si="90"/>
        <v>0</v>
      </c>
      <c r="J231" s="39">
        <f t="shared" si="90"/>
        <v>2068.5</v>
      </c>
      <c r="K231" s="39">
        <f t="shared" si="90"/>
        <v>32931.5</v>
      </c>
      <c r="L231" s="39">
        <f t="shared" si="90"/>
        <v>0</v>
      </c>
      <c r="M231" s="39"/>
      <c r="N231" s="39">
        <f t="shared" si="90"/>
        <v>5343.89</v>
      </c>
      <c r="O231" s="39">
        <f t="shared" si="90"/>
        <v>7412.39</v>
      </c>
      <c r="P231" s="39">
        <f t="shared" si="90"/>
        <v>27587.61</v>
      </c>
      <c r="Q231" s="55"/>
      <c r="R231" s="55"/>
    </row>
    <row r="232" spans="1:18" s="41" customFormat="1" ht="30" customHeight="1" thickBot="1" x14ac:dyDescent="0.3">
      <c r="A232" s="53"/>
      <c r="B232" s="47"/>
      <c r="C232" s="52"/>
      <c r="D232" s="54"/>
      <c r="E232" s="54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55"/>
      <c r="R232" s="55"/>
    </row>
    <row r="233" spans="1:18" s="41" customFormat="1" ht="30" customHeight="1" thickBot="1" x14ac:dyDescent="0.3">
      <c r="A233" s="232" t="s">
        <v>86</v>
      </c>
      <c r="B233" s="233"/>
      <c r="C233" s="233"/>
      <c r="D233" s="233"/>
      <c r="E233" s="233"/>
      <c r="F233" s="233"/>
      <c r="G233" s="233"/>
      <c r="H233" s="233"/>
      <c r="I233" s="233"/>
      <c r="J233" s="233"/>
      <c r="K233" s="233"/>
      <c r="L233" s="233"/>
      <c r="M233" s="233"/>
      <c r="N233" s="233"/>
      <c r="O233" s="233"/>
      <c r="P233" s="233"/>
      <c r="Q233" s="55"/>
      <c r="R233" s="55"/>
    </row>
    <row r="234" spans="1:18" s="55" customFormat="1" ht="30" customHeight="1" x14ac:dyDescent="0.25">
      <c r="A234" s="86">
        <f>+A230+1</f>
        <v>117</v>
      </c>
      <c r="B234" s="117" t="s">
        <v>10</v>
      </c>
      <c r="C234" s="38" t="s">
        <v>430</v>
      </c>
      <c r="D234" s="117" t="s">
        <v>95</v>
      </c>
      <c r="E234" s="117" t="s">
        <v>123</v>
      </c>
      <c r="F234" s="119">
        <v>50000</v>
      </c>
      <c r="G234" s="119">
        <f>F234*2.87%</f>
        <v>1435</v>
      </c>
      <c r="H234" s="88">
        <f>+F234*3.04%</f>
        <v>1520</v>
      </c>
      <c r="I234" s="88"/>
      <c r="J234" s="83">
        <f t="shared" si="77"/>
        <v>2955</v>
      </c>
      <c r="K234" s="83">
        <f t="shared" si="81"/>
        <v>47045</v>
      </c>
      <c r="L234" s="83">
        <f>+IF(K234*12&lt;=416220.01,0,IF(K234*12&lt;=624329.01,(((K234*12-416220.01)*0.15)/12),IF((K234*12&lt;=867123.01),(31216+0.2*(K234*12-624329.01))/12,((79776+0.25*(K234*12-867123.01))/12))))-M234</f>
        <v>-1.2500000025283953E-4</v>
      </c>
      <c r="M234" s="83">
        <v>1854</v>
      </c>
      <c r="N234" s="84">
        <v>125</v>
      </c>
      <c r="O234" s="116">
        <f t="shared" si="79"/>
        <v>3079.9998749999995</v>
      </c>
      <c r="P234" s="83">
        <f>+F234-O234</f>
        <v>46920.000124999999</v>
      </c>
    </row>
    <row r="235" spans="1:18" s="55" customFormat="1" ht="30" customHeight="1" x14ac:dyDescent="0.25">
      <c r="A235" s="229" t="s">
        <v>126</v>
      </c>
      <c r="B235" s="230"/>
      <c r="C235" s="230"/>
      <c r="D235" s="230"/>
      <c r="E235" s="231"/>
      <c r="F235" s="39">
        <f t="shared" ref="F235:P235" si="91">SUM(F234:F234)</f>
        <v>50000</v>
      </c>
      <c r="G235" s="39">
        <f t="shared" si="91"/>
        <v>1435</v>
      </c>
      <c r="H235" s="39">
        <f t="shared" si="91"/>
        <v>1520</v>
      </c>
      <c r="I235" s="39">
        <f t="shared" si="91"/>
        <v>0</v>
      </c>
      <c r="J235" s="39">
        <f t="shared" si="91"/>
        <v>2955</v>
      </c>
      <c r="K235" s="39">
        <f t="shared" si="91"/>
        <v>47045</v>
      </c>
      <c r="L235" s="39">
        <f t="shared" si="91"/>
        <v>-1.2500000025283953E-4</v>
      </c>
      <c r="M235" s="39">
        <f t="shared" si="91"/>
        <v>1854</v>
      </c>
      <c r="N235" s="39">
        <f t="shared" si="91"/>
        <v>125</v>
      </c>
      <c r="O235" s="39">
        <f t="shared" si="91"/>
        <v>3079.9998749999995</v>
      </c>
      <c r="P235" s="39">
        <f t="shared" si="91"/>
        <v>46920.000124999999</v>
      </c>
    </row>
    <row r="236" spans="1:18" s="55" customFormat="1" ht="30" customHeight="1" thickBot="1" x14ac:dyDescent="0.3">
      <c r="A236" s="52"/>
      <c r="B236" s="52"/>
      <c r="C236" s="52"/>
      <c r="D236" s="52"/>
      <c r="E236" s="52"/>
      <c r="F236"/>
      <c r="G236"/>
      <c r="H236"/>
      <c r="I236"/>
      <c r="J236"/>
      <c r="K236"/>
      <c r="L236"/>
      <c r="M236"/>
      <c r="N236"/>
      <c r="O236"/>
      <c r="P236"/>
    </row>
    <row r="237" spans="1:18" s="41" customFormat="1" ht="30" customHeight="1" thickBot="1" x14ac:dyDescent="0.3">
      <c r="A237" s="232" t="s">
        <v>177</v>
      </c>
      <c r="B237" s="233"/>
      <c r="C237" s="233"/>
      <c r="D237" s="233"/>
      <c r="E237" s="233"/>
      <c r="F237" s="233"/>
      <c r="G237" s="233"/>
      <c r="H237" s="233"/>
      <c r="I237" s="233"/>
      <c r="J237" s="233"/>
      <c r="K237" s="233"/>
      <c r="L237" s="233"/>
      <c r="M237" s="233"/>
      <c r="N237" s="233"/>
      <c r="O237" s="233"/>
      <c r="P237" s="233"/>
      <c r="Q237" s="55"/>
      <c r="R237" s="55"/>
    </row>
    <row r="238" spans="1:18" s="55" customFormat="1" ht="30" customHeight="1" x14ac:dyDescent="0.25">
      <c r="A238" s="81">
        <f>+A234+1</f>
        <v>118</v>
      </c>
      <c r="B238" s="82" t="s">
        <v>7</v>
      </c>
      <c r="C238" s="81" t="s">
        <v>430</v>
      </c>
      <c r="D238" s="82" t="s">
        <v>6</v>
      </c>
      <c r="E238" s="82" t="s">
        <v>123</v>
      </c>
      <c r="F238" s="83">
        <v>54500</v>
      </c>
      <c r="G238" s="83">
        <f>F238*2.87%</f>
        <v>1564.15</v>
      </c>
      <c r="H238" s="83">
        <f>+F238*3.04%</f>
        <v>1656.8</v>
      </c>
      <c r="I238" s="83">
        <v>3154.9</v>
      </c>
      <c r="J238" s="83">
        <f t="shared" si="77"/>
        <v>6375.85</v>
      </c>
      <c r="K238" s="83">
        <f t="shared" si="81"/>
        <v>48124.15</v>
      </c>
      <c r="L238" s="83">
        <f>+IF(K238*12&lt;=416220.01,0,IF(K238*12&lt;=624329.01,(((K238*12-416220.01)*0.15)/12),IF((K238*12&lt;=867123.01),(31216+0.2*(K238*12-624329.01))/12,((79776+0.25*(K238*12-867123.01))/12))))-M238</f>
        <v>2.3750000007112249E-3</v>
      </c>
      <c r="M238" s="83">
        <v>2015.87</v>
      </c>
      <c r="N238" s="84">
        <v>125</v>
      </c>
      <c r="O238" s="116">
        <f t="shared" si="79"/>
        <v>6500.8523750000013</v>
      </c>
      <c r="P238" s="83">
        <f>+F238-O238</f>
        <v>47999.147624999998</v>
      </c>
    </row>
    <row r="239" spans="1:18" s="49" customFormat="1" ht="30" customHeight="1" x14ac:dyDescent="0.25">
      <c r="A239" s="81">
        <f>+A238+1</f>
        <v>119</v>
      </c>
      <c r="B239" s="122" t="s">
        <v>17</v>
      </c>
      <c r="C239" s="132" t="s">
        <v>430</v>
      </c>
      <c r="D239" s="122" t="s">
        <v>311</v>
      </c>
      <c r="E239" s="122" t="s">
        <v>122</v>
      </c>
      <c r="F239" s="116">
        <v>50000</v>
      </c>
      <c r="G239" s="116">
        <f>F239*2.87%</f>
        <v>1435</v>
      </c>
      <c r="H239" s="83">
        <f>+F239*3.04%</f>
        <v>1520</v>
      </c>
      <c r="I239" s="83">
        <v>1577.45</v>
      </c>
      <c r="J239" s="83">
        <f t="shared" si="77"/>
        <v>4532.45</v>
      </c>
      <c r="K239" s="83">
        <f t="shared" si="81"/>
        <v>45467.55</v>
      </c>
      <c r="L239" s="83">
        <f t="shared" ref="L239:L241" si="92">+IF(K239*12&lt;=416220.01,0,IF(K239*12&lt;=624329.01,(((K239*12-416220.01)*0.15)/12),IF((K239*12&lt;=867123.01),(31216+0.2*(K239*12-624329.01))/12,((79776+0.25*(K239*12-867123.01))/12))))-M239</f>
        <v>2.3750000009385985E-3</v>
      </c>
      <c r="M239" s="83">
        <v>1617.38</v>
      </c>
      <c r="N239" s="84">
        <v>10025</v>
      </c>
      <c r="O239" s="116">
        <f t="shared" si="79"/>
        <v>14557.452375000001</v>
      </c>
      <c r="P239" s="88">
        <f>+F239-O239</f>
        <v>35442.547624999999</v>
      </c>
      <c r="Q239" s="93"/>
      <c r="R239" s="93"/>
    </row>
    <row r="240" spans="1:18" s="41" customFormat="1" ht="30" customHeight="1" x14ac:dyDescent="0.25">
      <c r="A240" s="38">
        <f>+A239+1</f>
        <v>120</v>
      </c>
      <c r="B240" s="117" t="s">
        <v>528</v>
      </c>
      <c r="C240" s="38" t="s">
        <v>429</v>
      </c>
      <c r="D240" s="117" t="s">
        <v>199</v>
      </c>
      <c r="E240" s="117" t="s">
        <v>233</v>
      </c>
      <c r="F240" s="119">
        <v>50000</v>
      </c>
      <c r="G240" s="119">
        <f>F240*2.87%</f>
        <v>1435</v>
      </c>
      <c r="H240" s="119">
        <f>+F240*3.04%</f>
        <v>1520</v>
      </c>
      <c r="I240" s="119"/>
      <c r="J240" s="83">
        <f t="shared" si="77"/>
        <v>2955</v>
      </c>
      <c r="K240" s="83">
        <f t="shared" si="81"/>
        <v>47045</v>
      </c>
      <c r="L240" s="83">
        <f t="shared" si="92"/>
        <v>-1.2500000025283953E-4</v>
      </c>
      <c r="M240" s="83">
        <v>1854</v>
      </c>
      <c r="N240" s="121">
        <v>25</v>
      </c>
      <c r="O240" s="116">
        <f t="shared" si="79"/>
        <v>2979.9998749999995</v>
      </c>
      <c r="P240" s="116">
        <f>+F240-O240</f>
        <v>47020.000124999999</v>
      </c>
      <c r="Q240" s="55"/>
      <c r="R240" s="55"/>
    </row>
    <row r="241" spans="1:18" s="93" customFormat="1" ht="30" customHeight="1" x14ac:dyDescent="0.25">
      <c r="A241" s="86">
        <f>+A240+1</f>
        <v>121</v>
      </c>
      <c r="B241" s="87" t="s">
        <v>310</v>
      </c>
      <c r="C241" s="86" t="s">
        <v>429</v>
      </c>
      <c r="D241" s="87" t="s">
        <v>6</v>
      </c>
      <c r="E241" s="87" t="s">
        <v>123</v>
      </c>
      <c r="F241" s="88">
        <v>49500</v>
      </c>
      <c r="G241" s="88">
        <f>F241*2.87%</f>
        <v>1420.65</v>
      </c>
      <c r="H241" s="88">
        <f>+F241*3.04%</f>
        <v>1504.8</v>
      </c>
      <c r="I241" s="88"/>
      <c r="J241" s="83">
        <f t="shared" si="77"/>
        <v>2925.45</v>
      </c>
      <c r="K241" s="83">
        <f t="shared" si="81"/>
        <v>46574.55</v>
      </c>
      <c r="L241" s="83">
        <f t="shared" si="92"/>
        <v>2.3750000009385985E-3</v>
      </c>
      <c r="M241" s="83">
        <v>1783.43</v>
      </c>
      <c r="N241" s="84">
        <v>125</v>
      </c>
      <c r="O241" s="116">
        <f t="shared" si="79"/>
        <v>3050.4523750000008</v>
      </c>
      <c r="P241" s="83">
        <f>+F241-O241</f>
        <v>46449.547624999999</v>
      </c>
    </row>
    <row r="242" spans="1:18" s="55" customFormat="1" ht="30" customHeight="1" x14ac:dyDescent="0.25">
      <c r="A242" s="229" t="s">
        <v>126</v>
      </c>
      <c r="B242" s="230"/>
      <c r="C242" s="230"/>
      <c r="D242" s="230"/>
      <c r="E242" s="231"/>
      <c r="F242" s="39">
        <f t="shared" ref="F242:P242" si="93">SUM(F238:F241)</f>
        <v>204000</v>
      </c>
      <c r="G242" s="39">
        <f t="shared" si="93"/>
        <v>5854.7999999999993</v>
      </c>
      <c r="H242" s="39">
        <f t="shared" si="93"/>
        <v>6201.6</v>
      </c>
      <c r="I242" s="39">
        <f t="shared" si="93"/>
        <v>4732.3500000000004</v>
      </c>
      <c r="J242" s="39">
        <f t="shared" si="93"/>
        <v>16788.75</v>
      </c>
      <c r="K242" s="39">
        <f t="shared" si="93"/>
        <v>187211.25</v>
      </c>
      <c r="L242" s="39">
        <f t="shared" si="93"/>
        <v>7.0000000023355824E-3</v>
      </c>
      <c r="M242" s="39">
        <f t="shared" si="93"/>
        <v>7270.68</v>
      </c>
      <c r="N242" s="39">
        <f t="shared" si="93"/>
        <v>10300</v>
      </c>
      <c r="O242" s="39">
        <f t="shared" si="93"/>
        <v>27088.757000000005</v>
      </c>
      <c r="P242" s="39">
        <f t="shared" si="93"/>
        <v>176911.24299999999</v>
      </c>
    </row>
    <row r="243" spans="1:18" s="55" customFormat="1" ht="30" customHeight="1" thickBot="1" x14ac:dyDescent="0.3">
      <c r="A243" s="46"/>
      <c r="B243" s="44"/>
      <c r="C243" s="46"/>
      <c r="D243" s="44"/>
      <c r="E243" s="44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</row>
    <row r="244" spans="1:18" s="41" customFormat="1" ht="30" customHeight="1" thickBot="1" x14ac:dyDescent="0.3">
      <c r="A244" s="232" t="s">
        <v>178</v>
      </c>
      <c r="B244" s="233"/>
      <c r="C244" s="233"/>
      <c r="D244" s="233"/>
      <c r="E244" s="233"/>
      <c r="F244" s="233"/>
      <c r="G244" s="233"/>
      <c r="H244" s="233"/>
      <c r="I244" s="233"/>
      <c r="J244" s="233"/>
      <c r="K244" s="233"/>
      <c r="L244" s="233"/>
      <c r="M244" s="233"/>
      <c r="N244" s="233"/>
      <c r="O244" s="233"/>
      <c r="P244" s="233"/>
      <c r="Q244" s="55"/>
      <c r="R244" s="55"/>
    </row>
    <row r="245" spans="1:18" s="41" customFormat="1" ht="30" customHeight="1" x14ac:dyDescent="0.25">
      <c r="A245" s="86">
        <f>+A241+1</f>
        <v>122</v>
      </c>
      <c r="B245" s="117" t="s">
        <v>194</v>
      </c>
      <c r="C245" s="38" t="s">
        <v>429</v>
      </c>
      <c r="D245" s="117" t="s">
        <v>9</v>
      </c>
      <c r="E245" s="117" t="s">
        <v>123</v>
      </c>
      <c r="F245" s="119">
        <v>80000</v>
      </c>
      <c r="G245" s="119">
        <f>F245*2.87%</f>
        <v>2296</v>
      </c>
      <c r="H245" s="88">
        <f>+F245*3.04%</f>
        <v>2432</v>
      </c>
      <c r="I245" s="88"/>
      <c r="J245" s="83">
        <f t="shared" si="77"/>
        <v>4728</v>
      </c>
      <c r="K245" s="83">
        <f t="shared" si="81"/>
        <v>75272</v>
      </c>
      <c r="L245" s="83">
        <f>+IF(K245*12&lt;=416220.01,0,IF(K245*12&lt;=624329.01,(((K245*12-416220.01)*0.15)/12),IF((K245*12&lt;=867123.01),(31216+0.2*(K245*12-624329.01))/12,((79776+0.25*(K245*12-867123.01))/12))))-M245</f>
        <v>6290.9372916666662</v>
      </c>
      <c r="M245" s="83">
        <v>1110</v>
      </c>
      <c r="N245" s="84">
        <f>2268.24+100+25</f>
        <v>2393.2399999999998</v>
      </c>
      <c r="O245" s="116">
        <f t="shared" si="79"/>
        <v>13412.177291666667</v>
      </c>
      <c r="P245" s="84">
        <f>+F245-O245</f>
        <v>66587.822708333333</v>
      </c>
      <c r="Q245" s="55"/>
      <c r="R245" s="55"/>
    </row>
    <row r="246" spans="1:18" s="55" customFormat="1" ht="30" customHeight="1" x14ac:dyDescent="0.25">
      <c r="A246" s="81">
        <f>+A245+1</f>
        <v>123</v>
      </c>
      <c r="B246" s="122" t="s">
        <v>309</v>
      </c>
      <c r="C246" s="132" t="s">
        <v>429</v>
      </c>
      <c r="D246" s="122" t="s">
        <v>199</v>
      </c>
      <c r="E246" s="122" t="s">
        <v>233</v>
      </c>
      <c r="F246" s="116">
        <v>60000</v>
      </c>
      <c r="G246" s="187">
        <f>F246*2.87%</f>
        <v>1722</v>
      </c>
      <c r="H246" s="95">
        <f>+F246*3.04%</f>
        <v>1824</v>
      </c>
      <c r="I246" s="95"/>
      <c r="J246" s="83">
        <f t="shared" si="77"/>
        <v>3546</v>
      </c>
      <c r="K246" s="83">
        <f t="shared" si="81"/>
        <v>56454</v>
      </c>
      <c r="L246" s="83">
        <f>+IF(K246*12&lt;=416220.01,0,IF(K246*12&lt;=624329.01,(((K246*12-416220.01)*0.15)/12),IF((K246*12&lt;=867123.01),(31216+0.2*(K246*12-624329.01))/12,((79776+0.25*(K246*12-867123.01))/12))))-M246</f>
        <v>2696.4598333333329</v>
      </c>
      <c r="M246" s="83">
        <v>790.19</v>
      </c>
      <c r="N246" s="84">
        <v>25</v>
      </c>
      <c r="O246" s="116">
        <f t="shared" si="79"/>
        <v>6267.4598333333324</v>
      </c>
      <c r="P246" s="95">
        <f>+F246-O246</f>
        <v>53732.540166666666</v>
      </c>
    </row>
    <row r="247" spans="1:18" s="55" customFormat="1" ht="30" customHeight="1" x14ac:dyDescent="0.25">
      <c r="A247" s="229" t="s">
        <v>126</v>
      </c>
      <c r="B247" s="230"/>
      <c r="C247" s="230"/>
      <c r="D247" s="230"/>
      <c r="E247" s="231"/>
      <c r="F247" s="39">
        <f t="shared" ref="F247:P247" si="94">SUM(F245:F246)</f>
        <v>140000</v>
      </c>
      <c r="G247" s="39">
        <f t="shared" si="94"/>
        <v>4018</v>
      </c>
      <c r="H247" s="39">
        <f t="shared" si="94"/>
        <v>4256</v>
      </c>
      <c r="I247" s="39">
        <f t="shared" si="94"/>
        <v>0</v>
      </c>
      <c r="J247" s="39">
        <f t="shared" si="94"/>
        <v>8274</v>
      </c>
      <c r="K247" s="39">
        <f t="shared" si="94"/>
        <v>131726</v>
      </c>
      <c r="L247" s="39">
        <f t="shared" si="94"/>
        <v>8987.3971249999995</v>
      </c>
      <c r="M247" s="39">
        <f t="shared" si="94"/>
        <v>1900.19</v>
      </c>
      <c r="N247" s="39">
        <f t="shared" si="94"/>
        <v>2418.2399999999998</v>
      </c>
      <c r="O247" s="39">
        <f t="shared" si="94"/>
        <v>19679.637125000001</v>
      </c>
      <c r="P247" s="39">
        <f t="shared" si="94"/>
        <v>120320.36287499999</v>
      </c>
    </row>
    <row r="248" spans="1:18" s="41" customFormat="1" ht="30" customHeight="1" thickBot="1" x14ac:dyDescent="0.3">
      <c r="A248" s="46"/>
      <c r="B248" s="44"/>
      <c r="C248" s="46"/>
      <c r="D248" s="44"/>
      <c r="E248" s="44"/>
      <c r="Q248" s="55"/>
      <c r="R248" s="55"/>
    </row>
    <row r="249" spans="1:18" s="41" customFormat="1" ht="30" customHeight="1" thickBot="1" x14ac:dyDescent="0.3">
      <c r="A249" s="264" t="s">
        <v>313</v>
      </c>
      <c r="B249" s="265"/>
      <c r="C249" s="265"/>
      <c r="D249" s="265"/>
      <c r="E249" s="235"/>
      <c r="F249" s="235"/>
      <c r="G249" s="235"/>
      <c r="H249" s="235"/>
      <c r="I249" s="235"/>
      <c r="J249" s="235"/>
      <c r="K249" s="235"/>
      <c r="L249" s="235"/>
      <c r="M249" s="235"/>
      <c r="N249" s="235"/>
      <c r="O249" s="235"/>
      <c r="P249" s="235"/>
      <c r="Q249" s="55"/>
      <c r="R249" s="55"/>
    </row>
    <row r="250" spans="1:18" s="41" customFormat="1" ht="30" customHeight="1" x14ac:dyDescent="0.25">
      <c r="A250" s="86">
        <f>+A246+1</f>
        <v>124</v>
      </c>
      <c r="B250" s="117" t="s">
        <v>4</v>
      </c>
      <c r="C250" s="38" t="s">
        <v>429</v>
      </c>
      <c r="D250" s="117" t="s">
        <v>459</v>
      </c>
      <c r="E250" s="117" t="s">
        <v>123</v>
      </c>
      <c r="F250" s="119">
        <v>105000</v>
      </c>
      <c r="G250" s="119">
        <f>F250*2.87%</f>
        <v>3013.5</v>
      </c>
      <c r="H250" s="88">
        <f>+F250*3.04%</f>
        <v>3192</v>
      </c>
      <c r="I250" s="88">
        <v>3154.9</v>
      </c>
      <c r="J250" s="83">
        <f t="shared" si="77"/>
        <v>9360.4</v>
      </c>
      <c r="K250" s="83">
        <f t="shared" si="81"/>
        <v>95639.6</v>
      </c>
      <c r="L250" s="83">
        <f t="shared" si="85"/>
        <v>12492.83729166667</v>
      </c>
      <c r="M250" s="83"/>
      <c r="N250" s="84">
        <v>25</v>
      </c>
      <c r="O250" s="116">
        <f t="shared" si="79"/>
        <v>21878.237291666672</v>
      </c>
      <c r="P250" s="84">
        <f>+F250-O250</f>
        <v>83121.762708333321</v>
      </c>
      <c r="Q250" s="55"/>
      <c r="R250" s="55"/>
    </row>
    <row r="251" spans="1:18" s="55" customFormat="1" ht="30" customHeight="1" x14ac:dyDescent="0.25">
      <c r="A251" s="229" t="s">
        <v>126</v>
      </c>
      <c r="B251" s="230"/>
      <c r="C251" s="230"/>
      <c r="D251" s="230"/>
      <c r="E251" s="231"/>
      <c r="F251" s="39">
        <f t="shared" ref="F251:P251" si="95">SUM(F250:F250)</f>
        <v>105000</v>
      </c>
      <c r="G251" s="39">
        <f t="shared" si="95"/>
        <v>3013.5</v>
      </c>
      <c r="H251" s="39">
        <f t="shared" si="95"/>
        <v>3192</v>
      </c>
      <c r="I251" s="39">
        <f t="shared" si="95"/>
        <v>3154.9</v>
      </c>
      <c r="J251" s="39">
        <f t="shared" si="95"/>
        <v>9360.4</v>
      </c>
      <c r="K251" s="39">
        <f t="shared" si="95"/>
        <v>95639.6</v>
      </c>
      <c r="L251" s="39">
        <f t="shared" si="95"/>
        <v>12492.83729166667</v>
      </c>
      <c r="M251" s="39"/>
      <c r="N251" s="39">
        <f t="shared" si="95"/>
        <v>25</v>
      </c>
      <c r="O251" s="39">
        <f t="shared" si="95"/>
        <v>21878.237291666672</v>
      </c>
      <c r="P251" s="39">
        <f t="shared" si="95"/>
        <v>83121.762708333321</v>
      </c>
    </row>
    <row r="252" spans="1:18" s="55" customFormat="1" ht="30" customHeight="1" thickBot="1" x14ac:dyDescent="0.3">
      <c r="A252" s="52"/>
      <c r="B252" s="52"/>
      <c r="C252" s="52"/>
      <c r="D252" s="52"/>
      <c r="E252" s="52"/>
      <c r="F252"/>
      <c r="G252"/>
      <c r="H252"/>
      <c r="I252"/>
      <c r="J252"/>
      <c r="K252"/>
      <c r="L252"/>
      <c r="M252"/>
      <c r="N252"/>
      <c r="O252"/>
      <c r="P252"/>
    </row>
    <row r="253" spans="1:18" s="41" customFormat="1" ht="30" customHeight="1" thickBot="1" x14ac:dyDescent="0.3">
      <c r="A253" s="237" t="s">
        <v>314</v>
      </c>
      <c r="B253" s="238"/>
      <c r="C253" s="238"/>
      <c r="D253" s="238"/>
      <c r="E253" s="238"/>
      <c r="F253" s="238"/>
      <c r="G253" s="238"/>
      <c r="H253" s="238"/>
      <c r="I253" s="238"/>
      <c r="J253" s="238"/>
      <c r="K253" s="238"/>
      <c r="L253" s="238"/>
      <c r="M253" s="238"/>
      <c r="N253" s="238"/>
      <c r="O253" s="238"/>
      <c r="P253" s="238"/>
      <c r="Q253" s="55"/>
      <c r="R253" s="55"/>
    </row>
    <row r="254" spans="1:18" s="41" customFormat="1" ht="30" customHeight="1" x14ac:dyDescent="0.25">
      <c r="A254" s="86">
        <f>+A250+1</f>
        <v>125</v>
      </c>
      <c r="B254" s="117" t="s">
        <v>315</v>
      </c>
      <c r="C254" s="38" t="s">
        <v>429</v>
      </c>
      <c r="D254" s="117" t="s">
        <v>83</v>
      </c>
      <c r="E254" s="117" t="s">
        <v>122</v>
      </c>
      <c r="F254" s="119">
        <v>90000</v>
      </c>
      <c r="G254" s="88">
        <f>F254*2.87%</f>
        <v>2583</v>
      </c>
      <c r="H254" s="88">
        <f>+F254*3.04%</f>
        <v>2736</v>
      </c>
      <c r="I254" s="88"/>
      <c r="J254" s="83">
        <f t="shared" si="77"/>
        <v>5319</v>
      </c>
      <c r="K254" s="83">
        <f t="shared" si="81"/>
        <v>84681</v>
      </c>
      <c r="L254" s="83">
        <f>+IF(K254*12&lt;=416220.01,0,IF(K254*12&lt;=624329.01,(((K254*12-416220.01)*0.15)/12),IF((K254*12&lt;=867123.01),(31216+0.2*(K254*12-624329.01))/12,((79776+0.25*(K254*12-867123.01))/12))))-M254</f>
        <v>9753.1872916666671</v>
      </c>
      <c r="M254" s="83"/>
      <c r="N254" s="84">
        <v>25</v>
      </c>
      <c r="O254" s="116">
        <f t="shared" si="79"/>
        <v>15097.187291666667</v>
      </c>
      <c r="P254" s="84">
        <f>+F254-O254</f>
        <v>74902.812708333338</v>
      </c>
      <c r="Q254" s="55"/>
      <c r="R254" s="55"/>
    </row>
    <row r="255" spans="1:18" s="55" customFormat="1" ht="30" customHeight="1" x14ac:dyDescent="0.25">
      <c r="A255" s="86">
        <f>+A254+1</f>
        <v>126</v>
      </c>
      <c r="B255" s="117" t="s">
        <v>19</v>
      </c>
      <c r="C255" s="38" t="s">
        <v>429</v>
      </c>
      <c r="D255" s="136" t="s">
        <v>316</v>
      </c>
      <c r="E255" s="117" t="s">
        <v>123</v>
      </c>
      <c r="F255" s="88">
        <v>68000</v>
      </c>
      <c r="G255" s="88">
        <f>F255*2.87%</f>
        <v>1951.6</v>
      </c>
      <c r="H255" s="88">
        <f>+F255*3.04%</f>
        <v>2067.1999999999998</v>
      </c>
      <c r="I255" s="88"/>
      <c r="J255" s="83">
        <f t="shared" si="77"/>
        <v>4018.7999999999997</v>
      </c>
      <c r="K255" s="83">
        <f t="shared" si="81"/>
        <v>63981.2</v>
      </c>
      <c r="L255" s="83">
        <f>+IF(K255*12&lt;=416220.01,0,IF(K255*12&lt;=624329.01,(((K255*12-416220.01)*0.15)/12),IF((K255*12&lt;=867123.01),(31216+0.2*(K255*12-624329.01))/12,((79776+0.25*(K255*12-867123.01))/12))))-M255</f>
        <v>-1.6666666851961054E-4</v>
      </c>
      <c r="M255" s="83">
        <v>4992.09</v>
      </c>
      <c r="N255" s="84">
        <f>11471.45+100+25</f>
        <v>11596.45</v>
      </c>
      <c r="O255" s="116">
        <f t="shared" si="79"/>
        <v>15615.249833333333</v>
      </c>
      <c r="P255" s="84">
        <f>+F255-O255</f>
        <v>52384.750166666665</v>
      </c>
    </row>
    <row r="256" spans="1:18" s="93" customFormat="1" ht="30" customHeight="1" x14ac:dyDescent="0.25">
      <c r="A256" s="229" t="s">
        <v>126</v>
      </c>
      <c r="B256" s="230"/>
      <c r="C256" s="230"/>
      <c r="D256" s="230"/>
      <c r="E256" s="231"/>
      <c r="F256" s="39">
        <f t="shared" ref="F256:P256" si="96">SUM(F254:F255)</f>
        <v>158000</v>
      </c>
      <c r="G256" s="39">
        <f t="shared" si="96"/>
        <v>4534.6000000000004</v>
      </c>
      <c r="H256" s="39">
        <f t="shared" si="96"/>
        <v>4803.2</v>
      </c>
      <c r="I256" s="39">
        <f t="shared" si="96"/>
        <v>0</v>
      </c>
      <c r="J256" s="39">
        <f t="shared" si="96"/>
        <v>9337.7999999999993</v>
      </c>
      <c r="K256" s="39">
        <f t="shared" si="96"/>
        <v>148662.20000000001</v>
      </c>
      <c r="L256" s="39">
        <f t="shared" si="96"/>
        <v>9753.1871249999986</v>
      </c>
      <c r="M256" s="39">
        <f t="shared" si="96"/>
        <v>4992.09</v>
      </c>
      <c r="N256" s="39">
        <f t="shared" si="96"/>
        <v>11621.45</v>
      </c>
      <c r="O256" s="39">
        <f t="shared" si="96"/>
        <v>30712.437125</v>
      </c>
      <c r="P256" s="39">
        <f t="shared" si="96"/>
        <v>127287.562875</v>
      </c>
    </row>
    <row r="257" spans="1:18" s="55" customFormat="1" ht="30" customHeight="1" thickBot="1" x14ac:dyDescent="0.3">
      <c r="A257" s="52"/>
      <c r="B257" s="52"/>
      <c r="C257" s="52"/>
      <c r="D257" s="52"/>
      <c r="E257" s="52"/>
      <c r="F257"/>
      <c r="G257"/>
      <c r="H257"/>
      <c r="I257"/>
      <c r="J257"/>
      <c r="K257"/>
      <c r="L257"/>
      <c r="M257"/>
      <c r="N257"/>
      <c r="O257"/>
      <c r="P257"/>
    </row>
    <row r="258" spans="1:18" s="41" customFormat="1" ht="30" customHeight="1" thickBot="1" x14ac:dyDescent="0.3">
      <c r="A258" s="237" t="s">
        <v>318</v>
      </c>
      <c r="B258" s="238"/>
      <c r="C258" s="238"/>
      <c r="D258" s="238"/>
      <c r="E258" s="238"/>
      <c r="F258" s="238"/>
      <c r="G258" s="238"/>
      <c r="H258" s="238"/>
      <c r="I258" s="238"/>
      <c r="J258" s="238"/>
      <c r="K258" s="238"/>
      <c r="L258" s="238"/>
      <c r="M258" s="238"/>
      <c r="N258" s="238"/>
      <c r="O258" s="238"/>
      <c r="P258" s="238"/>
      <c r="Q258" s="55"/>
      <c r="R258" s="55"/>
    </row>
    <row r="259" spans="1:18" s="41" customFormat="1" ht="30" customHeight="1" x14ac:dyDescent="0.25">
      <c r="A259" s="86">
        <f>+A255+1</f>
        <v>127</v>
      </c>
      <c r="B259" s="117" t="s">
        <v>317</v>
      </c>
      <c r="C259" s="38" t="s">
        <v>429</v>
      </c>
      <c r="D259" s="117" t="s">
        <v>96</v>
      </c>
      <c r="E259" s="117" t="s">
        <v>123</v>
      </c>
      <c r="F259" s="119">
        <v>90000</v>
      </c>
      <c r="G259" s="119">
        <f>F259*2.87%</f>
        <v>2583</v>
      </c>
      <c r="H259" s="119">
        <f>+F259*3.04%</f>
        <v>2736</v>
      </c>
      <c r="I259" s="119">
        <v>1577.45</v>
      </c>
      <c r="J259" s="83">
        <f t="shared" ref="J259:J324" si="97">+G259+H259+I259</f>
        <v>6896.45</v>
      </c>
      <c r="K259" s="83">
        <f t="shared" si="81"/>
        <v>83103.55</v>
      </c>
      <c r="L259" s="83">
        <f>+IF(K259*12&lt;=416220.01,0,IF(K259*12&lt;=624329.01,(((K259*12-416220.01)*0.15)/12),IF((K259*12&lt;=867123.01),(31216+0.2*(K259*12-624329.01))/12,((79776+0.25*(K259*12-867123.01))/12))))-M259</f>
        <v>4.791666668097605E-3</v>
      </c>
      <c r="M259" s="83">
        <v>9358.82</v>
      </c>
      <c r="N259" s="84">
        <v>125</v>
      </c>
      <c r="O259" s="116">
        <f t="shared" ref="O259:O325" si="98">+N259+I259+H259+G259+L259</f>
        <v>7021.4547916666679</v>
      </c>
      <c r="P259" s="84">
        <f>+F259-O259</f>
        <v>82978.545208333337</v>
      </c>
      <c r="Q259" s="55"/>
      <c r="R259" s="55"/>
    </row>
    <row r="260" spans="1:18" s="55" customFormat="1" ht="30" customHeight="1" x14ac:dyDescent="0.25">
      <c r="A260" s="86">
        <f>+A259+1</f>
        <v>128</v>
      </c>
      <c r="B260" s="117" t="s">
        <v>18</v>
      </c>
      <c r="C260" s="38" t="s">
        <v>429</v>
      </c>
      <c r="D260" s="136" t="s">
        <v>316</v>
      </c>
      <c r="E260" s="117" t="s">
        <v>123</v>
      </c>
      <c r="F260" s="119">
        <v>68000</v>
      </c>
      <c r="G260" s="88">
        <f>F260*2.87%</f>
        <v>1951.6</v>
      </c>
      <c r="H260" s="88">
        <f>+F260*3.04%</f>
        <v>2067.1999999999998</v>
      </c>
      <c r="I260" s="88"/>
      <c r="J260" s="83">
        <f t="shared" si="97"/>
        <v>4018.7999999999997</v>
      </c>
      <c r="K260" s="83">
        <f t="shared" si="81"/>
        <v>63981.2</v>
      </c>
      <c r="L260" s="83">
        <f>+IF(K260*12&lt;=416220.01,0,IF(K260*12&lt;=624329.01,(((K260*12-416220.01)*0.15)/12),IF((K260*12&lt;=867123.01),(31216+0.2*(K260*12-624329.01))/12,((79776+0.25*(K260*12-867123.01))/12))))-M260</f>
        <v>-1.6666666851961054E-4</v>
      </c>
      <c r="M260" s="83">
        <v>4992.09</v>
      </c>
      <c r="N260" s="84">
        <v>15321.23</v>
      </c>
      <c r="O260" s="116">
        <f t="shared" si="98"/>
        <v>19340.02983333333</v>
      </c>
      <c r="P260" s="84">
        <f>+F260-O260</f>
        <v>48659.970166666666</v>
      </c>
    </row>
    <row r="261" spans="1:18" s="55" customFormat="1" ht="30" customHeight="1" x14ac:dyDescent="0.25">
      <c r="A261" s="229" t="s">
        <v>126</v>
      </c>
      <c r="B261" s="230"/>
      <c r="C261" s="230"/>
      <c r="D261" s="230"/>
      <c r="E261" s="231"/>
      <c r="F261" s="39">
        <f t="shared" ref="F261:P261" si="99">SUM(F259:F260)</f>
        <v>158000</v>
      </c>
      <c r="G261" s="39">
        <f t="shared" si="99"/>
        <v>4534.6000000000004</v>
      </c>
      <c r="H261" s="39">
        <f t="shared" si="99"/>
        <v>4803.2</v>
      </c>
      <c r="I261" s="39">
        <f t="shared" si="99"/>
        <v>1577.45</v>
      </c>
      <c r="J261" s="39">
        <f t="shared" si="99"/>
        <v>10915.25</v>
      </c>
      <c r="K261" s="39">
        <f t="shared" si="99"/>
        <v>147084.75</v>
      </c>
      <c r="L261" s="39">
        <f t="shared" si="99"/>
        <v>4.6249999995779945E-3</v>
      </c>
      <c r="M261" s="39">
        <f t="shared" si="99"/>
        <v>14350.91</v>
      </c>
      <c r="N261" s="39">
        <f t="shared" si="99"/>
        <v>15446.23</v>
      </c>
      <c r="O261" s="39">
        <f t="shared" si="99"/>
        <v>26361.484624999997</v>
      </c>
      <c r="P261" s="39">
        <f t="shared" si="99"/>
        <v>131638.51537500002</v>
      </c>
    </row>
    <row r="262" spans="1:18" s="55" customFormat="1" ht="30" customHeight="1" thickBot="1" x14ac:dyDescent="0.3">
      <c r="A262" s="52"/>
      <c r="B262" s="52"/>
      <c r="C262" s="52"/>
      <c r="D262" s="52"/>
      <c r="E262" s="5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</row>
    <row r="263" spans="1:18" s="55" customFormat="1" ht="30" customHeight="1" thickBot="1" x14ac:dyDescent="0.3">
      <c r="A263" s="237" t="s">
        <v>234</v>
      </c>
      <c r="B263" s="238"/>
      <c r="C263" s="238"/>
      <c r="D263" s="238"/>
      <c r="E263" s="238"/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</row>
    <row r="264" spans="1:18" s="41" customFormat="1" ht="30" customHeight="1" x14ac:dyDescent="0.25">
      <c r="A264" s="86">
        <f>+A260+1</f>
        <v>129</v>
      </c>
      <c r="B264" s="117" t="s">
        <v>235</v>
      </c>
      <c r="C264" s="38" t="s">
        <v>429</v>
      </c>
      <c r="D264" s="117" t="s">
        <v>20</v>
      </c>
      <c r="E264" s="117" t="s">
        <v>123</v>
      </c>
      <c r="F264" s="119">
        <v>65000</v>
      </c>
      <c r="G264" s="119">
        <f>F264*2.87%</f>
        <v>1865.5</v>
      </c>
      <c r="H264" s="88">
        <f>+F264*3.04%</f>
        <v>1976</v>
      </c>
      <c r="I264" s="88">
        <v>1577.45</v>
      </c>
      <c r="J264" s="83">
        <f t="shared" si="97"/>
        <v>5418.95</v>
      </c>
      <c r="K264" s="83">
        <f t="shared" ref="K264:K328" si="100">+F264-J264</f>
        <v>59581.05</v>
      </c>
      <c r="L264" s="83">
        <f>+IF(K264*12&lt;=416220.01,0,IF(K264*12&lt;=624329.01,(((K264*12-416220.01)*0.15)/12),IF((K264*12&lt;=867123.01),(31216+0.2*(K264*12-624329.01))/12,((79776+0.25*(K264*12-867123.01))/12))))-M264</f>
        <v>-1.6666666488163173E-4</v>
      </c>
      <c r="M264" s="83">
        <v>4112.0600000000004</v>
      </c>
      <c r="N264" s="84">
        <v>15130.41</v>
      </c>
      <c r="O264" s="116">
        <f t="shared" si="98"/>
        <v>20549.359833333336</v>
      </c>
      <c r="P264" s="84">
        <f>+F264-O264</f>
        <v>44450.640166666664</v>
      </c>
      <c r="Q264" s="55"/>
      <c r="R264" s="55"/>
    </row>
    <row r="265" spans="1:18" s="41" customFormat="1" ht="30" customHeight="1" x14ac:dyDescent="0.25">
      <c r="A265" s="86">
        <f>+A264+1</f>
        <v>130</v>
      </c>
      <c r="B265" s="117" t="s">
        <v>81</v>
      </c>
      <c r="C265" s="38" t="s">
        <v>429</v>
      </c>
      <c r="D265" s="117" t="s">
        <v>20</v>
      </c>
      <c r="E265" s="117" t="s">
        <v>123</v>
      </c>
      <c r="F265" s="119">
        <v>60000</v>
      </c>
      <c r="G265" s="119">
        <f>F265*2.87%</f>
        <v>1722</v>
      </c>
      <c r="H265" s="88">
        <f>+F265*3.04%</f>
        <v>1824</v>
      </c>
      <c r="I265" s="88"/>
      <c r="J265" s="83">
        <f t="shared" si="97"/>
        <v>3546</v>
      </c>
      <c r="K265" s="83">
        <f t="shared" si="100"/>
        <v>56454</v>
      </c>
      <c r="L265" s="83">
        <f t="shared" ref="L265:L266" si="101">+IF(K265*12&lt;=416220.01,0,IF(K265*12&lt;=624329.01,(((K265*12-416220.01)*0.15)/12),IF((K265*12&lt;=867123.01),(31216+0.2*(K265*12-624329.01))/12,((79776+0.25*(K265*12-867123.01))/12))))-M265</f>
        <v>-1.6666666715536849E-4</v>
      </c>
      <c r="M265" s="83">
        <v>3486.65</v>
      </c>
      <c r="N265" s="84">
        <v>125</v>
      </c>
      <c r="O265" s="116">
        <f t="shared" si="98"/>
        <v>3670.9998333333328</v>
      </c>
      <c r="P265" s="84">
        <f>+F265-O265</f>
        <v>56329.000166666665</v>
      </c>
      <c r="Q265" s="55"/>
      <c r="R265" s="55"/>
    </row>
    <row r="266" spans="1:18" s="41" customFormat="1" ht="30" customHeight="1" x14ac:dyDescent="0.25">
      <c r="A266" s="86">
        <f>+A265+1</f>
        <v>131</v>
      </c>
      <c r="B266" s="117" t="s">
        <v>468</v>
      </c>
      <c r="C266" s="38" t="s">
        <v>429</v>
      </c>
      <c r="D266" s="117" t="s">
        <v>20</v>
      </c>
      <c r="E266" s="117" t="s">
        <v>123</v>
      </c>
      <c r="F266" s="119">
        <v>60000</v>
      </c>
      <c r="G266" s="119">
        <f>F266*2.87%</f>
        <v>1722</v>
      </c>
      <c r="H266" s="88">
        <f>+F266*3.04%</f>
        <v>1824</v>
      </c>
      <c r="I266" s="88">
        <v>3154.5</v>
      </c>
      <c r="J266" s="83">
        <f t="shared" si="97"/>
        <v>6700.5</v>
      </c>
      <c r="K266" s="83">
        <f t="shared" si="100"/>
        <v>53299.5</v>
      </c>
      <c r="L266" s="83">
        <f t="shared" si="101"/>
        <v>-1.6666666670062114E-4</v>
      </c>
      <c r="M266" s="83">
        <v>2855.75</v>
      </c>
      <c r="N266" s="84">
        <v>125</v>
      </c>
      <c r="O266" s="116">
        <f t="shared" si="98"/>
        <v>6825.4998333333333</v>
      </c>
      <c r="P266" s="84">
        <f>+F266-O266</f>
        <v>53174.500166666665</v>
      </c>
      <c r="Q266" s="55"/>
      <c r="R266" s="55"/>
    </row>
    <row r="267" spans="1:18" s="41" customFormat="1" ht="30" customHeight="1" x14ac:dyDescent="0.25">
      <c r="A267" s="229" t="s">
        <v>126</v>
      </c>
      <c r="B267" s="230"/>
      <c r="C267" s="230"/>
      <c r="D267" s="230"/>
      <c r="E267" s="231"/>
      <c r="F267" s="39">
        <f t="shared" ref="F267:P267" si="102">SUM(F264:F266)</f>
        <v>185000</v>
      </c>
      <c r="G267" s="39">
        <f t="shared" si="102"/>
        <v>5309.5</v>
      </c>
      <c r="H267" s="39">
        <f t="shared" si="102"/>
        <v>5624</v>
      </c>
      <c r="I267" s="39">
        <f t="shared" si="102"/>
        <v>4731.95</v>
      </c>
      <c r="J267" s="39">
        <f t="shared" si="102"/>
        <v>15665.45</v>
      </c>
      <c r="K267" s="39">
        <f t="shared" si="102"/>
        <v>169334.55</v>
      </c>
      <c r="L267" s="39">
        <f t="shared" si="102"/>
        <v>-4.9999999873762135E-4</v>
      </c>
      <c r="M267" s="39">
        <f t="shared" si="102"/>
        <v>10454.460000000001</v>
      </c>
      <c r="N267" s="39">
        <f t="shared" si="102"/>
        <v>15380.41</v>
      </c>
      <c r="O267" s="39">
        <f t="shared" si="102"/>
        <v>31045.859499999999</v>
      </c>
      <c r="P267" s="39">
        <f t="shared" si="102"/>
        <v>153954.14049999998</v>
      </c>
      <c r="Q267" s="55"/>
      <c r="R267" s="55"/>
    </row>
    <row r="268" spans="1:18" s="55" customFormat="1" ht="30" customHeight="1" thickBot="1" x14ac:dyDescent="0.3">
      <c r="A268" s="52"/>
      <c r="B268" s="52"/>
      <c r="C268" s="52"/>
      <c r="D268" s="52"/>
      <c r="E268" s="5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</row>
    <row r="269" spans="1:18" s="55" customFormat="1" ht="30" customHeight="1" thickBot="1" x14ac:dyDescent="0.3">
      <c r="A269" s="232" t="s">
        <v>636</v>
      </c>
      <c r="B269" s="233"/>
      <c r="C269" s="233"/>
      <c r="D269" s="233"/>
      <c r="E269" s="233"/>
      <c r="F269" s="233"/>
      <c r="G269" s="233"/>
      <c r="H269" s="233"/>
      <c r="I269" s="233"/>
      <c r="J269" s="233"/>
      <c r="K269" s="233"/>
      <c r="L269" s="233"/>
      <c r="M269" s="233"/>
      <c r="N269" s="233"/>
      <c r="O269" s="233"/>
      <c r="P269" s="233"/>
    </row>
    <row r="270" spans="1:18" s="55" customFormat="1" ht="30" customHeight="1" x14ac:dyDescent="0.25">
      <c r="A270" s="86">
        <f>+A266+1</f>
        <v>132</v>
      </c>
      <c r="B270" s="122" t="s">
        <v>635</v>
      </c>
      <c r="C270" s="132" t="s">
        <v>430</v>
      </c>
      <c r="D270" s="133" t="s">
        <v>22</v>
      </c>
      <c r="E270" s="117" t="s">
        <v>122</v>
      </c>
      <c r="F270" s="116">
        <v>40000</v>
      </c>
      <c r="G270" s="116">
        <f>F270*2.87%</f>
        <v>1148</v>
      </c>
      <c r="H270" s="83">
        <f>+F270*3.04%</f>
        <v>1216</v>
      </c>
      <c r="I270" s="83"/>
      <c r="J270" s="83">
        <f t="shared" ref="J270" si="103">+G270+H270+I270</f>
        <v>2364</v>
      </c>
      <c r="K270" s="83">
        <f t="shared" ref="K270" si="104">+F270-J270</f>
        <v>37636</v>
      </c>
      <c r="L270" s="83">
        <f>+IF(K270*12&lt;=416220.01,0,IF(K270*12&lt;=624329.01,(((K270*12-416220.01)*0.15)/12),IF((K270*12&lt;=867123.01),(31216+0.2*(K270*12-624329.01))/12,((79776+0.25*(K270*12-867123.01))/12))))-M270</f>
        <v>-1.2500000013915269E-4</v>
      </c>
      <c r="M270" s="83">
        <v>442.65</v>
      </c>
      <c r="N270" s="90">
        <v>8284.3799999999992</v>
      </c>
      <c r="O270" s="116">
        <f>+N270+I270+H270+G270+L270</f>
        <v>10648.379874999999</v>
      </c>
      <c r="P270" s="84">
        <f>+F270-O270</f>
        <v>29351.620125000001</v>
      </c>
    </row>
    <row r="271" spans="1:18" s="55" customFormat="1" ht="30" customHeight="1" x14ac:dyDescent="0.25">
      <c r="A271" s="229" t="s">
        <v>126</v>
      </c>
      <c r="B271" s="230"/>
      <c r="C271" s="230"/>
      <c r="D271" s="230"/>
      <c r="E271" s="231"/>
      <c r="F271" s="39">
        <f t="shared" ref="F271:P271" si="105">SUM(F270:F270)</f>
        <v>40000</v>
      </c>
      <c r="G271" s="39">
        <f t="shared" si="105"/>
        <v>1148</v>
      </c>
      <c r="H271" s="39">
        <f t="shared" si="105"/>
        <v>1216</v>
      </c>
      <c r="I271" s="39">
        <f t="shared" si="105"/>
        <v>0</v>
      </c>
      <c r="J271" s="39">
        <f t="shared" si="105"/>
        <v>2364</v>
      </c>
      <c r="K271" s="39">
        <f t="shared" si="105"/>
        <v>37636</v>
      </c>
      <c r="L271" s="39">
        <f t="shared" si="105"/>
        <v>-1.2500000013915269E-4</v>
      </c>
      <c r="M271" s="39">
        <f t="shared" si="105"/>
        <v>442.65</v>
      </c>
      <c r="N271" s="39">
        <f t="shared" si="105"/>
        <v>8284.3799999999992</v>
      </c>
      <c r="O271" s="39">
        <f t="shared" si="105"/>
        <v>10648.379874999999</v>
      </c>
      <c r="P271" s="39">
        <f t="shared" si="105"/>
        <v>29351.620125000001</v>
      </c>
    </row>
    <row r="272" spans="1:18" s="55" customFormat="1" ht="30" customHeight="1" thickBot="1" x14ac:dyDescent="0.3">
      <c r="A272" s="52"/>
      <c r="B272" s="52"/>
      <c r="C272" s="52"/>
      <c r="D272" s="52"/>
      <c r="E272" s="5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</row>
    <row r="273" spans="1:18" s="41" customFormat="1" ht="30" customHeight="1" thickBot="1" x14ac:dyDescent="0.3">
      <c r="A273" s="232" t="s">
        <v>319</v>
      </c>
      <c r="B273" s="233"/>
      <c r="C273" s="233"/>
      <c r="D273" s="233"/>
      <c r="E273" s="233"/>
      <c r="F273" s="233"/>
      <c r="G273" s="233"/>
      <c r="H273" s="233"/>
      <c r="I273" s="233"/>
      <c r="J273" s="233"/>
      <c r="K273" s="233"/>
      <c r="L273" s="233"/>
      <c r="M273" s="233"/>
      <c r="N273" s="233"/>
      <c r="O273" s="233"/>
      <c r="P273" s="233"/>
      <c r="Q273" s="55"/>
      <c r="R273" s="55"/>
    </row>
    <row r="274" spans="1:18" s="85" customFormat="1" ht="30" customHeight="1" x14ac:dyDescent="0.25">
      <c r="A274" s="86">
        <f>+A266+1</f>
        <v>132</v>
      </c>
      <c r="B274" s="122" t="s">
        <v>25</v>
      </c>
      <c r="C274" s="132" t="s">
        <v>430</v>
      </c>
      <c r="D274" s="133" t="s">
        <v>195</v>
      </c>
      <c r="E274" s="117" t="s">
        <v>123</v>
      </c>
      <c r="F274" s="116">
        <v>90000</v>
      </c>
      <c r="G274" s="116">
        <f>F274*2.87%</f>
        <v>2583</v>
      </c>
      <c r="H274" s="83">
        <f>+F274*3.04%</f>
        <v>2736</v>
      </c>
      <c r="I274" s="83"/>
      <c r="J274" s="83">
        <f t="shared" si="97"/>
        <v>5319</v>
      </c>
      <c r="K274" s="83">
        <f t="shared" si="100"/>
        <v>84681</v>
      </c>
      <c r="L274" s="83">
        <f>+IF(K274*12&lt;=416220.01,0,IF(K274*12&lt;=624329.01,(((K274*12-416220.01)*0.15)/12),IF((K274*12&lt;=867123.01),(31216+0.2*(K274*12-624329.01))/12,((79776+0.25*(K274*12-867123.01))/12))))-M274</f>
        <v>9753.1872916666671</v>
      </c>
      <c r="M274" s="83"/>
      <c r="N274" s="90">
        <v>25</v>
      </c>
      <c r="O274" s="116">
        <f t="shared" si="98"/>
        <v>15097.187291666667</v>
      </c>
      <c r="P274" s="84">
        <f>+F274-O274</f>
        <v>74902.812708333338</v>
      </c>
    </row>
    <row r="275" spans="1:18" s="85" customFormat="1" ht="30" customHeight="1" x14ac:dyDescent="0.25">
      <c r="A275" s="86">
        <f>+A274+1</f>
        <v>133</v>
      </c>
      <c r="B275" s="117" t="s">
        <v>36</v>
      </c>
      <c r="C275" s="38" t="s">
        <v>430</v>
      </c>
      <c r="D275" s="117" t="s">
        <v>95</v>
      </c>
      <c r="E275" s="117" t="s">
        <v>233</v>
      </c>
      <c r="F275" s="119">
        <v>50000</v>
      </c>
      <c r="G275" s="88">
        <f>F275*2.87%</f>
        <v>1435</v>
      </c>
      <c r="H275" s="83">
        <f>+F275*3.04%</f>
        <v>1520</v>
      </c>
      <c r="I275" s="83">
        <v>1577.45</v>
      </c>
      <c r="J275" s="83">
        <f t="shared" si="97"/>
        <v>4532.45</v>
      </c>
      <c r="K275" s="83">
        <f t="shared" si="100"/>
        <v>45467.55</v>
      </c>
      <c r="L275" s="83">
        <f>+IF(K275*12&lt;=416220.01,0,IF(K275*12&lt;=624329.01,(((K275*12-416220.01)*0.15)/12),IF((K275*12&lt;=867123.01),(31216+0.2*(K275*12-624329.01))/12,((79776+0.25*(K275*12-867123.01))/12))))-M275</f>
        <v>2.3750000009385985E-3</v>
      </c>
      <c r="M275" s="83">
        <v>1617.38</v>
      </c>
      <c r="N275" s="90">
        <v>125</v>
      </c>
      <c r="O275" s="116">
        <f t="shared" si="98"/>
        <v>4657.4523750000008</v>
      </c>
      <c r="P275" s="84">
        <f>+F275-O275</f>
        <v>45342.547624999999</v>
      </c>
    </row>
    <row r="276" spans="1:18" s="85" customFormat="1" ht="30" customHeight="1" thickBot="1" x14ac:dyDescent="0.3">
      <c r="A276" s="229" t="s">
        <v>126</v>
      </c>
      <c r="B276" s="230"/>
      <c r="C276" s="230"/>
      <c r="D276" s="230"/>
      <c r="E276" s="231"/>
      <c r="F276" s="39">
        <f>SUM(F274:F275)</f>
        <v>140000</v>
      </c>
      <c r="G276" s="39">
        <f t="shared" ref="G276:P276" si="106">SUM(G274:G275)</f>
        <v>4018</v>
      </c>
      <c r="H276" s="39">
        <f t="shared" si="106"/>
        <v>4256</v>
      </c>
      <c r="I276" s="39">
        <f t="shared" si="106"/>
        <v>1577.45</v>
      </c>
      <c r="J276" s="39">
        <f t="shared" si="106"/>
        <v>9851.4500000000007</v>
      </c>
      <c r="K276" s="39">
        <f t="shared" si="106"/>
        <v>130148.55</v>
      </c>
      <c r="L276" s="39">
        <f t="shared" si="106"/>
        <v>9753.1896666666689</v>
      </c>
      <c r="M276" s="39">
        <f t="shared" si="106"/>
        <v>1617.38</v>
      </c>
      <c r="N276" s="39">
        <f t="shared" si="106"/>
        <v>150</v>
      </c>
      <c r="O276" s="39">
        <f t="shared" si="106"/>
        <v>19754.63966666667</v>
      </c>
      <c r="P276" s="39">
        <f t="shared" si="106"/>
        <v>120245.36033333334</v>
      </c>
    </row>
    <row r="277" spans="1:18" s="85" customFormat="1" ht="25.5" customHeight="1" thickBot="1" x14ac:dyDescent="0.3">
      <c r="A277" s="232" t="s">
        <v>320</v>
      </c>
      <c r="B277" s="233"/>
      <c r="C277" s="233"/>
      <c r="D277" s="233"/>
      <c r="E277" s="233"/>
      <c r="F277" s="233"/>
      <c r="G277" s="233"/>
      <c r="H277" s="233"/>
      <c r="I277" s="233"/>
      <c r="J277" s="233"/>
      <c r="K277" s="233"/>
      <c r="L277" s="233"/>
      <c r="M277" s="233"/>
      <c r="N277" s="233"/>
      <c r="O277" s="233"/>
      <c r="P277" s="233"/>
    </row>
    <row r="278" spans="1:18" s="92" customFormat="1" ht="30" customHeight="1" x14ac:dyDescent="0.25">
      <c r="A278" s="81">
        <f>+A275+1</f>
        <v>134</v>
      </c>
      <c r="B278" s="122" t="s">
        <v>404</v>
      </c>
      <c r="C278" s="132" t="s">
        <v>429</v>
      </c>
      <c r="D278" s="122" t="s">
        <v>321</v>
      </c>
      <c r="E278" s="117" t="s">
        <v>233</v>
      </c>
      <c r="F278" s="116">
        <v>50000</v>
      </c>
      <c r="G278" s="88">
        <f t="shared" ref="G278:G281" si="107">F278*2.87%</f>
        <v>1435</v>
      </c>
      <c r="H278" s="88">
        <f t="shared" ref="H278:H281" si="108">+F278*3.04%</f>
        <v>1520</v>
      </c>
      <c r="I278" s="83"/>
      <c r="J278" s="83">
        <f t="shared" si="97"/>
        <v>2955</v>
      </c>
      <c r="K278" s="83">
        <f t="shared" si="100"/>
        <v>47045</v>
      </c>
      <c r="L278" s="83">
        <f>+IF(K278*12&lt;=416220.01,0,IF(K278*12&lt;=624329.01,(((K278*12-416220.01)*0.15)/12),IF((K278*12&lt;=867123.01),(31216+0.2*(K278*12-624329.01))/12,((79776+0.25*(K278*12-867123.01))/12))))-M278</f>
        <v>1853.9998749999997</v>
      </c>
      <c r="M278" s="83"/>
      <c r="N278" s="84">
        <v>2125</v>
      </c>
      <c r="O278" s="116">
        <f t="shared" si="98"/>
        <v>6933.9998749999995</v>
      </c>
      <c r="P278" s="84">
        <f t="shared" ref="P278:P309" si="109">+F278-O278</f>
        <v>43066.000124999999</v>
      </c>
    </row>
    <row r="279" spans="1:18" s="96" customFormat="1" ht="30" customHeight="1" x14ac:dyDescent="0.25">
      <c r="A279" s="81">
        <f>+A278+1</f>
        <v>135</v>
      </c>
      <c r="B279" s="122" t="s">
        <v>151</v>
      </c>
      <c r="C279" s="132" t="s">
        <v>429</v>
      </c>
      <c r="D279" s="122" t="s">
        <v>321</v>
      </c>
      <c r="E279" s="117" t="s">
        <v>233</v>
      </c>
      <c r="F279" s="116">
        <v>35000</v>
      </c>
      <c r="G279" s="88">
        <f t="shared" si="107"/>
        <v>1004.5</v>
      </c>
      <c r="H279" s="88">
        <f t="shared" si="108"/>
        <v>1064</v>
      </c>
      <c r="I279" s="83"/>
      <c r="J279" s="83">
        <f t="shared" si="97"/>
        <v>2068.5</v>
      </c>
      <c r="K279" s="83">
        <f t="shared" si="100"/>
        <v>32931.5</v>
      </c>
      <c r="L279" s="83">
        <f t="shared" ref="L279:L309" si="110">+IF(K279*12&lt;=416220.01,0,IF(K279*12&lt;=624329.01,(((K279*12-416220.01)*0.15)/12),IF((K279*12&lt;=867123.01),(31216+0.2*(K279*12-624329.01))/12,((79776+0.25*(K279*12-867123.01))/12))))-M279</f>
        <v>0</v>
      </c>
      <c r="M279" s="83"/>
      <c r="N279" s="84">
        <v>5928.65</v>
      </c>
      <c r="O279" s="116">
        <f t="shared" si="98"/>
        <v>7997.15</v>
      </c>
      <c r="P279" s="84">
        <f t="shared" si="109"/>
        <v>27002.85</v>
      </c>
    </row>
    <row r="280" spans="1:18" s="96" customFormat="1" ht="30" customHeight="1" x14ac:dyDescent="0.25">
      <c r="A280" s="81">
        <f>+A279+1</f>
        <v>136</v>
      </c>
      <c r="B280" s="122" t="s">
        <v>491</v>
      </c>
      <c r="C280" s="132" t="s">
        <v>429</v>
      </c>
      <c r="D280" s="122" t="s">
        <v>321</v>
      </c>
      <c r="E280" s="117" t="s">
        <v>233</v>
      </c>
      <c r="F280" s="116">
        <v>45000</v>
      </c>
      <c r="G280" s="88">
        <f>F280*2.87%</f>
        <v>1291.5</v>
      </c>
      <c r="H280" s="88">
        <f t="shared" si="108"/>
        <v>1368</v>
      </c>
      <c r="I280" s="83"/>
      <c r="J280" s="83">
        <f t="shared" si="97"/>
        <v>2659.5</v>
      </c>
      <c r="K280" s="83">
        <f t="shared" si="100"/>
        <v>42340.5</v>
      </c>
      <c r="L280" s="83">
        <f t="shared" si="110"/>
        <v>4.8749999998562998E-3</v>
      </c>
      <c r="M280" s="83">
        <v>1148.32</v>
      </c>
      <c r="N280" s="84">
        <v>15758.63</v>
      </c>
      <c r="O280" s="116">
        <f t="shared" si="98"/>
        <v>18418.134874999996</v>
      </c>
      <c r="P280" s="84">
        <f t="shared" si="109"/>
        <v>26581.865125000004</v>
      </c>
    </row>
    <row r="281" spans="1:18" s="55" customFormat="1" ht="30" customHeight="1" x14ac:dyDescent="0.25">
      <c r="A281" s="81">
        <f t="shared" ref="A281:A302" si="111">+A280+1</f>
        <v>137</v>
      </c>
      <c r="B281" s="117" t="s">
        <v>28</v>
      </c>
      <c r="C281" s="38" t="s">
        <v>430</v>
      </c>
      <c r="D281" s="117" t="s">
        <v>98</v>
      </c>
      <c r="E281" s="117" t="s">
        <v>123</v>
      </c>
      <c r="F281" s="119">
        <v>28875</v>
      </c>
      <c r="G281" s="88">
        <f t="shared" si="107"/>
        <v>828.71249999999998</v>
      </c>
      <c r="H281" s="88">
        <f t="shared" si="108"/>
        <v>877.8</v>
      </c>
      <c r="I281" s="88"/>
      <c r="J281" s="83">
        <f t="shared" si="97"/>
        <v>1706.5124999999998</v>
      </c>
      <c r="K281" s="83">
        <f t="shared" si="100"/>
        <v>27168.487499999999</v>
      </c>
      <c r="L281" s="83">
        <f t="shared" si="110"/>
        <v>0</v>
      </c>
      <c r="M281" s="83"/>
      <c r="N281" s="90">
        <v>3304.71</v>
      </c>
      <c r="O281" s="116">
        <f t="shared" si="98"/>
        <v>5011.2224999999999</v>
      </c>
      <c r="P281" s="84">
        <f t="shared" si="109"/>
        <v>23863.7775</v>
      </c>
    </row>
    <row r="282" spans="1:18" s="55" customFormat="1" ht="30" customHeight="1" x14ac:dyDescent="0.25">
      <c r="A282" s="81">
        <f t="shared" si="111"/>
        <v>138</v>
      </c>
      <c r="B282" s="117" t="s">
        <v>27</v>
      </c>
      <c r="C282" s="38" t="s">
        <v>430</v>
      </c>
      <c r="D282" s="117" t="s">
        <v>98</v>
      </c>
      <c r="E282" s="117" t="s">
        <v>123</v>
      </c>
      <c r="F282" s="119">
        <v>28000</v>
      </c>
      <c r="G282" s="88">
        <f>F282*2.87%</f>
        <v>803.6</v>
      </c>
      <c r="H282" s="88">
        <f>+F282*3.04%</f>
        <v>851.2</v>
      </c>
      <c r="I282" s="88">
        <v>3154.9</v>
      </c>
      <c r="J282" s="83">
        <f t="shared" si="97"/>
        <v>4809.7000000000007</v>
      </c>
      <c r="K282" s="83">
        <f t="shared" si="100"/>
        <v>23190.3</v>
      </c>
      <c r="L282" s="83">
        <f t="shared" si="110"/>
        <v>0</v>
      </c>
      <c r="M282" s="83"/>
      <c r="N282" s="90">
        <v>25</v>
      </c>
      <c r="O282" s="116">
        <f t="shared" si="98"/>
        <v>4834.7000000000007</v>
      </c>
      <c r="P282" s="84">
        <f t="shared" si="109"/>
        <v>23165.3</v>
      </c>
    </row>
    <row r="283" spans="1:18" s="55" customFormat="1" ht="30" customHeight="1" x14ac:dyDescent="0.25">
      <c r="A283" s="81">
        <f t="shared" si="111"/>
        <v>139</v>
      </c>
      <c r="B283" s="117" t="s">
        <v>196</v>
      </c>
      <c r="C283" s="38" t="s">
        <v>430</v>
      </c>
      <c r="D283" s="117" t="s">
        <v>98</v>
      </c>
      <c r="E283" s="117" t="s">
        <v>123</v>
      </c>
      <c r="F283" s="119">
        <v>28000</v>
      </c>
      <c r="G283" s="88">
        <f t="shared" ref="G283:G302" si="112">F283*2.87%</f>
        <v>803.6</v>
      </c>
      <c r="H283" s="88">
        <f t="shared" ref="H283:H302" si="113">+F283*3.04%</f>
        <v>851.2</v>
      </c>
      <c r="I283" s="88"/>
      <c r="J283" s="83">
        <f t="shared" si="97"/>
        <v>1654.8000000000002</v>
      </c>
      <c r="K283" s="83">
        <f t="shared" si="100"/>
        <v>26345.200000000001</v>
      </c>
      <c r="L283" s="83">
        <f t="shared" si="110"/>
        <v>0</v>
      </c>
      <c r="M283" s="83"/>
      <c r="N283" s="90">
        <f>2226.54+25</f>
        <v>2251.54</v>
      </c>
      <c r="O283" s="116">
        <f t="shared" si="98"/>
        <v>3906.3399999999997</v>
      </c>
      <c r="P283" s="84">
        <f t="shared" si="109"/>
        <v>24093.66</v>
      </c>
    </row>
    <row r="284" spans="1:18" s="55" customFormat="1" ht="30" customHeight="1" x14ac:dyDescent="0.25">
      <c r="A284" s="81">
        <f t="shared" si="111"/>
        <v>140</v>
      </c>
      <c r="B284" s="117" t="s">
        <v>322</v>
      </c>
      <c r="C284" s="38" t="s">
        <v>430</v>
      </c>
      <c r="D284" s="117" t="s">
        <v>34</v>
      </c>
      <c r="E284" s="117" t="s">
        <v>123</v>
      </c>
      <c r="F284" s="119">
        <v>28000</v>
      </c>
      <c r="G284" s="88">
        <f t="shared" si="112"/>
        <v>803.6</v>
      </c>
      <c r="H284" s="88">
        <f t="shared" si="113"/>
        <v>851.2</v>
      </c>
      <c r="I284" s="88"/>
      <c r="J284" s="83">
        <f t="shared" si="97"/>
        <v>1654.8000000000002</v>
      </c>
      <c r="K284" s="83">
        <f t="shared" si="100"/>
        <v>26345.200000000001</v>
      </c>
      <c r="L284" s="83">
        <f t="shared" si="110"/>
        <v>0</v>
      </c>
      <c r="M284" s="83"/>
      <c r="N284" s="90">
        <v>125</v>
      </c>
      <c r="O284" s="116">
        <f t="shared" si="98"/>
        <v>1779.8000000000002</v>
      </c>
      <c r="P284" s="84">
        <f t="shared" si="109"/>
        <v>26220.2</v>
      </c>
    </row>
    <row r="285" spans="1:18" s="55" customFormat="1" ht="30" customHeight="1" x14ac:dyDescent="0.25">
      <c r="A285" s="81">
        <f t="shared" si="111"/>
        <v>141</v>
      </c>
      <c r="B285" s="117" t="s">
        <v>30</v>
      </c>
      <c r="C285" s="38" t="s">
        <v>430</v>
      </c>
      <c r="D285" s="117" t="s">
        <v>34</v>
      </c>
      <c r="E285" s="117" t="s">
        <v>233</v>
      </c>
      <c r="F285" s="119">
        <v>28000</v>
      </c>
      <c r="G285" s="88">
        <f t="shared" si="112"/>
        <v>803.6</v>
      </c>
      <c r="H285" s="88">
        <f t="shared" si="113"/>
        <v>851.2</v>
      </c>
      <c r="I285" s="88">
        <v>3154.9</v>
      </c>
      <c r="J285" s="83">
        <f t="shared" si="97"/>
        <v>4809.7000000000007</v>
      </c>
      <c r="K285" s="83">
        <f t="shared" si="100"/>
        <v>23190.3</v>
      </c>
      <c r="L285" s="83">
        <f t="shared" si="110"/>
        <v>0</v>
      </c>
      <c r="M285" s="83"/>
      <c r="N285" s="90">
        <v>7760.75</v>
      </c>
      <c r="O285" s="116">
        <f t="shared" si="98"/>
        <v>12570.45</v>
      </c>
      <c r="P285" s="84">
        <f t="shared" si="109"/>
        <v>15429.55</v>
      </c>
    </row>
    <row r="286" spans="1:18" s="55" customFormat="1" ht="30" customHeight="1" x14ac:dyDescent="0.25">
      <c r="A286" s="81">
        <f t="shared" si="111"/>
        <v>142</v>
      </c>
      <c r="B286" s="117" t="s">
        <v>31</v>
      </c>
      <c r="C286" s="38" t="s">
        <v>429</v>
      </c>
      <c r="D286" s="117" t="s">
        <v>34</v>
      </c>
      <c r="E286" s="117" t="s">
        <v>233</v>
      </c>
      <c r="F286" s="119">
        <v>28000</v>
      </c>
      <c r="G286" s="88">
        <f t="shared" si="112"/>
        <v>803.6</v>
      </c>
      <c r="H286" s="88">
        <f t="shared" si="113"/>
        <v>851.2</v>
      </c>
      <c r="I286" s="88"/>
      <c r="J286" s="83">
        <f t="shared" si="97"/>
        <v>1654.8000000000002</v>
      </c>
      <c r="K286" s="83">
        <f t="shared" si="100"/>
        <v>26345.200000000001</v>
      </c>
      <c r="L286" s="83">
        <f t="shared" si="110"/>
        <v>0</v>
      </c>
      <c r="M286" s="83"/>
      <c r="N286" s="90">
        <v>2897.73</v>
      </c>
      <c r="O286" s="116">
        <f t="shared" si="98"/>
        <v>4552.5300000000007</v>
      </c>
      <c r="P286" s="84">
        <f t="shared" si="109"/>
        <v>23447.47</v>
      </c>
    </row>
    <row r="287" spans="1:18" s="55" customFormat="1" ht="30" customHeight="1" x14ac:dyDescent="0.25">
      <c r="A287" s="81">
        <f t="shared" si="111"/>
        <v>143</v>
      </c>
      <c r="B287" s="117" t="s">
        <v>323</v>
      </c>
      <c r="C287" s="38" t="s">
        <v>430</v>
      </c>
      <c r="D287" s="117" t="s">
        <v>34</v>
      </c>
      <c r="E287" s="117" t="s">
        <v>123</v>
      </c>
      <c r="F287" s="119">
        <v>28000</v>
      </c>
      <c r="G287" s="88">
        <f t="shared" si="112"/>
        <v>803.6</v>
      </c>
      <c r="H287" s="88">
        <f t="shared" si="113"/>
        <v>851.2</v>
      </c>
      <c r="I287" s="88"/>
      <c r="J287" s="83">
        <f t="shared" si="97"/>
        <v>1654.8000000000002</v>
      </c>
      <c r="K287" s="83">
        <f t="shared" si="100"/>
        <v>26345.200000000001</v>
      </c>
      <c r="L287" s="83">
        <f t="shared" si="110"/>
        <v>0</v>
      </c>
      <c r="M287" s="83"/>
      <c r="N287" s="90">
        <v>125</v>
      </c>
      <c r="O287" s="116">
        <f t="shared" si="98"/>
        <v>1779.8000000000002</v>
      </c>
      <c r="P287" s="84">
        <f t="shared" si="109"/>
        <v>26220.2</v>
      </c>
    </row>
    <row r="288" spans="1:18" s="55" customFormat="1" ht="30" customHeight="1" x14ac:dyDescent="0.25">
      <c r="A288" s="81">
        <f t="shared" si="111"/>
        <v>144</v>
      </c>
      <c r="B288" s="117" t="s">
        <v>32</v>
      </c>
      <c r="C288" s="38" t="s">
        <v>430</v>
      </c>
      <c r="D288" s="117" t="s">
        <v>34</v>
      </c>
      <c r="E288" s="117" t="s">
        <v>123</v>
      </c>
      <c r="F288" s="119">
        <v>28000</v>
      </c>
      <c r="G288" s="88">
        <f t="shared" si="112"/>
        <v>803.6</v>
      </c>
      <c r="H288" s="88">
        <f t="shared" si="113"/>
        <v>851.2</v>
      </c>
      <c r="I288" s="88">
        <v>1577.45</v>
      </c>
      <c r="J288" s="83">
        <f t="shared" si="97"/>
        <v>3232.25</v>
      </c>
      <c r="K288" s="83">
        <f t="shared" si="100"/>
        <v>24767.75</v>
      </c>
      <c r="L288" s="83">
        <f t="shared" si="110"/>
        <v>0</v>
      </c>
      <c r="M288" s="83"/>
      <c r="N288" s="90">
        <v>2232.11</v>
      </c>
      <c r="O288" s="116">
        <f t="shared" si="98"/>
        <v>5464.3600000000006</v>
      </c>
      <c r="P288" s="84">
        <f t="shared" si="109"/>
        <v>22535.64</v>
      </c>
    </row>
    <row r="289" spans="1:18" s="55" customFormat="1" ht="30" customHeight="1" x14ac:dyDescent="0.25">
      <c r="A289" s="81">
        <f t="shared" si="111"/>
        <v>145</v>
      </c>
      <c r="B289" s="117" t="s">
        <v>33</v>
      </c>
      <c r="C289" s="38" t="s">
        <v>429</v>
      </c>
      <c r="D289" s="117" t="s">
        <v>34</v>
      </c>
      <c r="E289" s="117" t="s">
        <v>123</v>
      </c>
      <c r="F289" s="119">
        <v>28000</v>
      </c>
      <c r="G289" s="88">
        <f t="shared" si="112"/>
        <v>803.6</v>
      </c>
      <c r="H289" s="88">
        <f t="shared" si="113"/>
        <v>851.2</v>
      </c>
      <c r="I289" s="88"/>
      <c r="J289" s="83">
        <f t="shared" si="97"/>
        <v>1654.8000000000002</v>
      </c>
      <c r="K289" s="83">
        <f t="shared" si="100"/>
        <v>26345.200000000001</v>
      </c>
      <c r="L289" s="83">
        <f t="shared" si="110"/>
        <v>0</v>
      </c>
      <c r="M289" s="83"/>
      <c r="N289" s="90">
        <v>125</v>
      </c>
      <c r="O289" s="116">
        <f t="shared" si="98"/>
        <v>1779.8000000000002</v>
      </c>
      <c r="P289" s="84">
        <f t="shared" si="109"/>
        <v>26220.2</v>
      </c>
    </row>
    <row r="290" spans="1:18" s="55" customFormat="1" ht="30" customHeight="1" x14ac:dyDescent="0.25">
      <c r="A290" s="81">
        <f t="shared" si="111"/>
        <v>146</v>
      </c>
      <c r="B290" s="117" t="s">
        <v>29</v>
      </c>
      <c r="C290" s="38" t="s">
        <v>429</v>
      </c>
      <c r="D290" s="117" t="s">
        <v>34</v>
      </c>
      <c r="E290" s="117" t="s">
        <v>123</v>
      </c>
      <c r="F290" s="119">
        <v>24000</v>
      </c>
      <c r="G290" s="88">
        <f t="shared" si="112"/>
        <v>688.8</v>
      </c>
      <c r="H290" s="88">
        <f t="shared" si="113"/>
        <v>729.6</v>
      </c>
      <c r="I290" s="88"/>
      <c r="J290" s="83">
        <f t="shared" si="97"/>
        <v>1418.4</v>
      </c>
      <c r="K290" s="83">
        <f t="shared" si="100"/>
        <v>22581.599999999999</v>
      </c>
      <c r="L290" s="83">
        <f t="shared" si="110"/>
        <v>0</v>
      </c>
      <c r="M290" s="83"/>
      <c r="N290" s="90">
        <f>6455.4+25+100</f>
        <v>6580.4</v>
      </c>
      <c r="O290" s="116">
        <f t="shared" si="98"/>
        <v>7998.8</v>
      </c>
      <c r="P290" s="84">
        <f t="shared" si="109"/>
        <v>16001.2</v>
      </c>
    </row>
    <row r="291" spans="1:18" s="34" customFormat="1" ht="28.5" customHeight="1" x14ac:dyDescent="0.25">
      <c r="A291" s="81">
        <f t="shared" si="111"/>
        <v>147</v>
      </c>
      <c r="B291" s="117" t="s">
        <v>324</v>
      </c>
      <c r="C291" s="38" t="s">
        <v>430</v>
      </c>
      <c r="D291" s="117" t="s">
        <v>34</v>
      </c>
      <c r="E291" s="117" t="s">
        <v>123</v>
      </c>
      <c r="F291" s="119">
        <v>24000</v>
      </c>
      <c r="G291" s="88">
        <f t="shared" si="112"/>
        <v>688.8</v>
      </c>
      <c r="H291" s="88">
        <f t="shared" si="113"/>
        <v>729.6</v>
      </c>
      <c r="I291" s="88"/>
      <c r="J291" s="83">
        <f t="shared" si="97"/>
        <v>1418.4</v>
      </c>
      <c r="K291" s="83">
        <f t="shared" si="100"/>
        <v>22581.599999999999</v>
      </c>
      <c r="L291" s="83">
        <f t="shared" si="110"/>
        <v>0</v>
      </c>
      <c r="M291" s="83"/>
      <c r="N291" s="90">
        <v>125</v>
      </c>
      <c r="O291" s="116">
        <f t="shared" si="98"/>
        <v>1543.4</v>
      </c>
      <c r="P291" s="84">
        <f t="shared" si="109"/>
        <v>22456.6</v>
      </c>
      <c r="Q291" s="85"/>
      <c r="R291" s="85"/>
    </row>
    <row r="292" spans="1:18" s="34" customFormat="1" ht="28.5" customHeight="1" x14ac:dyDescent="0.25">
      <c r="A292" s="81">
        <f t="shared" si="111"/>
        <v>148</v>
      </c>
      <c r="B292" s="117" t="s">
        <v>325</v>
      </c>
      <c r="C292" s="38" t="s">
        <v>429</v>
      </c>
      <c r="D292" s="117" t="s">
        <v>34</v>
      </c>
      <c r="E292" s="117" t="s">
        <v>233</v>
      </c>
      <c r="F292" s="119">
        <v>24000</v>
      </c>
      <c r="G292" s="88">
        <f t="shared" si="112"/>
        <v>688.8</v>
      </c>
      <c r="H292" s="88">
        <f t="shared" si="113"/>
        <v>729.6</v>
      </c>
      <c r="I292" s="88"/>
      <c r="J292" s="83">
        <f t="shared" si="97"/>
        <v>1418.4</v>
      </c>
      <c r="K292" s="83">
        <f t="shared" si="100"/>
        <v>22581.599999999999</v>
      </c>
      <c r="L292" s="83">
        <f t="shared" si="110"/>
        <v>0</v>
      </c>
      <c r="M292" s="83"/>
      <c r="N292" s="90">
        <v>3182.1</v>
      </c>
      <c r="O292" s="116">
        <f t="shared" si="98"/>
        <v>4600.5</v>
      </c>
      <c r="P292" s="84">
        <f t="shared" si="109"/>
        <v>19399.5</v>
      </c>
      <c r="Q292" s="85"/>
      <c r="R292" s="85"/>
    </row>
    <row r="293" spans="1:18" s="34" customFormat="1" ht="28.5" customHeight="1" x14ac:dyDescent="0.25">
      <c r="A293" s="81">
        <f t="shared" si="111"/>
        <v>149</v>
      </c>
      <c r="B293" s="117" t="s">
        <v>326</v>
      </c>
      <c r="C293" s="38" t="s">
        <v>429</v>
      </c>
      <c r="D293" s="117" t="s">
        <v>34</v>
      </c>
      <c r="E293" s="117" t="s">
        <v>233</v>
      </c>
      <c r="F293" s="119">
        <v>24000</v>
      </c>
      <c r="G293" s="88">
        <f t="shared" si="112"/>
        <v>688.8</v>
      </c>
      <c r="H293" s="88">
        <f t="shared" si="113"/>
        <v>729.6</v>
      </c>
      <c r="I293" s="88"/>
      <c r="J293" s="83">
        <f t="shared" si="97"/>
        <v>1418.4</v>
      </c>
      <c r="K293" s="83">
        <f t="shared" si="100"/>
        <v>22581.599999999999</v>
      </c>
      <c r="L293" s="83">
        <f t="shared" si="110"/>
        <v>0</v>
      </c>
      <c r="M293" s="83"/>
      <c r="N293" s="90">
        <v>125</v>
      </c>
      <c r="O293" s="116">
        <f t="shared" si="98"/>
        <v>1543.4</v>
      </c>
      <c r="P293" s="84">
        <f t="shared" si="109"/>
        <v>22456.6</v>
      </c>
      <c r="Q293" s="85"/>
      <c r="R293" s="85"/>
    </row>
    <row r="294" spans="1:18" s="34" customFormat="1" ht="28.5" customHeight="1" x14ac:dyDescent="0.25">
      <c r="A294" s="81">
        <f>+A293+1</f>
        <v>150</v>
      </c>
      <c r="B294" s="123" t="s">
        <v>149</v>
      </c>
      <c r="C294" s="188" t="s">
        <v>430</v>
      </c>
      <c r="D294" s="117" t="s">
        <v>34</v>
      </c>
      <c r="E294" s="117" t="s">
        <v>233</v>
      </c>
      <c r="F294" s="119">
        <v>24000</v>
      </c>
      <c r="G294" s="88">
        <f t="shared" si="112"/>
        <v>688.8</v>
      </c>
      <c r="H294" s="88">
        <f t="shared" si="113"/>
        <v>729.6</v>
      </c>
      <c r="I294" s="88"/>
      <c r="J294" s="83">
        <f t="shared" si="97"/>
        <v>1418.4</v>
      </c>
      <c r="K294" s="83">
        <f t="shared" si="100"/>
        <v>22581.599999999999</v>
      </c>
      <c r="L294" s="83">
        <f t="shared" si="110"/>
        <v>0</v>
      </c>
      <c r="M294" s="83"/>
      <c r="N294" s="90">
        <v>9589.2800000000007</v>
      </c>
      <c r="O294" s="116">
        <f t="shared" si="98"/>
        <v>11007.68</v>
      </c>
      <c r="P294" s="84">
        <f t="shared" si="109"/>
        <v>12992.32</v>
      </c>
      <c r="Q294" s="85"/>
      <c r="R294" s="85"/>
    </row>
    <row r="295" spans="1:18" s="34" customFormat="1" ht="28.5" customHeight="1" x14ac:dyDescent="0.25">
      <c r="A295" s="81">
        <f t="shared" si="111"/>
        <v>151</v>
      </c>
      <c r="B295" s="117" t="s">
        <v>329</v>
      </c>
      <c r="C295" s="189" t="s">
        <v>430</v>
      </c>
      <c r="D295" s="117" t="s">
        <v>34</v>
      </c>
      <c r="E295" s="117" t="s">
        <v>233</v>
      </c>
      <c r="F295" s="119">
        <v>24000</v>
      </c>
      <c r="G295" s="88">
        <f t="shared" si="112"/>
        <v>688.8</v>
      </c>
      <c r="H295" s="88">
        <f t="shared" si="113"/>
        <v>729.6</v>
      </c>
      <c r="I295" s="88"/>
      <c r="J295" s="83">
        <f t="shared" si="97"/>
        <v>1418.4</v>
      </c>
      <c r="K295" s="83">
        <f t="shared" si="100"/>
        <v>22581.599999999999</v>
      </c>
      <c r="L295" s="83">
        <f t="shared" si="110"/>
        <v>0</v>
      </c>
      <c r="M295" s="83"/>
      <c r="N295" s="90">
        <v>4162.45</v>
      </c>
      <c r="O295" s="116">
        <f t="shared" si="98"/>
        <v>5580.85</v>
      </c>
      <c r="P295" s="84">
        <f t="shared" si="109"/>
        <v>18419.150000000001</v>
      </c>
      <c r="Q295" s="85"/>
      <c r="R295" s="85"/>
    </row>
    <row r="296" spans="1:18" s="34" customFormat="1" ht="28.5" customHeight="1" x14ac:dyDescent="0.25">
      <c r="A296" s="81">
        <f t="shared" si="111"/>
        <v>152</v>
      </c>
      <c r="B296" s="117" t="s">
        <v>327</v>
      </c>
      <c r="C296" s="38" t="s">
        <v>430</v>
      </c>
      <c r="D296" s="117" t="s">
        <v>34</v>
      </c>
      <c r="E296" s="117" t="s">
        <v>233</v>
      </c>
      <c r="F296" s="119">
        <v>19200</v>
      </c>
      <c r="G296" s="88">
        <f t="shared" si="112"/>
        <v>551.04</v>
      </c>
      <c r="H296" s="88">
        <f t="shared" si="113"/>
        <v>583.67999999999995</v>
      </c>
      <c r="I296" s="88"/>
      <c r="J296" s="83">
        <f t="shared" si="97"/>
        <v>1134.7199999999998</v>
      </c>
      <c r="K296" s="83">
        <f t="shared" si="100"/>
        <v>18065.28</v>
      </c>
      <c r="L296" s="83">
        <f t="shared" si="110"/>
        <v>0</v>
      </c>
      <c r="M296" s="83"/>
      <c r="N296" s="90">
        <v>125</v>
      </c>
      <c r="O296" s="116">
        <f t="shared" si="98"/>
        <v>1259.7199999999998</v>
      </c>
      <c r="P296" s="84">
        <f t="shared" si="109"/>
        <v>17940.28</v>
      </c>
      <c r="Q296" s="85"/>
      <c r="R296" s="85"/>
    </row>
    <row r="297" spans="1:18" s="34" customFormat="1" ht="28.5" customHeight="1" x14ac:dyDescent="0.25">
      <c r="A297" s="81">
        <f t="shared" si="111"/>
        <v>153</v>
      </c>
      <c r="B297" s="117" t="s">
        <v>328</v>
      </c>
      <c r="C297" s="38" t="s">
        <v>430</v>
      </c>
      <c r="D297" s="117" t="s">
        <v>34</v>
      </c>
      <c r="E297" s="117" t="s">
        <v>233</v>
      </c>
      <c r="F297" s="119">
        <v>20000</v>
      </c>
      <c r="G297" s="88">
        <f t="shared" si="112"/>
        <v>574</v>
      </c>
      <c r="H297" s="88">
        <f t="shared" si="113"/>
        <v>608</v>
      </c>
      <c r="I297" s="88"/>
      <c r="J297" s="83">
        <f t="shared" si="97"/>
        <v>1182</v>
      </c>
      <c r="K297" s="83">
        <f t="shared" si="100"/>
        <v>18818</v>
      </c>
      <c r="L297" s="83">
        <f t="shared" si="110"/>
        <v>0</v>
      </c>
      <c r="M297" s="83"/>
      <c r="N297" s="90">
        <v>4190.3500000000004</v>
      </c>
      <c r="O297" s="116">
        <f t="shared" si="98"/>
        <v>5372.35</v>
      </c>
      <c r="P297" s="84">
        <f t="shared" si="109"/>
        <v>14627.65</v>
      </c>
      <c r="Q297" s="85"/>
      <c r="R297" s="85"/>
    </row>
    <row r="298" spans="1:18" s="34" customFormat="1" ht="28.5" customHeight="1" x14ac:dyDescent="0.25">
      <c r="A298" s="81">
        <f t="shared" si="111"/>
        <v>154</v>
      </c>
      <c r="B298" s="117" t="s">
        <v>215</v>
      </c>
      <c r="C298" s="38" t="s">
        <v>430</v>
      </c>
      <c r="D298" s="117" t="s">
        <v>34</v>
      </c>
      <c r="E298" s="117" t="s">
        <v>233</v>
      </c>
      <c r="F298" s="119">
        <v>20000</v>
      </c>
      <c r="G298" s="88">
        <f t="shared" si="112"/>
        <v>574</v>
      </c>
      <c r="H298" s="88">
        <f t="shared" si="113"/>
        <v>608</v>
      </c>
      <c r="I298" s="88"/>
      <c r="J298" s="83">
        <f t="shared" si="97"/>
        <v>1182</v>
      </c>
      <c r="K298" s="83">
        <f t="shared" si="100"/>
        <v>18818</v>
      </c>
      <c r="L298" s="83">
        <f t="shared" si="110"/>
        <v>0</v>
      </c>
      <c r="M298" s="83"/>
      <c r="N298" s="90">
        <v>125</v>
      </c>
      <c r="O298" s="116">
        <f t="shared" si="98"/>
        <v>1307</v>
      </c>
      <c r="P298" s="84">
        <f t="shared" si="109"/>
        <v>18693</v>
      </c>
      <c r="Q298" s="85"/>
      <c r="R298" s="85"/>
    </row>
    <row r="299" spans="1:18" s="34" customFormat="1" ht="28.5" customHeight="1" x14ac:dyDescent="0.25">
      <c r="A299" s="81">
        <f t="shared" si="111"/>
        <v>155</v>
      </c>
      <c r="B299" s="117" t="s">
        <v>216</v>
      </c>
      <c r="C299" s="38" t="s">
        <v>430</v>
      </c>
      <c r="D299" s="117" t="s">
        <v>34</v>
      </c>
      <c r="E299" s="117" t="s">
        <v>233</v>
      </c>
      <c r="F299" s="119">
        <v>20000</v>
      </c>
      <c r="G299" s="88">
        <f t="shared" si="112"/>
        <v>574</v>
      </c>
      <c r="H299" s="88">
        <f t="shared" si="113"/>
        <v>608</v>
      </c>
      <c r="I299" s="88"/>
      <c r="J299" s="83">
        <f t="shared" si="97"/>
        <v>1182</v>
      </c>
      <c r="K299" s="83">
        <f t="shared" si="100"/>
        <v>18818</v>
      </c>
      <c r="L299" s="83">
        <f t="shared" si="110"/>
        <v>0</v>
      </c>
      <c r="M299" s="83"/>
      <c r="N299" s="90">
        <v>1125</v>
      </c>
      <c r="O299" s="116">
        <f t="shared" si="98"/>
        <v>2307</v>
      </c>
      <c r="P299" s="84">
        <f t="shared" si="109"/>
        <v>17693</v>
      </c>
      <c r="Q299" s="85"/>
      <c r="R299" s="85"/>
    </row>
    <row r="300" spans="1:18" s="34" customFormat="1" ht="28.5" customHeight="1" x14ac:dyDescent="0.25">
      <c r="A300" s="81">
        <f t="shared" si="111"/>
        <v>156</v>
      </c>
      <c r="B300" s="117" t="s">
        <v>488</v>
      </c>
      <c r="C300" s="188" t="s">
        <v>429</v>
      </c>
      <c r="D300" s="117" t="s">
        <v>34</v>
      </c>
      <c r="E300" s="117" t="s">
        <v>233</v>
      </c>
      <c r="F300" s="119">
        <v>20000</v>
      </c>
      <c r="G300" s="88">
        <f t="shared" si="112"/>
        <v>574</v>
      </c>
      <c r="H300" s="88">
        <f t="shared" si="113"/>
        <v>608</v>
      </c>
      <c r="I300" s="88"/>
      <c r="J300" s="83">
        <f t="shared" si="97"/>
        <v>1182</v>
      </c>
      <c r="K300" s="83">
        <f t="shared" si="100"/>
        <v>18818</v>
      </c>
      <c r="L300" s="83">
        <f t="shared" si="110"/>
        <v>0</v>
      </c>
      <c r="M300" s="83"/>
      <c r="N300" s="90">
        <v>25</v>
      </c>
      <c r="O300" s="116">
        <f t="shared" si="98"/>
        <v>1207</v>
      </c>
      <c r="P300" s="84">
        <f t="shared" si="109"/>
        <v>18793</v>
      </c>
      <c r="Q300" s="85"/>
      <c r="R300" s="85"/>
    </row>
    <row r="301" spans="1:18" s="41" customFormat="1" ht="33.75" customHeight="1" x14ac:dyDescent="0.25">
      <c r="A301" s="81">
        <f t="shared" si="111"/>
        <v>157</v>
      </c>
      <c r="B301" s="117" t="s">
        <v>489</v>
      </c>
      <c r="C301" s="188" t="s">
        <v>430</v>
      </c>
      <c r="D301" s="117" t="s">
        <v>34</v>
      </c>
      <c r="E301" s="117" t="s">
        <v>233</v>
      </c>
      <c r="F301" s="119">
        <v>20000</v>
      </c>
      <c r="G301" s="88">
        <f t="shared" si="112"/>
        <v>574</v>
      </c>
      <c r="H301" s="88">
        <f t="shared" si="113"/>
        <v>608</v>
      </c>
      <c r="I301" s="88"/>
      <c r="J301" s="83">
        <f t="shared" si="97"/>
        <v>1182</v>
      </c>
      <c r="K301" s="83">
        <f t="shared" si="100"/>
        <v>18818</v>
      </c>
      <c r="L301" s="83">
        <f t="shared" si="110"/>
        <v>0</v>
      </c>
      <c r="M301" s="83"/>
      <c r="N301" s="90">
        <v>125</v>
      </c>
      <c r="O301" s="116">
        <f t="shared" si="98"/>
        <v>1307</v>
      </c>
      <c r="P301" s="84">
        <f t="shared" si="109"/>
        <v>18693</v>
      </c>
      <c r="Q301" s="55"/>
      <c r="R301" s="55"/>
    </row>
    <row r="302" spans="1:18" s="41" customFormat="1" ht="30" customHeight="1" x14ac:dyDescent="0.25">
      <c r="A302" s="81">
        <f t="shared" si="111"/>
        <v>158</v>
      </c>
      <c r="B302" s="117" t="s">
        <v>490</v>
      </c>
      <c r="C302" s="188" t="s">
        <v>429</v>
      </c>
      <c r="D302" s="117" t="s">
        <v>34</v>
      </c>
      <c r="E302" s="117" t="s">
        <v>233</v>
      </c>
      <c r="F302" s="119">
        <v>20000</v>
      </c>
      <c r="G302" s="88">
        <f t="shared" si="112"/>
        <v>574</v>
      </c>
      <c r="H302" s="88">
        <f t="shared" si="113"/>
        <v>608</v>
      </c>
      <c r="I302" s="88"/>
      <c r="J302" s="83">
        <f t="shared" si="97"/>
        <v>1182</v>
      </c>
      <c r="K302" s="83">
        <f t="shared" si="100"/>
        <v>18818</v>
      </c>
      <c r="L302" s="83">
        <f t="shared" si="110"/>
        <v>0</v>
      </c>
      <c r="M302" s="83"/>
      <c r="N302" s="90">
        <v>6828.55</v>
      </c>
      <c r="O302" s="116">
        <f t="shared" si="98"/>
        <v>8010.55</v>
      </c>
      <c r="P302" s="84">
        <f t="shared" si="109"/>
        <v>11989.45</v>
      </c>
      <c r="Q302" s="55"/>
      <c r="R302" s="55"/>
    </row>
    <row r="303" spans="1:18" s="55" customFormat="1" ht="28.5" customHeight="1" x14ac:dyDescent="0.25">
      <c r="A303" s="81">
        <f>+A302+1</f>
        <v>159</v>
      </c>
      <c r="B303" s="117" t="s">
        <v>602</v>
      </c>
      <c r="C303" s="38" t="s">
        <v>429</v>
      </c>
      <c r="D303" s="117" t="s">
        <v>321</v>
      </c>
      <c r="E303" s="117" t="s">
        <v>233</v>
      </c>
      <c r="F303" s="119">
        <v>45000</v>
      </c>
      <c r="G303" s="88">
        <f t="shared" ref="G303:G304" si="114">F303*2.87%</f>
        <v>1291.5</v>
      </c>
      <c r="H303" s="88">
        <f t="shared" ref="H303:H304" si="115">+F303*3.04%</f>
        <v>1368</v>
      </c>
      <c r="I303" s="88"/>
      <c r="J303" s="83">
        <f t="shared" si="97"/>
        <v>2659.5</v>
      </c>
      <c r="K303" s="83">
        <f t="shared" si="100"/>
        <v>42340.5</v>
      </c>
      <c r="L303" s="83">
        <f t="shared" si="110"/>
        <v>4.8749999998562998E-3</v>
      </c>
      <c r="M303" s="83">
        <v>1148.32</v>
      </c>
      <c r="N303" s="90">
        <v>2525</v>
      </c>
      <c r="O303" s="116">
        <f t="shared" si="98"/>
        <v>5184.5048749999996</v>
      </c>
      <c r="P303" s="84">
        <f t="shared" si="109"/>
        <v>39815.495125000001</v>
      </c>
    </row>
    <row r="304" spans="1:18" s="55" customFormat="1" ht="28.5" customHeight="1" x14ac:dyDescent="0.25">
      <c r="A304" s="81">
        <f t="shared" ref="A304:A309" si="116">+A303+1</f>
        <v>160</v>
      </c>
      <c r="B304" s="117" t="s">
        <v>637</v>
      </c>
      <c r="C304" s="38" t="s">
        <v>429</v>
      </c>
      <c r="D304" s="117" t="s">
        <v>34</v>
      </c>
      <c r="E304" s="117" t="s">
        <v>200</v>
      </c>
      <c r="F304" s="119">
        <v>20000</v>
      </c>
      <c r="G304" s="88">
        <f t="shared" si="114"/>
        <v>574</v>
      </c>
      <c r="H304" s="88">
        <f t="shared" si="115"/>
        <v>608</v>
      </c>
      <c r="I304" s="88">
        <v>1577.45</v>
      </c>
      <c r="J304" s="83">
        <f t="shared" si="97"/>
        <v>2759.45</v>
      </c>
      <c r="K304" s="83">
        <f t="shared" si="100"/>
        <v>17240.55</v>
      </c>
      <c r="L304" s="83">
        <f t="shared" si="110"/>
        <v>0</v>
      </c>
      <c r="M304" s="83"/>
      <c r="N304" s="90">
        <v>5225</v>
      </c>
      <c r="O304" s="116">
        <f t="shared" si="98"/>
        <v>7984.45</v>
      </c>
      <c r="P304" s="84">
        <f t="shared" si="109"/>
        <v>12015.55</v>
      </c>
    </row>
    <row r="305" spans="1:18" s="55" customFormat="1" ht="28.5" customHeight="1" x14ac:dyDescent="0.25">
      <c r="A305" s="81">
        <f t="shared" si="116"/>
        <v>161</v>
      </c>
      <c r="B305" s="117" t="s">
        <v>638</v>
      </c>
      <c r="C305" s="38" t="s">
        <v>430</v>
      </c>
      <c r="D305" s="117" t="s">
        <v>34</v>
      </c>
      <c r="E305" s="117" t="s">
        <v>200</v>
      </c>
      <c r="F305" s="119">
        <v>20000</v>
      </c>
      <c r="G305" s="88">
        <f t="shared" ref="G305:G309" si="117">F305*2.87%</f>
        <v>574</v>
      </c>
      <c r="H305" s="88">
        <f t="shared" ref="H305:H309" si="118">+F305*3.04%</f>
        <v>608</v>
      </c>
      <c r="I305" s="88"/>
      <c r="J305" s="83">
        <f t="shared" si="97"/>
        <v>1182</v>
      </c>
      <c r="K305" s="83"/>
      <c r="L305" s="83">
        <f t="shared" si="110"/>
        <v>0</v>
      </c>
      <c r="M305" s="83"/>
      <c r="N305" s="90">
        <v>2225</v>
      </c>
      <c r="O305" s="116">
        <f t="shared" si="98"/>
        <v>3407</v>
      </c>
      <c r="P305" s="84">
        <f t="shared" si="109"/>
        <v>16593</v>
      </c>
    </row>
    <row r="306" spans="1:18" s="55" customFormat="1" ht="28.5" customHeight="1" x14ac:dyDescent="0.25">
      <c r="A306" s="81">
        <f t="shared" si="116"/>
        <v>162</v>
      </c>
      <c r="B306" s="117" t="s">
        <v>639</v>
      </c>
      <c r="C306" s="38" t="s">
        <v>429</v>
      </c>
      <c r="D306" s="117" t="s">
        <v>34</v>
      </c>
      <c r="E306" s="117" t="s">
        <v>200</v>
      </c>
      <c r="F306" s="119">
        <v>20000</v>
      </c>
      <c r="G306" s="88">
        <f t="shared" si="117"/>
        <v>574</v>
      </c>
      <c r="H306" s="88">
        <f t="shared" si="118"/>
        <v>608</v>
      </c>
      <c r="I306" s="88"/>
      <c r="J306" s="83">
        <f t="shared" si="97"/>
        <v>1182</v>
      </c>
      <c r="K306" s="83"/>
      <c r="L306" s="83">
        <f t="shared" si="110"/>
        <v>0</v>
      </c>
      <c r="M306" s="83"/>
      <c r="N306" s="90">
        <v>25</v>
      </c>
      <c r="O306" s="116">
        <f t="shared" si="98"/>
        <v>1207</v>
      </c>
      <c r="P306" s="84">
        <f t="shared" si="109"/>
        <v>18793</v>
      </c>
    </row>
    <row r="307" spans="1:18" s="55" customFormat="1" ht="28.5" customHeight="1" x14ac:dyDescent="0.25">
      <c r="A307" s="81">
        <f t="shared" si="116"/>
        <v>163</v>
      </c>
      <c r="B307" s="117" t="s">
        <v>640</v>
      </c>
      <c r="C307" s="38" t="s">
        <v>429</v>
      </c>
      <c r="D307" s="117" t="s">
        <v>34</v>
      </c>
      <c r="E307" s="117" t="s">
        <v>200</v>
      </c>
      <c r="F307" s="119">
        <v>20000</v>
      </c>
      <c r="G307" s="88">
        <f t="shared" si="117"/>
        <v>574</v>
      </c>
      <c r="H307" s="88">
        <f t="shared" si="118"/>
        <v>608</v>
      </c>
      <c r="I307" s="88"/>
      <c r="J307" s="83">
        <f t="shared" si="97"/>
        <v>1182</v>
      </c>
      <c r="K307" s="83"/>
      <c r="L307" s="83">
        <f t="shared" si="110"/>
        <v>0</v>
      </c>
      <c r="M307" s="83"/>
      <c r="N307" s="90">
        <v>3225</v>
      </c>
      <c r="O307" s="116">
        <f t="shared" si="98"/>
        <v>4407</v>
      </c>
      <c r="P307" s="84">
        <f t="shared" si="109"/>
        <v>15593</v>
      </c>
    </row>
    <row r="308" spans="1:18" s="55" customFormat="1" ht="28.5" customHeight="1" x14ac:dyDescent="0.25">
      <c r="A308" s="81">
        <f t="shared" si="116"/>
        <v>164</v>
      </c>
      <c r="B308" s="117" t="s">
        <v>641</v>
      </c>
      <c r="C308" s="38" t="s">
        <v>430</v>
      </c>
      <c r="D308" s="117" t="s">
        <v>98</v>
      </c>
      <c r="E308" s="117" t="s">
        <v>200</v>
      </c>
      <c r="F308" s="119">
        <v>20000</v>
      </c>
      <c r="G308" s="88">
        <f t="shared" si="117"/>
        <v>574</v>
      </c>
      <c r="H308" s="88">
        <f t="shared" si="118"/>
        <v>608</v>
      </c>
      <c r="I308" s="88"/>
      <c r="J308" s="83">
        <f t="shared" si="97"/>
        <v>1182</v>
      </c>
      <c r="K308" s="83"/>
      <c r="L308" s="83">
        <f t="shared" si="110"/>
        <v>0</v>
      </c>
      <c r="M308" s="83"/>
      <c r="N308" s="90">
        <v>25</v>
      </c>
      <c r="O308" s="116">
        <f t="shared" si="98"/>
        <v>1207</v>
      </c>
      <c r="P308" s="84">
        <f t="shared" si="109"/>
        <v>18793</v>
      </c>
    </row>
    <row r="309" spans="1:18" s="55" customFormat="1" ht="28.5" customHeight="1" x14ac:dyDescent="0.25">
      <c r="A309" s="81">
        <f t="shared" si="116"/>
        <v>165</v>
      </c>
      <c r="B309" s="117" t="s">
        <v>642</v>
      </c>
      <c r="C309" s="38" t="s">
        <v>430</v>
      </c>
      <c r="D309" s="117" t="s">
        <v>34</v>
      </c>
      <c r="E309" s="117" t="s">
        <v>200</v>
      </c>
      <c r="F309" s="119">
        <v>20000</v>
      </c>
      <c r="G309" s="88">
        <f t="shared" si="117"/>
        <v>574</v>
      </c>
      <c r="H309" s="88">
        <f t="shared" si="118"/>
        <v>608</v>
      </c>
      <c r="I309" s="88"/>
      <c r="J309" s="83">
        <f t="shared" si="97"/>
        <v>1182</v>
      </c>
      <c r="K309" s="83"/>
      <c r="L309" s="83">
        <f t="shared" si="110"/>
        <v>0</v>
      </c>
      <c r="M309" s="83"/>
      <c r="N309" s="90">
        <v>1725</v>
      </c>
      <c r="O309" s="116">
        <f t="shared" si="98"/>
        <v>2907</v>
      </c>
      <c r="P309" s="84">
        <f t="shared" si="109"/>
        <v>17093</v>
      </c>
    </row>
    <row r="310" spans="1:18" s="85" customFormat="1" ht="30" customHeight="1" x14ac:dyDescent="0.25">
      <c r="A310" s="229" t="s">
        <v>126</v>
      </c>
      <c r="B310" s="230"/>
      <c r="C310" s="230"/>
      <c r="D310" s="230"/>
      <c r="E310" s="231"/>
      <c r="F310" s="39">
        <f>SUM(F278:F309)</f>
        <v>831075</v>
      </c>
      <c r="G310" s="39">
        <f t="shared" ref="G310:P310" si="119">SUM(G278:G309)</f>
        <v>23851.852499999997</v>
      </c>
      <c r="H310" s="39">
        <f t="shared" si="119"/>
        <v>25264.680000000004</v>
      </c>
      <c r="I310" s="39">
        <f t="shared" si="119"/>
        <v>9464.7000000000007</v>
      </c>
      <c r="J310" s="39">
        <f t="shared" si="119"/>
        <v>58581.232500000006</v>
      </c>
      <c r="K310" s="39">
        <f t="shared" si="119"/>
        <v>678403.76749999996</v>
      </c>
      <c r="L310" s="39">
        <f t="shared" si="119"/>
        <v>1854.0096249999995</v>
      </c>
      <c r="M310" s="39">
        <f t="shared" si="119"/>
        <v>2296.64</v>
      </c>
      <c r="N310" s="39">
        <f t="shared" si="119"/>
        <v>93942.250000000015</v>
      </c>
      <c r="O310" s="39">
        <f t="shared" si="119"/>
        <v>154377.49212500002</v>
      </c>
      <c r="P310" s="39">
        <f t="shared" si="119"/>
        <v>676697.50787500001</v>
      </c>
    </row>
    <row r="311" spans="1:18" s="41" customFormat="1" ht="30" customHeight="1" thickBot="1" x14ac:dyDescent="0.3">
      <c r="A311" s="52"/>
      <c r="B311" s="52"/>
      <c r="C311" s="52"/>
      <c r="D311" s="52"/>
      <c r="E311" s="5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55"/>
      <c r="R311" s="55"/>
    </row>
    <row r="312" spans="1:18" s="41" customFormat="1" ht="36" customHeight="1" thickBot="1" x14ac:dyDescent="0.3">
      <c r="A312" s="232" t="s">
        <v>330</v>
      </c>
      <c r="B312" s="233"/>
      <c r="C312" s="233"/>
      <c r="D312" s="233"/>
      <c r="E312" s="233"/>
      <c r="F312" s="233"/>
      <c r="G312" s="233"/>
      <c r="H312" s="233"/>
      <c r="I312" s="233"/>
      <c r="J312" s="233"/>
      <c r="K312" s="233"/>
      <c r="L312" s="233"/>
      <c r="M312" s="233"/>
      <c r="N312" s="233"/>
      <c r="O312" s="233"/>
      <c r="P312" s="233"/>
      <c r="Q312" s="55"/>
      <c r="R312" s="55"/>
    </row>
    <row r="313" spans="1:18" s="41" customFormat="1" ht="36" customHeight="1" x14ac:dyDescent="0.25">
      <c r="A313" s="38">
        <f>+A309+1</f>
        <v>166</v>
      </c>
      <c r="B313" s="117" t="s">
        <v>331</v>
      </c>
      <c r="C313" s="38" t="s">
        <v>429</v>
      </c>
      <c r="D313" s="117" t="s">
        <v>332</v>
      </c>
      <c r="E313" s="117" t="s">
        <v>233</v>
      </c>
      <c r="F313" s="119">
        <v>50000</v>
      </c>
      <c r="G313" s="119">
        <f>F313*2.87%</f>
        <v>1435</v>
      </c>
      <c r="H313" s="88">
        <f>+F313*3.04%</f>
        <v>1520</v>
      </c>
      <c r="I313" s="88"/>
      <c r="J313" s="83">
        <f t="shared" si="97"/>
        <v>2955</v>
      </c>
      <c r="K313" s="83">
        <f t="shared" si="100"/>
        <v>47045</v>
      </c>
      <c r="L313" s="83">
        <f t="shared" ref="L313:L317" si="120">+IF(K313*12&lt;=416220.01,0,IF(K313*12&lt;=624329.01,(((K313*12-416220.01)*0.15)/12),IF((K313*12&lt;=867123.01),(31216+0.2*(K313*12-624329.01))/12,((79776+0.25*(K313*12-867123.01))/12))))</f>
        <v>1853.9998749999997</v>
      </c>
      <c r="M313" s="83"/>
      <c r="N313" s="90">
        <v>125</v>
      </c>
      <c r="O313" s="116">
        <f t="shared" si="98"/>
        <v>4933.9998749999995</v>
      </c>
      <c r="P313" s="84">
        <f>+F313-O313</f>
        <v>45066.000124999999</v>
      </c>
      <c r="Q313" s="55"/>
      <c r="R313" s="55"/>
    </row>
    <row r="314" spans="1:18" s="41" customFormat="1" ht="36" customHeight="1" x14ac:dyDescent="0.25">
      <c r="A314" s="38">
        <f>+A313+1</f>
        <v>167</v>
      </c>
      <c r="B314" s="117" t="s">
        <v>333</v>
      </c>
      <c r="C314" s="38" t="s">
        <v>429</v>
      </c>
      <c r="D314" s="117" t="s">
        <v>332</v>
      </c>
      <c r="E314" s="117" t="s">
        <v>233</v>
      </c>
      <c r="F314" s="119">
        <v>50000</v>
      </c>
      <c r="G314" s="119">
        <f>F314*2.87%</f>
        <v>1435</v>
      </c>
      <c r="H314" s="88">
        <f>+F314*3.04%</f>
        <v>1520</v>
      </c>
      <c r="I314" s="88">
        <v>1577.45</v>
      </c>
      <c r="J314" s="83">
        <f t="shared" si="97"/>
        <v>4532.45</v>
      </c>
      <c r="K314" s="83">
        <f t="shared" si="100"/>
        <v>45467.55</v>
      </c>
      <c r="L314" s="83">
        <f t="shared" si="120"/>
        <v>1617.382375000001</v>
      </c>
      <c r="M314" s="83"/>
      <c r="N314" s="90">
        <v>125</v>
      </c>
      <c r="O314" s="116">
        <f t="shared" si="98"/>
        <v>6274.8323750000009</v>
      </c>
      <c r="P314" s="84">
        <f>+F314-O314</f>
        <v>43725.167625000002</v>
      </c>
      <c r="Q314" s="55"/>
      <c r="R314" s="55"/>
    </row>
    <row r="315" spans="1:18" s="41" customFormat="1" ht="28.5" customHeight="1" x14ac:dyDescent="0.25">
      <c r="A315" s="38">
        <f>+A314+1</f>
        <v>168</v>
      </c>
      <c r="B315" s="117" t="s">
        <v>405</v>
      </c>
      <c r="C315" s="38" t="s">
        <v>429</v>
      </c>
      <c r="D315" s="117" t="s">
        <v>145</v>
      </c>
      <c r="E315" s="117" t="s">
        <v>233</v>
      </c>
      <c r="F315" s="119">
        <v>28000</v>
      </c>
      <c r="G315" s="119">
        <f t="shared" ref="G315" si="121">F315*2.87%</f>
        <v>803.6</v>
      </c>
      <c r="H315" s="88">
        <f t="shared" ref="H315" si="122">+F315*3.04%</f>
        <v>851.2</v>
      </c>
      <c r="I315" s="88"/>
      <c r="J315" s="83">
        <f t="shared" si="97"/>
        <v>1654.8000000000002</v>
      </c>
      <c r="K315" s="83">
        <f t="shared" si="100"/>
        <v>26345.200000000001</v>
      </c>
      <c r="L315" s="83">
        <f t="shared" si="120"/>
        <v>0</v>
      </c>
      <c r="M315" s="83"/>
      <c r="N315" s="90">
        <v>25</v>
      </c>
      <c r="O315" s="116">
        <f t="shared" si="98"/>
        <v>1679.8000000000002</v>
      </c>
      <c r="P315" s="84">
        <f>+F315-O315</f>
        <v>26320.2</v>
      </c>
      <c r="Q315" s="55"/>
      <c r="R315" s="55"/>
    </row>
    <row r="316" spans="1:18" s="55" customFormat="1" ht="27" customHeight="1" x14ac:dyDescent="0.25">
      <c r="A316" s="38">
        <f>+A315+1</f>
        <v>169</v>
      </c>
      <c r="B316" s="137" t="s">
        <v>406</v>
      </c>
      <c r="C316" s="163" t="s">
        <v>429</v>
      </c>
      <c r="D316" s="164" t="s">
        <v>145</v>
      </c>
      <c r="E316" s="117" t="s">
        <v>233</v>
      </c>
      <c r="F316" s="90">
        <v>28000</v>
      </c>
      <c r="G316" s="88">
        <f>F316*2.87%</f>
        <v>803.6</v>
      </c>
      <c r="H316" s="88">
        <f>+F316*3.04%</f>
        <v>851.2</v>
      </c>
      <c r="I316" s="88"/>
      <c r="J316" s="83">
        <f t="shared" si="97"/>
        <v>1654.8000000000002</v>
      </c>
      <c r="K316" s="83">
        <f t="shared" si="100"/>
        <v>26345.200000000001</v>
      </c>
      <c r="L316" s="83">
        <f t="shared" si="120"/>
        <v>0</v>
      </c>
      <c r="M316" s="83"/>
      <c r="N316" s="84">
        <v>125</v>
      </c>
      <c r="O316" s="116">
        <f t="shared" si="98"/>
        <v>1779.8000000000002</v>
      </c>
      <c r="P316" s="84">
        <f>+F316-O316</f>
        <v>26220.2</v>
      </c>
    </row>
    <row r="317" spans="1:18" s="55" customFormat="1" ht="30" customHeight="1" x14ac:dyDescent="0.25">
      <c r="A317" s="38">
        <f>+A316+1</f>
        <v>170</v>
      </c>
      <c r="B317" s="137" t="s">
        <v>544</v>
      </c>
      <c r="C317" s="163" t="s">
        <v>429</v>
      </c>
      <c r="D317" s="164" t="s">
        <v>145</v>
      </c>
      <c r="E317" s="117" t="s">
        <v>233</v>
      </c>
      <c r="F317" s="90">
        <v>20000</v>
      </c>
      <c r="G317" s="88">
        <f>F317*2.87%</f>
        <v>574</v>
      </c>
      <c r="H317" s="88">
        <f>+F317*3.04%</f>
        <v>608</v>
      </c>
      <c r="I317" s="88"/>
      <c r="J317" s="83">
        <f t="shared" si="97"/>
        <v>1182</v>
      </c>
      <c r="K317" s="83">
        <f t="shared" si="100"/>
        <v>18818</v>
      </c>
      <c r="L317" s="83">
        <f t="shared" si="120"/>
        <v>0</v>
      </c>
      <c r="M317" s="83"/>
      <c r="N317" s="84">
        <v>125</v>
      </c>
      <c r="O317" s="116">
        <f t="shared" si="98"/>
        <v>1307</v>
      </c>
      <c r="P317" s="84">
        <f>+F317-O317</f>
        <v>18693</v>
      </c>
    </row>
    <row r="318" spans="1:18" s="55" customFormat="1" ht="30" customHeight="1" thickBot="1" x14ac:dyDescent="0.3">
      <c r="A318" s="229" t="s">
        <v>126</v>
      </c>
      <c r="B318" s="230"/>
      <c r="C318" s="230"/>
      <c r="D318" s="230"/>
      <c r="E318" s="231"/>
      <c r="F318" s="39">
        <f t="shared" ref="F318:P318" si="123">SUM(F313:F317)</f>
        <v>176000</v>
      </c>
      <c r="G318" s="39">
        <f t="shared" si="123"/>
        <v>5051.2</v>
      </c>
      <c r="H318" s="39">
        <f t="shared" si="123"/>
        <v>5350.4</v>
      </c>
      <c r="I318" s="39">
        <f t="shared" si="123"/>
        <v>1577.45</v>
      </c>
      <c r="J318" s="39">
        <f t="shared" si="123"/>
        <v>11979.05</v>
      </c>
      <c r="K318" s="39">
        <f t="shared" si="123"/>
        <v>164020.95000000001</v>
      </c>
      <c r="L318" s="39">
        <f t="shared" si="123"/>
        <v>3471.3822500000006</v>
      </c>
      <c r="M318" s="39"/>
      <c r="N318" s="39">
        <f t="shared" si="123"/>
        <v>525</v>
      </c>
      <c r="O318" s="39">
        <f t="shared" si="123"/>
        <v>15975.432249999998</v>
      </c>
      <c r="P318" s="39">
        <f t="shared" si="123"/>
        <v>160024.56774999999</v>
      </c>
    </row>
    <row r="319" spans="1:18" s="55" customFormat="1" ht="30" customHeight="1" thickBot="1" x14ac:dyDescent="0.3">
      <c r="A319" s="232" t="s">
        <v>334</v>
      </c>
      <c r="B319" s="233"/>
      <c r="C319" s="233"/>
      <c r="D319" s="233"/>
      <c r="E319" s="233"/>
      <c r="F319" s="233"/>
      <c r="G319" s="233"/>
      <c r="H319" s="233"/>
      <c r="I319" s="233"/>
      <c r="J319" s="233"/>
      <c r="K319" s="233"/>
      <c r="L319" s="233"/>
      <c r="M319" s="233"/>
      <c r="N319" s="233"/>
      <c r="O319" s="233"/>
      <c r="P319" s="233"/>
    </row>
    <row r="320" spans="1:18" s="55" customFormat="1" ht="30" customHeight="1" x14ac:dyDescent="0.25">
      <c r="A320" s="86">
        <f>+A317+1</f>
        <v>171</v>
      </c>
      <c r="B320" s="117" t="s">
        <v>134</v>
      </c>
      <c r="C320" s="38" t="s">
        <v>429</v>
      </c>
      <c r="D320" s="117" t="s">
        <v>136</v>
      </c>
      <c r="E320" s="117" t="s">
        <v>233</v>
      </c>
      <c r="F320" s="119">
        <v>55000</v>
      </c>
      <c r="G320" s="88">
        <f>F320*2.87%</f>
        <v>1578.5</v>
      </c>
      <c r="H320" s="88">
        <f>+F320*3.04%</f>
        <v>1672</v>
      </c>
      <c r="I320" s="88"/>
      <c r="J320" s="83">
        <f t="shared" si="97"/>
        <v>3250.5</v>
      </c>
      <c r="K320" s="83">
        <f t="shared" si="100"/>
        <v>51749.5</v>
      </c>
      <c r="L320" s="83">
        <f>+IF(K320*12&lt;=416220.01,0,IF(K320*12&lt;=624329.01,(((K320*12-416220.01)*0.15)/12),IF((K320*12&lt;=867123.01),(31216+0.2*(K320*12-624329.01))/12,((79776+0.25*(K320*12-867123.01))/12))))-M320</f>
        <v>4.8749999996289262E-3</v>
      </c>
      <c r="M320" s="83">
        <v>2559.67</v>
      </c>
      <c r="N320" s="90">
        <v>25</v>
      </c>
      <c r="O320" s="116">
        <f t="shared" si="98"/>
        <v>3275.5048749999996</v>
      </c>
      <c r="P320" s="90">
        <f t="shared" ref="P320:P337" si="124">+F320-O320</f>
        <v>51724.495125000001</v>
      </c>
    </row>
    <row r="321" spans="1:18" s="55" customFormat="1" ht="30" customHeight="1" x14ac:dyDescent="0.25">
      <c r="A321" s="86">
        <f>+A320+1</f>
        <v>172</v>
      </c>
      <c r="B321" s="117" t="s">
        <v>35</v>
      </c>
      <c r="C321" s="38" t="s">
        <v>429</v>
      </c>
      <c r="D321" s="117" t="s">
        <v>136</v>
      </c>
      <c r="E321" s="117" t="s">
        <v>123</v>
      </c>
      <c r="F321" s="119">
        <v>55000</v>
      </c>
      <c r="G321" s="88">
        <f t="shared" ref="G321:G335" si="125">F321*2.87%</f>
        <v>1578.5</v>
      </c>
      <c r="H321" s="88">
        <f t="shared" ref="H321:H337" si="126">+F321*3.04%</f>
        <v>1672</v>
      </c>
      <c r="I321" s="88"/>
      <c r="J321" s="83">
        <f t="shared" si="97"/>
        <v>3250.5</v>
      </c>
      <c r="K321" s="83">
        <f t="shared" si="100"/>
        <v>51749.5</v>
      </c>
      <c r="L321" s="83">
        <f t="shared" ref="L321:L337" si="127">+IF(K321*12&lt;=416220.01,0,IF(K321*12&lt;=624329.01,(((K321*12-416220.01)*0.15)/12),IF((K321*12&lt;=867123.01),(31216+0.2*(K321*12-624329.01))/12,((79776+0.25*(K321*12-867123.01))/12))))-M321</f>
        <v>4.8749999996289262E-3</v>
      </c>
      <c r="M321" s="83">
        <v>2559.67</v>
      </c>
      <c r="N321" s="90">
        <v>125</v>
      </c>
      <c r="O321" s="116">
        <f t="shared" si="98"/>
        <v>3375.5048749999996</v>
      </c>
      <c r="P321" s="90">
        <f t="shared" si="124"/>
        <v>51624.495125000001</v>
      </c>
    </row>
    <row r="322" spans="1:18" s="55" customFormat="1" ht="30" customHeight="1" x14ac:dyDescent="0.25">
      <c r="A322" s="86">
        <f t="shared" ref="A322:A337" si="128">+A321+1</f>
        <v>173</v>
      </c>
      <c r="B322" s="117" t="s">
        <v>335</v>
      </c>
      <c r="C322" s="38" t="s">
        <v>429</v>
      </c>
      <c r="D322" s="117" t="s">
        <v>37</v>
      </c>
      <c r="E322" s="117" t="s">
        <v>233</v>
      </c>
      <c r="F322" s="119">
        <v>35000</v>
      </c>
      <c r="G322" s="88">
        <f t="shared" si="125"/>
        <v>1004.5</v>
      </c>
      <c r="H322" s="88">
        <f t="shared" si="126"/>
        <v>1064</v>
      </c>
      <c r="I322" s="88"/>
      <c r="J322" s="83">
        <f t="shared" si="97"/>
        <v>2068.5</v>
      </c>
      <c r="K322" s="83">
        <f t="shared" si="100"/>
        <v>32931.5</v>
      </c>
      <c r="L322" s="83">
        <f t="shared" si="127"/>
        <v>0</v>
      </c>
      <c r="M322" s="83"/>
      <c r="N322" s="90">
        <v>125</v>
      </c>
      <c r="O322" s="116">
        <f t="shared" si="98"/>
        <v>2193.5</v>
      </c>
      <c r="P322" s="90">
        <f t="shared" si="124"/>
        <v>32806.5</v>
      </c>
    </row>
    <row r="323" spans="1:18" s="97" customFormat="1" ht="30" customHeight="1" x14ac:dyDescent="0.25">
      <c r="A323" s="86">
        <f t="shared" si="128"/>
        <v>174</v>
      </c>
      <c r="B323" s="117" t="s">
        <v>40</v>
      </c>
      <c r="C323" s="38" t="s">
        <v>429</v>
      </c>
      <c r="D323" s="117" t="s">
        <v>37</v>
      </c>
      <c r="E323" s="117" t="s">
        <v>233</v>
      </c>
      <c r="F323" s="119">
        <v>35000</v>
      </c>
      <c r="G323" s="88">
        <f t="shared" si="125"/>
        <v>1004.5</v>
      </c>
      <c r="H323" s="88">
        <f t="shared" si="126"/>
        <v>1064</v>
      </c>
      <c r="I323" s="88"/>
      <c r="J323" s="83">
        <f t="shared" si="97"/>
        <v>2068.5</v>
      </c>
      <c r="K323" s="83">
        <f t="shared" si="100"/>
        <v>32931.5</v>
      </c>
      <c r="L323" s="83">
        <f t="shared" si="127"/>
        <v>0</v>
      </c>
      <c r="M323" s="83"/>
      <c r="N323" s="90">
        <v>125</v>
      </c>
      <c r="O323" s="116">
        <f t="shared" si="98"/>
        <v>2193.5</v>
      </c>
      <c r="P323" s="90">
        <f t="shared" si="124"/>
        <v>32806.5</v>
      </c>
    </row>
    <row r="324" spans="1:18" s="55" customFormat="1" ht="30" customHeight="1" x14ac:dyDescent="0.25">
      <c r="A324" s="86">
        <f t="shared" si="128"/>
        <v>175</v>
      </c>
      <c r="B324" s="117" t="s">
        <v>336</v>
      </c>
      <c r="C324" s="38" t="s">
        <v>429</v>
      </c>
      <c r="D324" s="117" t="s">
        <v>37</v>
      </c>
      <c r="E324" s="117" t="s">
        <v>233</v>
      </c>
      <c r="F324" s="119">
        <v>35000</v>
      </c>
      <c r="G324" s="88">
        <f t="shared" si="125"/>
        <v>1004.5</v>
      </c>
      <c r="H324" s="88">
        <f t="shared" si="126"/>
        <v>1064</v>
      </c>
      <c r="I324" s="88"/>
      <c r="J324" s="83">
        <f t="shared" si="97"/>
        <v>2068.5</v>
      </c>
      <c r="K324" s="83">
        <f t="shared" si="100"/>
        <v>32931.5</v>
      </c>
      <c r="L324" s="83">
        <f t="shared" si="127"/>
        <v>0</v>
      </c>
      <c r="M324" s="83"/>
      <c r="N324" s="90">
        <v>125</v>
      </c>
      <c r="O324" s="116">
        <f t="shared" si="98"/>
        <v>2193.5</v>
      </c>
      <c r="P324" s="90">
        <f t="shared" si="124"/>
        <v>32806.5</v>
      </c>
    </row>
    <row r="325" spans="1:18" s="85" customFormat="1" ht="30" customHeight="1" x14ac:dyDescent="0.25">
      <c r="A325" s="86">
        <f t="shared" si="128"/>
        <v>176</v>
      </c>
      <c r="B325" s="117" t="s">
        <v>82</v>
      </c>
      <c r="C325" s="38" t="s">
        <v>429</v>
      </c>
      <c r="D325" s="117" t="s">
        <v>37</v>
      </c>
      <c r="E325" s="117" t="s">
        <v>233</v>
      </c>
      <c r="F325" s="119">
        <v>35000</v>
      </c>
      <c r="G325" s="88">
        <f t="shared" si="125"/>
        <v>1004.5</v>
      </c>
      <c r="H325" s="88">
        <f t="shared" si="126"/>
        <v>1064</v>
      </c>
      <c r="I325" s="88"/>
      <c r="J325" s="83">
        <f t="shared" ref="J325:J389" si="129">+G325+H325+I325</f>
        <v>2068.5</v>
      </c>
      <c r="K325" s="83">
        <f t="shared" si="100"/>
        <v>32931.5</v>
      </c>
      <c r="L325" s="83">
        <f t="shared" si="127"/>
        <v>0</v>
      </c>
      <c r="M325" s="83"/>
      <c r="N325" s="90">
        <v>125</v>
      </c>
      <c r="O325" s="116">
        <f t="shared" si="98"/>
        <v>2193.5</v>
      </c>
      <c r="P325" s="90">
        <f t="shared" si="124"/>
        <v>32806.5</v>
      </c>
    </row>
    <row r="326" spans="1:18" s="55" customFormat="1" ht="30" customHeight="1" x14ac:dyDescent="0.25">
      <c r="A326" s="86">
        <f t="shared" si="128"/>
        <v>177</v>
      </c>
      <c r="B326" s="117" t="s">
        <v>337</v>
      </c>
      <c r="C326" s="38" t="s">
        <v>429</v>
      </c>
      <c r="D326" s="117" t="s">
        <v>37</v>
      </c>
      <c r="E326" s="117" t="s">
        <v>233</v>
      </c>
      <c r="F326" s="119">
        <v>35000</v>
      </c>
      <c r="G326" s="88">
        <f t="shared" si="125"/>
        <v>1004.5</v>
      </c>
      <c r="H326" s="88">
        <f t="shared" si="126"/>
        <v>1064</v>
      </c>
      <c r="I326" s="88">
        <v>1577.45</v>
      </c>
      <c r="J326" s="83">
        <f t="shared" si="129"/>
        <v>3645.95</v>
      </c>
      <c r="K326" s="83">
        <f t="shared" si="100"/>
        <v>31354.05</v>
      </c>
      <c r="L326" s="83">
        <f t="shared" si="127"/>
        <v>0</v>
      </c>
      <c r="M326" s="83"/>
      <c r="N326" s="90">
        <v>5298.99</v>
      </c>
      <c r="O326" s="116">
        <f t="shared" ref="O326:O391" si="130">+N326+I326+H326+G326+L326</f>
        <v>8944.9399999999987</v>
      </c>
      <c r="P326" s="90">
        <f t="shared" si="124"/>
        <v>26055.06</v>
      </c>
    </row>
    <row r="327" spans="1:18" s="85" customFormat="1" ht="30" customHeight="1" x14ac:dyDescent="0.25">
      <c r="A327" s="86">
        <f t="shared" si="128"/>
        <v>178</v>
      </c>
      <c r="B327" s="117" t="s">
        <v>39</v>
      </c>
      <c r="C327" s="38" t="s">
        <v>429</v>
      </c>
      <c r="D327" s="117" t="s">
        <v>37</v>
      </c>
      <c r="E327" s="117" t="s">
        <v>233</v>
      </c>
      <c r="F327" s="119">
        <v>35000</v>
      </c>
      <c r="G327" s="88">
        <f t="shared" si="125"/>
        <v>1004.5</v>
      </c>
      <c r="H327" s="88">
        <f t="shared" si="126"/>
        <v>1064</v>
      </c>
      <c r="I327" s="88"/>
      <c r="J327" s="83">
        <f t="shared" si="129"/>
        <v>2068.5</v>
      </c>
      <c r="K327" s="83">
        <f t="shared" si="100"/>
        <v>32931.5</v>
      </c>
      <c r="L327" s="83">
        <f t="shared" si="127"/>
        <v>0</v>
      </c>
      <c r="M327" s="83"/>
      <c r="N327" s="90">
        <v>125</v>
      </c>
      <c r="O327" s="116">
        <f t="shared" si="130"/>
        <v>2193.5</v>
      </c>
      <c r="P327" s="90">
        <f t="shared" si="124"/>
        <v>32806.5</v>
      </c>
    </row>
    <row r="328" spans="1:18" s="97" customFormat="1" ht="30" customHeight="1" x14ac:dyDescent="0.25">
      <c r="A328" s="86">
        <f t="shared" si="128"/>
        <v>179</v>
      </c>
      <c r="B328" s="117" t="s">
        <v>135</v>
      </c>
      <c r="C328" s="38" t="s">
        <v>429</v>
      </c>
      <c r="D328" s="136" t="s">
        <v>137</v>
      </c>
      <c r="E328" s="117" t="s">
        <v>233</v>
      </c>
      <c r="F328" s="119">
        <v>35000</v>
      </c>
      <c r="G328" s="88">
        <f>F328*2.87%</f>
        <v>1004.5</v>
      </c>
      <c r="H328" s="88">
        <f>+F328*3.04%</f>
        <v>1064</v>
      </c>
      <c r="I328" s="88"/>
      <c r="J328" s="83">
        <f t="shared" si="129"/>
        <v>2068.5</v>
      </c>
      <c r="K328" s="83">
        <f t="shared" si="100"/>
        <v>32931.5</v>
      </c>
      <c r="L328" s="83">
        <f t="shared" si="127"/>
        <v>0</v>
      </c>
      <c r="M328" s="83"/>
      <c r="N328" s="90">
        <v>25</v>
      </c>
      <c r="O328" s="116">
        <f t="shared" si="130"/>
        <v>2093.5</v>
      </c>
      <c r="P328" s="90">
        <f t="shared" si="124"/>
        <v>32906.5</v>
      </c>
    </row>
    <row r="329" spans="1:18" s="55" customFormat="1" ht="30" customHeight="1" x14ac:dyDescent="0.25">
      <c r="A329" s="86">
        <f t="shared" si="128"/>
        <v>180</v>
      </c>
      <c r="B329" s="117" t="s">
        <v>342</v>
      </c>
      <c r="C329" s="38" t="s">
        <v>429</v>
      </c>
      <c r="D329" s="117" t="s">
        <v>37</v>
      </c>
      <c r="E329" s="117" t="s">
        <v>123</v>
      </c>
      <c r="F329" s="119">
        <v>35000</v>
      </c>
      <c r="G329" s="88">
        <f>F329*2.87%</f>
        <v>1004.5</v>
      </c>
      <c r="H329" s="88">
        <f>+F329*3.04%</f>
        <v>1064</v>
      </c>
      <c r="I329" s="88"/>
      <c r="J329" s="83">
        <f t="shared" si="129"/>
        <v>2068.5</v>
      </c>
      <c r="K329" s="83">
        <f t="shared" ref="K329:K369" si="131">+F329-J329</f>
        <v>32931.5</v>
      </c>
      <c r="L329" s="83">
        <f t="shared" si="127"/>
        <v>0</v>
      </c>
      <c r="M329" s="83"/>
      <c r="N329" s="90">
        <v>125</v>
      </c>
      <c r="O329" s="116">
        <f t="shared" si="130"/>
        <v>2193.5</v>
      </c>
      <c r="P329" s="90">
        <f t="shared" si="124"/>
        <v>32806.5</v>
      </c>
    </row>
    <row r="330" spans="1:18" s="85" customFormat="1" ht="30" customHeight="1" x14ac:dyDescent="0.25">
      <c r="A330" s="86">
        <f t="shared" si="128"/>
        <v>181</v>
      </c>
      <c r="B330" s="117" t="s">
        <v>340</v>
      </c>
      <c r="C330" s="38" t="s">
        <v>429</v>
      </c>
      <c r="D330" s="136" t="s">
        <v>143</v>
      </c>
      <c r="E330" s="117" t="s">
        <v>233</v>
      </c>
      <c r="F330" s="119">
        <v>30000</v>
      </c>
      <c r="G330" s="88">
        <f t="shared" si="125"/>
        <v>861</v>
      </c>
      <c r="H330" s="88">
        <f t="shared" si="126"/>
        <v>912</v>
      </c>
      <c r="I330" s="88">
        <v>1577.45</v>
      </c>
      <c r="J330" s="83">
        <f t="shared" si="129"/>
        <v>3350.45</v>
      </c>
      <c r="K330" s="83">
        <f t="shared" si="131"/>
        <v>26649.55</v>
      </c>
      <c r="L330" s="83">
        <f t="shared" si="127"/>
        <v>0</v>
      </c>
      <c r="M330" s="83"/>
      <c r="N330" s="90">
        <v>125</v>
      </c>
      <c r="O330" s="116">
        <f t="shared" si="130"/>
        <v>3475.45</v>
      </c>
      <c r="P330" s="90">
        <f t="shared" si="124"/>
        <v>26524.55</v>
      </c>
    </row>
    <row r="331" spans="1:18" s="55" customFormat="1" ht="30" customHeight="1" x14ac:dyDescent="0.25">
      <c r="A331" s="86">
        <f t="shared" si="128"/>
        <v>182</v>
      </c>
      <c r="B331" s="117" t="s">
        <v>338</v>
      </c>
      <c r="C331" s="38" t="s">
        <v>429</v>
      </c>
      <c r="D331" s="117" t="s">
        <v>143</v>
      </c>
      <c r="E331" s="117" t="s">
        <v>233</v>
      </c>
      <c r="F331" s="119">
        <v>30000</v>
      </c>
      <c r="G331" s="88">
        <f>F331*2.87%</f>
        <v>861</v>
      </c>
      <c r="H331" s="88">
        <f>+F331*3.04%</f>
        <v>912</v>
      </c>
      <c r="I331" s="88"/>
      <c r="J331" s="83">
        <f t="shared" si="129"/>
        <v>1773</v>
      </c>
      <c r="K331" s="83">
        <f t="shared" si="131"/>
        <v>28227</v>
      </c>
      <c r="L331" s="83">
        <f t="shared" si="127"/>
        <v>0</v>
      </c>
      <c r="M331" s="83"/>
      <c r="N331" s="90">
        <v>125</v>
      </c>
      <c r="O331" s="116">
        <f t="shared" si="130"/>
        <v>1898</v>
      </c>
      <c r="P331" s="90">
        <f t="shared" si="124"/>
        <v>28102</v>
      </c>
    </row>
    <row r="332" spans="1:18" s="55" customFormat="1" ht="30" customHeight="1" x14ac:dyDescent="0.25">
      <c r="A332" s="86">
        <f t="shared" si="128"/>
        <v>183</v>
      </c>
      <c r="B332" s="117" t="s">
        <v>38</v>
      </c>
      <c r="C332" s="38" t="s">
        <v>429</v>
      </c>
      <c r="D332" s="117" t="s">
        <v>37</v>
      </c>
      <c r="E332" s="117" t="s">
        <v>123</v>
      </c>
      <c r="F332" s="119">
        <v>30000</v>
      </c>
      <c r="G332" s="88">
        <f t="shared" si="125"/>
        <v>861</v>
      </c>
      <c r="H332" s="88">
        <f t="shared" si="126"/>
        <v>912</v>
      </c>
      <c r="I332" s="88"/>
      <c r="J332" s="83">
        <f t="shared" si="129"/>
        <v>1773</v>
      </c>
      <c r="K332" s="83">
        <f t="shared" si="131"/>
        <v>28227</v>
      </c>
      <c r="L332" s="83">
        <f t="shared" si="127"/>
        <v>0</v>
      </c>
      <c r="M332" s="83"/>
      <c r="N332" s="90">
        <v>25</v>
      </c>
      <c r="O332" s="116">
        <f t="shared" si="130"/>
        <v>1798</v>
      </c>
      <c r="P332" s="90">
        <f t="shared" si="124"/>
        <v>28202</v>
      </c>
    </row>
    <row r="333" spans="1:18" s="34" customFormat="1" ht="26.25" customHeight="1" x14ac:dyDescent="0.25">
      <c r="A333" s="86">
        <f t="shared" si="128"/>
        <v>184</v>
      </c>
      <c r="B333" s="117" t="s">
        <v>341</v>
      </c>
      <c r="C333" s="38" t="s">
        <v>429</v>
      </c>
      <c r="D333" s="136" t="s">
        <v>137</v>
      </c>
      <c r="E333" s="87" t="s">
        <v>233</v>
      </c>
      <c r="F333" s="88">
        <v>28000</v>
      </c>
      <c r="G333" s="88">
        <f>F333*2.87%</f>
        <v>803.6</v>
      </c>
      <c r="H333" s="88">
        <f>+F333*3.04%</f>
        <v>851.2</v>
      </c>
      <c r="I333" s="88"/>
      <c r="J333" s="83">
        <f t="shared" si="129"/>
        <v>1654.8000000000002</v>
      </c>
      <c r="K333" s="83">
        <f t="shared" si="131"/>
        <v>26345.200000000001</v>
      </c>
      <c r="L333" s="83">
        <f t="shared" si="127"/>
        <v>0</v>
      </c>
      <c r="M333" s="83"/>
      <c r="N333" s="90">
        <v>25</v>
      </c>
      <c r="O333" s="116">
        <f t="shared" si="130"/>
        <v>1679.8000000000002</v>
      </c>
      <c r="P333" s="90">
        <f t="shared" si="124"/>
        <v>26320.2</v>
      </c>
      <c r="Q333" s="85"/>
      <c r="R333" s="85"/>
    </row>
    <row r="334" spans="1:18" s="34" customFormat="1" ht="26.25" customHeight="1" x14ac:dyDescent="0.25">
      <c r="A334" s="86">
        <f t="shared" si="128"/>
        <v>185</v>
      </c>
      <c r="B334" s="117" t="s">
        <v>486</v>
      </c>
      <c r="C334" s="38" t="s">
        <v>429</v>
      </c>
      <c r="D334" s="136" t="s">
        <v>487</v>
      </c>
      <c r="E334" s="117" t="s">
        <v>233</v>
      </c>
      <c r="F334" s="119">
        <v>26500</v>
      </c>
      <c r="G334" s="119">
        <f t="shared" si="125"/>
        <v>760.55</v>
      </c>
      <c r="H334" s="88">
        <f t="shared" si="126"/>
        <v>805.6</v>
      </c>
      <c r="I334" s="88">
        <v>1577.45</v>
      </c>
      <c r="J334" s="83">
        <f t="shared" si="129"/>
        <v>3143.6000000000004</v>
      </c>
      <c r="K334" s="83">
        <f t="shared" si="131"/>
        <v>23356.400000000001</v>
      </c>
      <c r="L334" s="83">
        <f t="shared" si="127"/>
        <v>0</v>
      </c>
      <c r="M334" s="83"/>
      <c r="N334" s="90">
        <v>5163.72</v>
      </c>
      <c r="O334" s="116">
        <f t="shared" si="130"/>
        <v>8307.32</v>
      </c>
      <c r="P334" s="90">
        <f t="shared" si="124"/>
        <v>18192.68</v>
      </c>
      <c r="Q334" s="85"/>
      <c r="R334" s="85"/>
    </row>
    <row r="335" spans="1:18" s="34" customFormat="1" ht="26.25" customHeight="1" x14ac:dyDescent="0.25">
      <c r="A335" s="86">
        <f t="shared" si="128"/>
        <v>186</v>
      </c>
      <c r="B335" s="117" t="s">
        <v>344</v>
      </c>
      <c r="C335" s="38" t="s">
        <v>429</v>
      </c>
      <c r="D335" s="117" t="s">
        <v>99</v>
      </c>
      <c r="E335" s="117" t="s">
        <v>123</v>
      </c>
      <c r="F335" s="119">
        <v>28000</v>
      </c>
      <c r="G335" s="119">
        <f t="shared" si="125"/>
        <v>803.6</v>
      </c>
      <c r="H335" s="88">
        <f t="shared" si="126"/>
        <v>851.2</v>
      </c>
      <c r="I335" s="88"/>
      <c r="J335" s="83">
        <f t="shared" si="129"/>
        <v>1654.8000000000002</v>
      </c>
      <c r="K335" s="83">
        <f t="shared" si="131"/>
        <v>26345.200000000001</v>
      </c>
      <c r="L335" s="83">
        <f t="shared" si="127"/>
        <v>0</v>
      </c>
      <c r="M335" s="83"/>
      <c r="N335" s="90">
        <v>25</v>
      </c>
      <c r="O335" s="116">
        <f t="shared" si="130"/>
        <v>1679.8000000000002</v>
      </c>
      <c r="P335" s="90">
        <f t="shared" si="124"/>
        <v>26320.2</v>
      </c>
      <c r="Q335" s="85"/>
      <c r="R335" s="85"/>
    </row>
    <row r="336" spans="1:18" s="34" customFormat="1" ht="26.25" customHeight="1" x14ac:dyDescent="0.25">
      <c r="A336" s="86">
        <f t="shared" si="128"/>
        <v>187</v>
      </c>
      <c r="B336" s="117" t="s">
        <v>572</v>
      </c>
      <c r="C336" s="38" t="s">
        <v>429</v>
      </c>
      <c r="D336" s="117" t="s">
        <v>137</v>
      </c>
      <c r="E336" s="117" t="s">
        <v>233</v>
      </c>
      <c r="F336" s="119">
        <v>25000</v>
      </c>
      <c r="G336" s="119">
        <f>F336*2.87%</f>
        <v>717.5</v>
      </c>
      <c r="H336" s="88">
        <f t="shared" si="126"/>
        <v>760</v>
      </c>
      <c r="I336" s="88"/>
      <c r="J336" s="83">
        <f t="shared" si="129"/>
        <v>1477.5</v>
      </c>
      <c r="K336" s="83">
        <f t="shared" si="131"/>
        <v>23522.5</v>
      </c>
      <c r="L336" s="83">
        <f t="shared" si="127"/>
        <v>0</v>
      </c>
      <c r="M336" s="83"/>
      <c r="N336" s="90">
        <f>500+25</f>
        <v>525</v>
      </c>
      <c r="O336" s="116">
        <f t="shared" si="130"/>
        <v>2002.5</v>
      </c>
      <c r="P336" s="90">
        <f t="shared" si="124"/>
        <v>22997.5</v>
      </c>
      <c r="Q336" s="85"/>
      <c r="R336" s="85"/>
    </row>
    <row r="337" spans="1:18" s="34" customFormat="1" ht="26.25" customHeight="1" x14ac:dyDescent="0.25">
      <c r="A337" s="86">
        <f t="shared" si="128"/>
        <v>188</v>
      </c>
      <c r="B337" s="117" t="s">
        <v>643</v>
      </c>
      <c r="C337" s="38" t="s">
        <v>429</v>
      </c>
      <c r="D337" s="117" t="s">
        <v>137</v>
      </c>
      <c r="E337" s="117" t="s">
        <v>233</v>
      </c>
      <c r="F337" s="119">
        <v>25000</v>
      </c>
      <c r="G337" s="119">
        <f>F337*2.87%</f>
        <v>717.5</v>
      </c>
      <c r="H337" s="88">
        <f t="shared" si="126"/>
        <v>760</v>
      </c>
      <c r="I337" s="88"/>
      <c r="J337" s="83">
        <f t="shared" si="129"/>
        <v>1477.5</v>
      </c>
      <c r="K337" s="83">
        <f t="shared" si="131"/>
        <v>23522.5</v>
      </c>
      <c r="L337" s="83">
        <f t="shared" si="127"/>
        <v>0</v>
      </c>
      <c r="M337" s="83"/>
      <c r="N337" s="90">
        <v>1725</v>
      </c>
      <c r="O337" s="116">
        <f t="shared" si="130"/>
        <v>3202.5</v>
      </c>
      <c r="P337" s="90">
        <f t="shared" si="124"/>
        <v>21797.5</v>
      </c>
      <c r="Q337" s="85"/>
      <c r="R337" s="85"/>
    </row>
    <row r="338" spans="1:18" s="34" customFormat="1" ht="26.25" customHeight="1" x14ac:dyDescent="0.25">
      <c r="A338" s="229" t="s">
        <v>126</v>
      </c>
      <c r="B338" s="230"/>
      <c r="C338" s="230"/>
      <c r="D338" s="230"/>
      <c r="E338" s="231"/>
      <c r="F338" s="39">
        <f t="shared" ref="F338:N338" si="132">SUM(F320:F337)</f>
        <v>612500</v>
      </c>
      <c r="G338" s="39">
        <f t="shared" si="132"/>
        <v>17578.75</v>
      </c>
      <c r="H338" s="39">
        <f t="shared" si="132"/>
        <v>18620</v>
      </c>
      <c r="I338" s="39">
        <f t="shared" si="132"/>
        <v>4732.3500000000004</v>
      </c>
      <c r="J338" s="39">
        <f t="shared" si="132"/>
        <v>40931.100000000006</v>
      </c>
      <c r="K338" s="39">
        <f t="shared" si="132"/>
        <v>571568.9</v>
      </c>
      <c r="L338" s="39">
        <f t="shared" si="132"/>
        <v>9.7499999992578523E-3</v>
      </c>
      <c r="M338" s="39">
        <f t="shared" si="132"/>
        <v>5119.34</v>
      </c>
      <c r="N338" s="39">
        <f t="shared" si="132"/>
        <v>13962.71</v>
      </c>
      <c r="O338" s="39">
        <f t="shared" ref="O338:P338" si="133">SUM(O320:O337)</f>
        <v>54893.819750000002</v>
      </c>
      <c r="P338" s="39">
        <f t="shared" si="133"/>
        <v>557606.18024999998</v>
      </c>
      <c r="Q338" s="85"/>
      <c r="R338" s="85"/>
    </row>
    <row r="339" spans="1:18" s="34" customFormat="1" ht="26.25" customHeight="1" thickBot="1" x14ac:dyDescent="0.3">
      <c r="A339" s="52"/>
      <c r="B339" s="52"/>
      <c r="C339" s="52"/>
      <c r="D339" s="52"/>
      <c r="E339" s="5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85"/>
      <c r="R339" s="85"/>
    </row>
    <row r="340" spans="1:18" s="41" customFormat="1" ht="30" customHeight="1" thickBot="1" x14ac:dyDescent="0.3">
      <c r="A340" s="232" t="s">
        <v>457</v>
      </c>
      <c r="B340" s="233"/>
      <c r="C340" s="233"/>
      <c r="D340" s="233"/>
      <c r="E340" s="233"/>
      <c r="F340" s="233"/>
      <c r="G340" s="233"/>
      <c r="H340" s="233"/>
      <c r="I340" s="233"/>
      <c r="J340" s="233"/>
      <c r="K340" s="233"/>
      <c r="L340" s="233"/>
      <c r="M340" s="233"/>
      <c r="N340" s="233"/>
      <c r="O340" s="233"/>
      <c r="P340" s="233"/>
      <c r="Q340" s="55"/>
      <c r="R340" s="55"/>
    </row>
    <row r="341" spans="1:18" s="55" customFormat="1" ht="30" customHeight="1" x14ac:dyDescent="0.25">
      <c r="A341" s="81">
        <f>A336+1</f>
        <v>188</v>
      </c>
      <c r="B341" s="117" t="s">
        <v>409</v>
      </c>
      <c r="C341" s="38" t="s">
        <v>430</v>
      </c>
      <c r="D341" s="117" t="s">
        <v>229</v>
      </c>
      <c r="E341" s="117" t="s">
        <v>123</v>
      </c>
      <c r="F341" s="119">
        <v>70000</v>
      </c>
      <c r="G341" s="88">
        <f t="shared" ref="G341" si="134">F341*2.87%</f>
        <v>2009</v>
      </c>
      <c r="H341" s="88">
        <f t="shared" ref="H341" si="135">+F341*3.04%</f>
        <v>2128</v>
      </c>
      <c r="I341" s="88">
        <v>1577.45</v>
      </c>
      <c r="J341" s="83">
        <f t="shared" si="129"/>
        <v>5714.45</v>
      </c>
      <c r="K341" s="83">
        <f t="shared" si="131"/>
        <v>64285.55</v>
      </c>
      <c r="L341" s="83">
        <f>+IF(K341*12&lt;=416220.01,0,IF(K341*12&lt;=624329.01,(((K341*12-416220.01)*0.15)/12),IF((K341*12&lt;=867123.01),(31216+0.2*(K341*12-624329.01))/12,((79776+0.25*(K341*12-867123.01))/12))))-M341</f>
        <v>997.63983333333499</v>
      </c>
      <c r="M341" s="83">
        <v>4055.32</v>
      </c>
      <c r="N341" s="90">
        <v>25</v>
      </c>
      <c r="O341" s="116">
        <f>+N341+I341+H341+G341+L341</f>
        <v>6737.0898333333353</v>
      </c>
      <c r="P341" s="90">
        <f>+F341-O341</f>
        <v>63262.910166666668</v>
      </c>
    </row>
    <row r="342" spans="1:18" s="55" customFormat="1" ht="30" customHeight="1" x14ac:dyDescent="0.25">
      <c r="A342" s="229" t="s">
        <v>126</v>
      </c>
      <c r="B342" s="230"/>
      <c r="C342" s="230"/>
      <c r="D342" s="230"/>
      <c r="E342" s="231"/>
      <c r="F342" s="39">
        <f>SUM(F341)</f>
        <v>70000</v>
      </c>
      <c r="G342" s="39">
        <f t="shared" ref="G342:P342" si="136">SUM(G341)</f>
        <v>2009</v>
      </c>
      <c r="H342" s="39">
        <f t="shared" si="136"/>
        <v>2128</v>
      </c>
      <c r="I342" s="39">
        <f t="shared" si="136"/>
        <v>1577.45</v>
      </c>
      <c r="J342" s="39">
        <f t="shared" si="136"/>
        <v>5714.45</v>
      </c>
      <c r="K342" s="39">
        <f t="shared" si="136"/>
        <v>64285.55</v>
      </c>
      <c r="L342" s="39">
        <f t="shared" si="136"/>
        <v>997.63983333333499</v>
      </c>
      <c r="M342" s="39">
        <f t="shared" si="136"/>
        <v>4055.32</v>
      </c>
      <c r="N342" s="39">
        <f t="shared" si="136"/>
        <v>25</v>
      </c>
      <c r="O342" s="39">
        <f t="shared" si="136"/>
        <v>6737.0898333333353</v>
      </c>
      <c r="P342" s="39">
        <f t="shared" si="136"/>
        <v>63262.910166666668</v>
      </c>
    </row>
    <row r="343" spans="1:18" s="55" customFormat="1" ht="30" customHeight="1" thickBot="1" x14ac:dyDescent="0.3">
      <c r="A343" s="52"/>
      <c r="B343" s="52"/>
      <c r="C343" s="52"/>
      <c r="D343" s="52"/>
      <c r="E343" s="52"/>
      <c r="F343"/>
      <c r="G343"/>
      <c r="H343"/>
      <c r="I343"/>
      <c r="J343"/>
      <c r="K343"/>
      <c r="L343"/>
      <c r="M343"/>
      <c r="N343"/>
      <c r="O343"/>
      <c r="P343"/>
    </row>
    <row r="344" spans="1:18" s="41" customFormat="1" ht="22.5" customHeight="1" thickBot="1" x14ac:dyDescent="0.3">
      <c r="A344" s="232" t="s">
        <v>345</v>
      </c>
      <c r="B344" s="233"/>
      <c r="C344" s="233"/>
      <c r="D344" s="233"/>
      <c r="E344" s="233"/>
      <c r="F344" s="233"/>
      <c r="G344" s="233"/>
      <c r="H344" s="233"/>
      <c r="I344" s="233"/>
      <c r="J344" s="233"/>
      <c r="K344" s="233"/>
      <c r="L344" s="233"/>
      <c r="M344" s="233"/>
      <c r="N344" s="233"/>
      <c r="O344" s="233"/>
      <c r="P344" s="233"/>
      <c r="Q344" s="55"/>
      <c r="R344" s="55"/>
    </row>
    <row r="345" spans="1:18" s="41" customFormat="1" ht="17.25" customHeight="1" x14ac:dyDescent="0.25">
      <c r="A345" s="81">
        <f>+A341+1</f>
        <v>189</v>
      </c>
      <c r="B345" s="122" t="s">
        <v>346</v>
      </c>
      <c r="C345" s="132" t="s">
        <v>430</v>
      </c>
      <c r="D345" s="122" t="s">
        <v>347</v>
      </c>
      <c r="E345" s="117" t="s">
        <v>122</v>
      </c>
      <c r="F345" s="116">
        <v>135000</v>
      </c>
      <c r="G345" s="83">
        <f>F345*2.87%</f>
        <v>3874.5</v>
      </c>
      <c r="H345" s="83">
        <f>+F345*3.04%</f>
        <v>4104</v>
      </c>
      <c r="I345" s="83"/>
      <c r="J345" s="83">
        <f t="shared" si="129"/>
        <v>7978.5</v>
      </c>
      <c r="K345" s="83">
        <f t="shared" si="131"/>
        <v>127021.5</v>
      </c>
      <c r="L345" s="83">
        <f>+IF(K345*12&lt;=416220.01,0,IF(K345*12&lt;=624329.01,(((K345*12-416220.01)*0.15)/12),IF((K345*12&lt;=867123.01),(31216+0.2*(K345*12-624329.01))/12,((79776+0.25*(K345*12-867123.01))/12))))-M345</f>
        <v>2.2916666639503092E-3</v>
      </c>
      <c r="M345" s="83">
        <v>20338.310000000001</v>
      </c>
      <c r="N345" s="90">
        <v>125</v>
      </c>
      <c r="O345" s="116">
        <f t="shared" si="130"/>
        <v>8103.502291666664</v>
      </c>
      <c r="P345" s="90">
        <f>+F345-O345</f>
        <v>126896.49770833334</v>
      </c>
      <c r="Q345" s="55"/>
      <c r="R345" s="55"/>
    </row>
    <row r="346" spans="1:18" s="55" customFormat="1" ht="30" customHeight="1" x14ac:dyDescent="0.25">
      <c r="A346" s="81">
        <f>+A345+1</f>
        <v>190</v>
      </c>
      <c r="B346" s="117" t="s">
        <v>76</v>
      </c>
      <c r="C346" s="38" t="s">
        <v>430</v>
      </c>
      <c r="D346" s="117" t="s">
        <v>85</v>
      </c>
      <c r="E346" s="117" t="s">
        <v>122</v>
      </c>
      <c r="F346" s="119">
        <v>90000</v>
      </c>
      <c r="G346" s="88">
        <f>F346*2.87%</f>
        <v>2583</v>
      </c>
      <c r="H346" s="88">
        <f>+F346*3.04%</f>
        <v>2736</v>
      </c>
      <c r="I346" s="88"/>
      <c r="J346" s="83">
        <f t="shared" si="129"/>
        <v>5319</v>
      </c>
      <c r="K346" s="83">
        <f t="shared" si="131"/>
        <v>84681</v>
      </c>
      <c r="L346" s="83">
        <f>+IF(K346*12&lt;=416220.01,0,IF(K346*12&lt;=624329.01,(((K346*12-416220.01)*0.15)/12),IF((K346*12&lt;=867123.01),(31216+0.2*(K346*12-624329.01))/12,((79776+0.25*(K346*12-867123.01))/12))))-M346</f>
        <v>8172.7372916666673</v>
      </c>
      <c r="M346" s="83">
        <v>1580.45</v>
      </c>
      <c r="N346" s="90">
        <v>25</v>
      </c>
      <c r="O346" s="116">
        <f t="shared" si="130"/>
        <v>13516.737291666668</v>
      </c>
      <c r="P346" s="90">
        <f>+F346-O346</f>
        <v>76483.262708333335</v>
      </c>
    </row>
    <row r="347" spans="1:18" s="55" customFormat="1" ht="27.75" customHeight="1" x14ac:dyDescent="0.25">
      <c r="A347" s="229" t="s">
        <v>126</v>
      </c>
      <c r="B347" s="230"/>
      <c r="C347" s="230"/>
      <c r="D347" s="230"/>
      <c r="E347" s="231"/>
      <c r="F347" s="39">
        <f>SUM(F345:F346)</f>
        <v>225000</v>
      </c>
      <c r="G347" s="39">
        <f t="shared" ref="G347" si="137">SUM(G345:G346)</f>
        <v>6457.5</v>
      </c>
      <c r="H347" s="39">
        <f>SUM(H345:H346)</f>
        <v>6840</v>
      </c>
      <c r="I347" s="39">
        <f t="shared" ref="I347:P347" si="138">SUM(I345:I346)</f>
        <v>0</v>
      </c>
      <c r="J347" s="39">
        <f t="shared" si="138"/>
        <v>13297.5</v>
      </c>
      <c r="K347" s="39">
        <f t="shared" si="138"/>
        <v>211702.5</v>
      </c>
      <c r="L347" s="39">
        <f t="shared" si="138"/>
        <v>8172.7395833333312</v>
      </c>
      <c r="M347" s="39">
        <f t="shared" si="138"/>
        <v>21918.760000000002</v>
      </c>
      <c r="N347" s="39">
        <f t="shared" si="138"/>
        <v>150</v>
      </c>
      <c r="O347" s="39">
        <f t="shared" si="138"/>
        <v>21620.239583333332</v>
      </c>
      <c r="P347" s="39">
        <f t="shared" si="138"/>
        <v>203379.76041666669</v>
      </c>
    </row>
    <row r="348" spans="1:18" s="41" customFormat="1" ht="23.25" customHeight="1" thickBot="1" x14ac:dyDescent="0.3">
      <c r="A348" s="52"/>
      <c r="B348" s="52"/>
      <c r="C348" s="52"/>
      <c r="D348" s="52"/>
      <c r="E348" s="5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55"/>
      <c r="R348" s="55"/>
    </row>
    <row r="349" spans="1:18" s="41" customFormat="1" ht="24.95" customHeight="1" thickBot="1" x14ac:dyDescent="0.3">
      <c r="A349" s="232" t="s">
        <v>210</v>
      </c>
      <c r="B349" s="233"/>
      <c r="C349" s="233"/>
      <c r="D349" s="233"/>
      <c r="E349" s="233"/>
      <c r="F349" s="233"/>
      <c r="G349" s="233"/>
      <c r="H349" s="233"/>
      <c r="I349" s="233"/>
      <c r="J349" s="233"/>
      <c r="K349" s="233"/>
      <c r="L349" s="233"/>
      <c r="M349" s="233"/>
      <c r="N349" s="233"/>
      <c r="O349" s="233"/>
      <c r="P349" s="233"/>
      <c r="Q349" s="55"/>
      <c r="R349" s="55"/>
    </row>
    <row r="350" spans="1:18" s="55" customFormat="1" ht="30" customHeight="1" x14ac:dyDescent="0.25">
      <c r="A350" s="86">
        <f>+A346+1</f>
        <v>191</v>
      </c>
      <c r="B350" s="117" t="s">
        <v>348</v>
      </c>
      <c r="C350" s="38" t="s">
        <v>429</v>
      </c>
      <c r="D350" s="117" t="s">
        <v>22</v>
      </c>
      <c r="E350" s="117" t="s">
        <v>123</v>
      </c>
      <c r="F350" s="119">
        <v>40000</v>
      </c>
      <c r="G350" s="119">
        <f>F350*2.87%</f>
        <v>1148</v>
      </c>
      <c r="H350" s="88">
        <f>+F350*3.04%</f>
        <v>1216</v>
      </c>
      <c r="I350" s="88">
        <v>1577.45</v>
      </c>
      <c r="J350" s="83">
        <f t="shared" si="129"/>
        <v>3941.45</v>
      </c>
      <c r="K350" s="83">
        <f t="shared" si="131"/>
        <v>36058.550000000003</v>
      </c>
      <c r="L350" s="83">
        <f>+IF(K350*12&lt;=416220.01,0,IF(K350*12&lt;=624329.01,(((K350*12-416220.01)*0.15)/12),IF((K350*12&lt;=867123.01),(31216+0.2*(K350*12-624329.01))/12,((79776+0.25*(K350*12-867123.01))/12))))-M350</f>
        <v>2.3750000003133209E-3</v>
      </c>
      <c r="M350" s="83">
        <v>206.03</v>
      </c>
      <c r="N350" s="90">
        <v>125</v>
      </c>
      <c r="O350" s="116">
        <f t="shared" si="130"/>
        <v>4066.4523750000003</v>
      </c>
      <c r="P350" s="90">
        <f>+F350-O350</f>
        <v>35933.547624999999</v>
      </c>
    </row>
    <row r="351" spans="1:18" s="55" customFormat="1" ht="30" customHeight="1" x14ac:dyDescent="0.25">
      <c r="A351" s="229" t="s">
        <v>126</v>
      </c>
      <c r="B351" s="230"/>
      <c r="C351" s="230"/>
      <c r="D351" s="230"/>
      <c r="E351" s="231"/>
      <c r="F351" s="39">
        <f>SUM(F350:F350)</f>
        <v>40000</v>
      </c>
      <c r="G351" s="39">
        <f t="shared" ref="G351:P351" si="139">SUM(G350:G350)</f>
        <v>1148</v>
      </c>
      <c r="H351" s="39">
        <f t="shared" si="139"/>
        <v>1216</v>
      </c>
      <c r="I351" s="39">
        <f t="shared" si="139"/>
        <v>1577.45</v>
      </c>
      <c r="J351" s="39">
        <f t="shared" si="139"/>
        <v>3941.45</v>
      </c>
      <c r="K351" s="39">
        <f t="shared" si="139"/>
        <v>36058.550000000003</v>
      </c>
      <c r="L351" s="39">
        <f t="shared" si="139"/>
        <v>2.3750000003133209E-3</v>
      </c>
      <c r="M351" s="39">
        <f t="shared" si="139"/>
        <v>206.03</v>
      </c>
      <c r="N351" s="39">
        <f t="shared" si="139"/>
        <v>125</v>
      </c>
      <c r="O351" s="39">
        <f t="shared" si="139"/>
        <v>4066.4523750000003</v>
      </c>
      <c r="P351" s="39">
        <f t="shared" si="139"/>
        <v>35933.547624999999</v>
      </c>
    </row>
    <row r="352" spans="1:18" s="41" customFormat="1" ht="22.5" customHeight="1" thickBot="1" x14ac:dyDescent="0.3">
      <c r="A352" s="52"/>
      <c r="B352" s="52"/>
      <c r="C352" s="52"/>
      <c r="D352" s="52"/>
      <c r="E352" s="5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55"/>
      <c r="R352" s="55"/>
    </row>
    <row r="353" spans="1:18" s="41" customFormat="1" ht="22.5" customHeight="1" thickBot="1" x14ac:dyDescent="0.3">
      <c r="A353" s="232" t="s">
        <v>211</v>
      </c>
      <c r="B353" s="233"/>
      <c r="C353" s="233"/>
      <c r="D353" s="233"/>
      <c r="E353" s="233"/>
      <c r="F353" s="233"/>
      <c r="G353" s="233"/>
      <c r="H353" s="233"/>
      <c r="I353" s="233"/>
      <c r="J353" s="233"/>
      <c r="K353" s="233"/>
      <c r="L353" s="233"/>
      <c r="M353" s="233"/>
      <c r="N353" s="233"/>
      <c r="O353" s="233"/>
      <c r="P353" s="233"/>
      <c r="Q353" s="55"/>
      <c r="R353" s="55"/>
    </row>
    <row r="354" spans="1:18" s="41" customFormat="1" ht="22.5" customHeight="1" x14ac:dyDescent="0.25">
      <c r="A354" s="86">
        <f>+A350+1</f>
        <v>192</v>
      </c>
      <c r="B354" s="117" t="s">
        <v>84</v>
      </c>
      <c r="C354" s="38" t="s">
        <v>429</v>
      </c>
      <c r="D354" s="117" t="s">
        <v>106</v>
      </c>
      <c r="E354" s="117" t="s">
        <v>122</v>
      </c>
      <c r="F354" s="119">
        <v>60000</v>
      </c>
      <c r="G354" s="88">
        <f>F354*2.87%</f>
        <v>1722</v>
      </c>
      <c r="H354" s="88">
        <f>+F354*3.04%</f>
        <v>1824</v>
      </c>
      <c r="I354" s="88">
        <v>1577.45</v>
      </c>
      <c r="J354" s="83">
        <f t="shared" si="129"/>
        <v>5123.45</v>
      </c>
      <c r="K354" s="83">
        <f t="shared" si="131"/>
        <v>54876.55</v>
      </c>
      <c r="L354" s="83">
        <f>+IF(K354*12&lt;=416220.01,0,IF(K354*12&lt;=624329.01,(((K354*12-416220.01)*0.15)/12),IF((K354*12&lt;=867123.01),(31216+0.2*(K354*12-624329.01))/12,((79776+0.25*(K354*12-867123.01))/12))))-M354</f>
        <v>2313.3998333333348</v>
      </c>
      <c r="M354" s="83">
        <v>857.76</v>
      </c>
      <c r="N354" s="90">
        <v>25</v>
      </c>
      <c r="O354" s="116">
        <f t="shared" si="130"/>
        <v>7461.8498333333346</v>
      </c>
      <c r="P354" s="90">
        <f>+F354-O354</f>
        <v>52538.150166666666</v>
      </c>
      <c r="Q354" s="55"/>
      <c r="R354" s="55"/>
    </row>
    <row r="355" spans="1:18" s="41" customFormat="1" ht="29.25" customHeight="1" x14ac:dyDescent="0.25">
      <c r="A355" s="229" t="s">
        <v>126</v>
      </c>
      <c r="B355" s="230"/>
      <c r="C355" s="230"/>
      <c r="D355" s="230"/>
      <c r="E355" s="231"/>
      <c r="F355" s="39">
        <f>SUM(F354:F354)</f>
        <v>60000</v>
      </c>
      <c r="G355" s="39">
        <f t="shared" ref="G355:P355" si="140">SUM(G354:G354)</f>
        <v>1722</v>
      </c>
      <c r="H355" s="39">
        <f t="shared" si="140"/>
        <v>1824</v>
      </c>
      <c r="I355" s="39">
        <f t="shared" si="140"/>
        <v>1577.45</v>
      </c>
      <c r="J355" s="39">
        <f t="shared" si="140"/>
        <v>5123.45</v>
      </c>
      <c r="K355" s="39">
        <f t="shared" si="140"/>
        <v>54876.55</v>
      </c>
      <c r="L355" s="39">
        <f t="shared" si="140"/>
        <v>2313.3998333333348</v>
      </c>
      <c r="M355" s="39">
        <f t="shared" si="140"/>
        <v>857.76</v>
      </c>
      <c r="N355" s="39">
        <f t="shared" si="140"/>
        <v>25</v>
      </c>
      <c r="O355" s="39">
        <f t="shared" si="140"/>
        <v>7461.8498333333346</v>
      </c>
      <c r="P355" s="39">
        <f t="shared" si="140"/>
        <v>52538.150166666666</v>
      </c>
      <c r="Q355" s="55"/>
      <c r="R355" s="55"/>
    </row>
    <row r="356" spans="1:18" s="41" customFormat="1" ht="29.25" customHeight="1" thickBot="1" x14ac:dyDescent="0.3">
      <c r="A356" s="52"/>
      <c r="B356" s="52"/>
      <c r="C356" s="52"/>
      <c r="D356" s="52"/>
      <c r="E356" s="5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55"/>
      <c r="R356" s="55"/>
    </row>
    <row r="357" spans="1:18" s="41" customFormat="1" ht="24.95" customHeight="1" thickBot="1" x14ac:dyDescent="0.3">
      <c r="A357" s="232" t="s">
        <v>231</v>
      </c>
      <c r="B357" s="233"/>
      <c r="C357" s="233"/>
      <c r="D357" s="233"/>
      <c r="E357" s="233"/>
      <c r="F357" s="233"/>
      <c r="G357" s="233"/>
      <c r="H357" s="233"/>
      <c r="I357" s="233"/>
      <c r="J357" s="233"/>
      <c r="K357" s="233"/>
      <c r="L357" s="233"/>
      <c r="M357" s="233"/>
      <c r="N357" s="233"/>
      <c r="O357" s="233"/>
      <c r="P357" s="233"/>
      <c r="Q357" s="55"/>
      <c r="R357" s="55"/>
    </row>
    <row r="358" spans="1:18" s="55" customFormat="1" ht="30" customHeight="1" x14ac:dyDescent="0.25">
      <c r="A358" s="38">
        <f>+A354+1</f>
        <v>193</v>
      </c>
      <c r="B358" s="117" t="s">
        <v>102</v>
      </c>
      <c r="C358" s="38" t="s">
        <v>429</v>
      </c>
      <c r="D358" s="117" t="s">
        <v>97</v>
      </c>
      <c r="E358" s="117" t="s">
        <v>123</v>
      </c>
      <c r="F358" s="119">
        <v>70000</v>
      </c>
      <c r="G358" s="119">
        <f t="shared" ref="G358" si="141">F358*2.87%</f>
        <v>2009</v>
      </c>
      <c r="H358" s="119">
        <f t="shared" ref="H358" si="142">+F358*3.04%</f>
        <v>2128</v>
      </c>
      <c r="I358" s="119">
        <v>1577.45</v>
      </c>
      <c r="J358" s="83">
        <f t="shared" si="129"/>
        <v>5714.45</v>
      </c>
      <c r="K358" s="83">
        <f t="shared" si="131"/>
        <v>64285.55</v>
      </c>
      <c r="L358" s="83">
        <f>+IF(K358*12&lt;=416220.01,0,IF(K358*12&lt;=624329.01,(((K358*12-416220.01)*0.15)/12),IF((K358*12&lt;=867123.01),(31216+0.2*(K358*12-624329.01))/12,((79776+0.25*(K358*12-867123.01))/12))))-M358</f>
        <v>-1.6666666488163173E-4</v>
      </c>
      <c r="M358" s="83">
        <v>5052.96</v>
      </c>
      <c r="N358" s="120">
        <v>7169.43</v>
      </c>
      <c r="O358" s="116">
        <f t="shared" si="130"/>
        <v>12883.879833333336</v>
      </c>
      <c r="P358" s="120">
        <f>+F358-O358</f>
        <v>57116.12016666666</v>
      </c>
    </row>
    <row r="359" spans="1:18" s="41" customFormat="1" ht="30" customHeight="1" x14ac:dyDescent="0.25">
      <c r="A359" s="229" t="s">
        <v>126</v>
      </c>
      <c r="B359" s="230"/>
      <c r="C359" s="230"/>
      <c r="D359" s="230"/>
      <c r="E359" s="231"/>
      <c r="F359" s="39">
        <f>SUM(F358)</f>
        <v>70000</v>
      </c>
      <c r="G359" s="39">
        <f t="shared" ref="G359:P359" si="143">SUM(G358)</f>
        <v>2009</v>
      </c>
      <c r="H359" s="39">
        <f t="shared" si="143"/>
        <v>2128</v>
      </c>
      <c r="I359" s="39">
        <f t="shared" si="143"/>
        <v>1577.45</v>
      </c>
      <c r="J359" s="39">
        <f t="shared" si="143"/>
        <v>5714.45</v>
      </c>
      <c r="K359" s="39">
        <f t="shared" si="143"/>
        <v>64285.55</v>
      </c>
      <c r="L359" s="39">
        <f t="shared" si="143"/>
        <v>-1.6666666488163173E-4</v>
      </c>
      <c r="M359" s="39">
        <f t="shared" si="143"/>
        <v>5052.96</v>
      </c>
      <c r="N359" s="39">
        <f t="shared" si="143"/>
        <v>7169.43</v>
      </c>
      <c r="O359" s="39">
        <f t="shared" si="143"/>
        <v>12883.879833333336</v>
      </c>
      <c r="P359" s="39">
        <f t="shared" si="143"/>
        <v>57116.12016666666</v>
      </c>
      <c r="Q359" s="55"/>
      <c r="R359" s="55"/>
    </row>
    <row r="360" spans="1:18" s="41" customFormat="1" ht="30" customHeight="1" thickBot="1" x14ac:dyDescent="0.3">
      <c r="A360" s="244"/>
      <c r="B360" s="244"/>
      <c r="C360" s="244"/>
      <c r="D360" s="244"/>
      <c r="E360" s="244"/>
      <c r="F360" s="263"/>
      <c r="G360" s="263"/>
      <c r="H360" s="263"/>
      <c r="I360" s="263"/>
      <c r="J360" s="263"/>
      <c r="K360" s="263"/>
      <c r="L360" s="263"/>
      <c r="M360" s="263"/>
      <c r="N360" s="263"/>
      <c r="O360" s="263"/>
      <c r="P360" s="263"/>
      <c r="Q360" s="55"/>
      <c r="R360" s="55"/>
    </row>
    <row r="361" spans="1:18" s="41" customFormat="1" ht="30" customHeight="1" thickBot="1" x14ac:dyDescent="0.3">
      <c r="A361" s="232" t="s">
        <v>349</v>
      </c>
      <c r="B361" s="233"/>
      <c r="C361" s="233"/>
      <c r="D361" s="233"/>
      <c r="E361" s="233"/>
      <c r="F361" s="233"/>
      <c r="G361" s="233"/>
      <c r="H361" s="233"/>
      <c r="I361" s="233"/>
      <c r="J361" s="233"/>
      <c r="K361" s="233"/>
      <c r="L361" s="233"/>
      <c r="M361" s="233"/>
      <c r="N361" s="233"/>
      <c r="O361" s="233"/>
      <c r="P361" s="233"/>
      <c r="Q361" s="55"/>
      <c r="R361" s="55"/>
    </row>
    <row r="362" spans="1:18" s="41" customFormat="1" ht="27.75" customHeight="1" x14ac:dyDescent="0.25">
      <c r="A362" s="86">
        <f>+A358+1</f>
        <v>194</v>
      </c>
      <c r="B362" s="117" t="s">
        <v>432</v>
      </c>
      <c r="C362" s="38" t="s">
        <v>429</v>
      </c>
      <c r="D362" s="123" t="s">
        <v>350</v>
      </c>
      <c r="E362" s="117" t="s">
        <v>233</v>
      </c>
      <c r="F362" s="119">
        <v>35000</v>
      </c>
      <c r="G362" s="88">
        <f>F362*2.87%</f>
        <v>1004.5</v>
      </c>
      <c r="H362" s="88">
        <f>+F362*3.04%</f>
        <v>1064</v>
      </c>
      <c r="I362" s="88"/>
      <c r="J362" s="83">
        <f t="shared" si="129"/>
        <v>2068.5</v>
      </c>
      <c r="K362" s="83">
        <f t="shared" si="131"/>
        <v>32931.5</v>
      </c>
      <c r="L362" s="83">
        <f t="shared" ref="L362:L369" si="144">+IF(K362*12&lt;=416220.01,0,IF(K362*12&lt;=624329.01,(((K362*12-416220.01)*0.15)/12),IF((K362*12&lt;=867123.01),(31216+0.2*(K362*12-624329.01))/12,((79776+0.25*(K362*12-867123.01))/12))))</f>
        <v>0</v>
      </c>
      <c r="M362" s="83"/>
      <c r="N362" s="90">
        <v>25</v>
      </c>
      <c r="O362" s="116">
        <f t="shared" si="130"/>
        <v>2093.5</v>
      </c>
      <c r="P362" s="84">
        <f>+F362-O362</f>
        <v>32906.5</v>
      </c>
      <c r="Q362" s="55"/>
      <c r="R362" s="55"/>
    </row>
    <row r="363" spans="1:18" s="41" customFormat="1" ht="27.75" customHeight="1" x14ac:dyDescent="0.25">
      <c r="A363" s="86">
        <f>+A362+1</f>
        <v>195</v>
      </c>
      <c r="B363" s="117" t="s">
        <v>351</v>
      </c>
      <c r="C363" s="38" t="s">
        <v>429</v>
      </c>
      <c r="D363" s="117" t="s">
        <v>350</v>
      </c>
      <c r="E363" s="117" t="s">
        <v>233</v>
      </c>
      <c r="F363" s="119">
        <v>35000</v>
      </c>
      <c r="G363" s="88">
        <f t="shared" ref="G363:G364" si="145">F363*2.87%</f>
        <v>1004.5</v>
      </c>
      <c r="H363" s="88">
        <f t="shared" ref="H363:H364" si="146">+F363*3.04%</f>
        <v>1064</v>
      </c>
      <c r="I363" s="88"/>
      <c r="J363" s="83">
        <f t="shared" si="129"/>
        <v>2068.5</v>
      </c>
      <c r="K363" s="83">
        <f t="shared" si="131"/>
        <v>32931.5</v>
      </c>
      <c r="L363" s="83">
        <f t="shared" si="144"/>
        <v>0</v>
      </c>
      <c r="M363" s="83"/>
      <c r="N363" s="90">
        <v>3025</v>
      </c>
      <c r="O363" s="116">
        <f t="shared" si="130"/>
        <v>5093.5</v>
      </c>
      <c r="P363" s="90">
        <f>+F363-O363</f>
        <v>29906.5</v>
      </c>
      <c r="Q363" s="55"/>
      <c r="R363" s="55"/>
    </row>
    <row r="364" spans="1:18" s="55" customFormat="1" ht="30" customHeight="1" x14ac:dyDescent="0.25">
      <c r="A364" s="86">
        <f>+A363+1</f>
        <v>196</v>
      </c>
      <c r="B364" s="117" t="s">
        <v>352</v>
      </c>
      <c r="C364" s="38" t="s">
        <v>429</v>
      </c>
      <c r="D364" s="117" t="s">
        <v>350</v>
      </c>
      <c r="E364" s="117" t="s">
        <v>233</v>
      </c>
      <c r="F364" s="119">
        <v>35000</v>
      </c>
      <c r="G364" s="88">
        <f t="shared" si="145"/>
        <v>1004.5</v>
      </c>
      <c r="H364" s="88">
        <f t="shared" si="146"/>
        <v>1064</v>
      </c>
      <c r="I364" s="88"/>
      <c r="J364" s="83">
        <f t="shared" si="129"/>
        <v>2068.5</v>
      </c>
      <c r="K364" s="83">
        <f t="shared" si="131"/>
        <v>32931.5</v>
      </c>
      <c r="L364" s="83">
        <f t="shared" si="144"/>
        <v>0</v>
      </c>
      <c r="M364" s="83"/>
      <c r="N364" s="90">
        <v>25</v>
      </c>
      <c r="O364" s="116">
        <f t="shared" si="130"/>
        <v>2093.5</v>
      </c>
      <c r="P364" s="90">
        <f>+F364-O364</f>
        <v>32906.5</v>
      </c>
    </row>
    <row r="365" spans="1:18" s="41" customFormat="1" ht="30" customHeight="1" x14ac:dyDescent="0.25">
      <c r="A365" s="229" t="s">
        <v>126</v>
      </c>
      <c r="B365" s="230"/>
      <c r="C365" s="230"/>
      <c r="D365" s="230"/>
      <c r="E365" s="231"/>
      <c r="F365" s="39">
        <f t="shared" ref="F365:P365" si="147">SUM(F362:F364)</f>
        <v>105000</v>
      </c>
      <c r="G365" s="39">
        <f t="shared" si="147"/>
        <v>3013.5</v>
      </c>
      <c r="H365" s="39">
        <f t="shared" si="147"/>
        <v>3192</v>
      </c>
      <c r="I365" s="39">
        <f t="shared" si="147"/>
        <v>0</v>
      </c>
      <c r="J365" s="39">
        <f t="shared" si="147"/>
        <v>6205.5</v>
      </c>
      <c r="K365" s="39">
        <f t="shared" si="147"/>
        <v>98794.5</v>
      </c>
      <c r="L365" s="39">
        <f t="shared" si="147"/>
        <v>0</v>
      </c>
      <c r="M365" s="39"/>
      <c r="N365" s="39">
        <f t="shared" si="147"/>
        <v>3075</v>
      </c>
      <c r="O365" s="39">
        <f t="shared" si="147"/>
        <v>9280.5</v>
      </c>
      <c r="P365" s="39">
        <f t="shared" si="147"/>
        <v>95719.5</v>
      </c>
      <c r="Q365" s="55"/>
      <c r="R365" s="55"/>
    </row>
    <row r="366" spans="1:18" s="41" customFormat="1" ht="30" customHeight="1" thickBot="1" x14ac:dyDescent="0.3">
      <c r="A366" s="52"/>
      <c r="B366" s="52"/>
      <c r="C366" s="52"/>
      <c r="D366" s="52"/>
      <c r="E366" s="5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55"/>
      <c r="R366" s="55"/>
    </row>
    <row r="367" spans="1:18" s="41" customFormat="1" ht="27.75" customHeight="1" thickBot="1" x14ac:dyDescent="0.3">
      <c r="A367" s="232" t="s">
        <v>213</v>
      </c>
      <c r="B367" s="233"/>
      <c r="C367" s="233"/>
      <c r="D367" s="233"/>
      <c r="E367" s="233"/>
      <c r="F367" s="233"/>
      <c r="G367" s="233"/>
      <c r="H367" s="233"/>
      <c r="I367" s="233"/>
      <c r="J367" s="233"/>
      <c r="K367" s="233"/>
      <c r="L367" s="233"/>
      <c r="M367" s="233"/>
      <c r="N367" s="233"/>
      <c r="O367" s="233"/>
      <c r="P367" s="233"/>
      <c r="Q367" s="55"/>
      <c r="R367" s="55"/>
    </row>
    <row r="368" spans="1:18" s="41" customFormat="1" ht="30" customHeight="1" x14ac:dyDescent="0.25">
      <c r="A368" s="86">
        <f>+A364+1</f>
        <v>197</v>
      </c>
      <c r="B368" s="87" t="s">
        <v>212</v>
      </c>
      <c r="C368" s="86" t="s">
        <v>429</v>
      </c>
      <c r="D368" s="87" t="s">
        <v>214</v>
      </c>
      <c r="E368" s="87" t="s">
        <v>233</v>
      </c>
      <c r="F368" s="88">
        <v>25550</v>
      </c>
      <c r="G368" s="88">
        <f>F368*2.87%</f>
        <v>733.28499999999997</v>
      </c>
      <c r="H368" s="88">
        <f>+F368*3.04%</f>
        <v>776.72</v>
      </c>
      <c r="I368" s="88"/>
      <c r="J368" s="83">
        <f t="shared" si="129"/>
        <v>1510.0050000000001</v>
      </c>
      <c r="K368" s="83">
        <f t="shared" si="131"/>
        <v>24039.994999999999</v>
      </c>
      <c r="L368" s="83">
        <f t="shared" si="144"/>
        <v>0</v>
      </c>
      <c r="M368" s="83"/>
      <c r="N368" s="90">
        <v>25</v>
      </c>
      <c r="O368" s="116">
        <f t="shared" si="130"/>
        <v>1535.0050000000001</v>
      </c>
      <c r="P368" s="90">
        <f>+F368-O368</f>
        <v>24014.994999999999</v>
      </c>
      <c r="Q368" s="55"/>
      <c r="R368" s="55"/>
    </row>
    <row r="369" spans="1:18" s="85" customFormat="1" ht="30" customHeight="1" x14ac:dyDescent="0.25">
      <c r="A369" s="169">
        <f>+A368+1</f>
        <v>198</v>
      </c>
      <c r="B369" s="123" t="s">
        <v>492</v>
      </c>
      <c r="C369" s="38" t="s">
        <v>429</v>
      </c>
      <c r="D369" s="117" t="s">
        <v>214</v>
      </c>
      <c r="E369" s="117" t="s">
        <v>233</v>
      </c>
      <c r="F369" s="119">
        <v>25550</v>
      </c>
      <c r="G369" s="88">
        <f>F369*2.87%</f>
        <v>733.28499999999997</v>
      </c>
      <c r="H369" s="88">
        <f>+F369*3.04%</f>
        <v>776.72</v>
      </c>
      <c r="I369" s="88"/>
      <c r="J369" s="83">
        <f t="shared" si="129"/>
        <v>1510.0050000000001</v>
      </c>
      <c r="K369" s="83">
        <f t="shared" si="131"/>
        <v>24039.994999999999</v>
      </c>
      <c r="L369" s="83">
        <f t="shared" si="144"/>
        <v>0</v>
      </c>
      <c r="M369" s="83"/>
      <c r="N369" s="90">
        <v>25</v>
      </c>
      <c r="O369" s="116">
        <f t="shared" si="130"/>
        <v>1535.0050000000001</v>
      </c>
      <c r="P369" s="90">
        <f>+F369-O369</f>
        <v>24014.994999999999</v>
      </c>
    </row>
    <row r="370" spans="1:18" s="85" customFormat="1" ht="30" customHeight="1" x14ac:dyDescent="0.25">
      <c r="A370" s="229" t="s">
        <v>126</v>
      </c>
      <c r="B370" s="230"/>
      <c r="C370" s="230"/>
      <c r="D370" s="230"/>
      <c r="E370" s="231"/>
      <c r="F370" s="39">
        <f>SUM(F368:F369)</f>
        <v>51100</v>
      </c>
      <c r="G370" s="39">
        <f t="shared" ref="G370:P370" si="148">SUM(G368:G369)</f>
        <v>1466.57</v>
      </c>
      <c r="H370" s="39">
        <f t="shared" si="148"/>
        <v>1553.44</v>
      </c>
      <c r="I370" s="39">
        <f t="shared" si="148"/>
        <v>0</v>
      </c>
      <c r="J370" s="39">
        <f t="shared" si="148"/>
        <v>3020.01</v>
      </c>
      <c r="K370" s="39">
        <f t="shared" si="148"/>
        <v>48079.99</v>
      </c>
      <c r="L370" s="39">
        <f t="shared" si="148"/>
        <v>0</v>
      </c>
      <c r="M370" s="39"/>
      <c r="N370" s="39">
        <f t="shared" si="148"/>
        <v>50</v>
      </c>
      <c r="O370" s="39">
        <f t="shared" si="148"/>
        <v>3070.01</v>
      </c>
      <c r="P370" s="39">
        <f t="shared" si="148"/>
        <v>48029.99</v>
      </c>
    </row>
    <row r="371" spans="1:18" s="85" customFormat="1" ht="30" customHeight="1" thickBot="1" x14ac:dyDescent="0.3">
      <c r="A371" s="52"/>
      <c r="B371" s="52"/>
      <c r="C371" s="52"/>
      <c r="D371" s="52"/>
      <c r="E371" s="5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</row>
    <row r="372" spans="1:18" s="55" customFormat="1" ht="30" customHeight="1" thickBot="1" x14ac:dyDescent="0.3">
      <c r="A372" s="232" t="s">
        <v>179</v>
      </c>
      <c r="B372" s="233"/>
      <c r="C372" s="233"/>
      <c r="D372" s="233"/>
      <c r="E372" s="233"/>
      <c r="F372" s="233"/>
      <c r="G372" s="233"/>
      <c r="H372" s="233"/>
      <c r="I372" s="233"/>
      <c r="J372" s="233"/>
      <c r="K372" s="233"/>
      <c r="L372" s="233"/>
      <c r="M372" s="233"/>
      <c r="N372" s="233"/>
      <c r="O372" s="233"/>
      <c r="P372" s="233"/>
    </row>
    <row r="373" spans="1:18" s="55" customFormat="1" ht="30" customHeight="1" x14ac:dyDescent="0.25">
      <c r="A373" s="81">
        <f>+A369+1</f>
        <v>199</v>
      </c>
      <c r="B373" s="122" t="s">
        <v>353</v>
      </c>
      <c r="C373" s="132" t="s">
        <v>430</v>
      </c>
      <c r="D373" s="133" t="s">
        <v>109</v>
      </c>
      <c r="E373" s="117" t="s">
        <v>123</v>
      </c>
      <c r="F373" s="116">
        <v>77000</v>
      </c>
      <c r="G373" s="83">
        <f t="shared" ref="G373:G393" si="149">F373*2.87%</f>
        <v>2209.9</v>
      </c>
      <c r="H373" s="83">
        <f>+F373*3.04%</f>
        <v>2340.8000000000002</v>
      </c>
      <c r="I373" s="83"/>
      <c r="J373" s="83">
        <f t="shared" si="129"/>
        <v>4550.7000000000007</v>
      </c>
      <c r="K373" s="83">
        <f>+F373-J373</f>
        <v>72449.3</v>
      </c>
      <c r="L373" s="83">
        <f>+IF(K373*12&lt;=416220.01,0,IF(K373*12&lt;=624329.01,(((K373*12-416220.01)*0.15)/12),IF((K373*12&lt;=867123.01),(31216+0.2*(K373*12-624329.01))/12,((79776+0.25*(K373*12-867123.01))/12))))-M373</f>
        <v>6695.2622916666687</v>
      </c>
      <c r="M373" s="83"/>
      <c r="N373" s="90">
        <v>125</v>
      </c>
      <c r="O373" s="116">
        <f t="shared" si="130"/>
        <v>11370.96229166667</v>
      </c>
      <c r="P373" s="90">
        <f t="shared" ref="P373:P379" si="150">+F373-O373</f>
        <v>65629.03770833333</v>
      </c>
    </row>
    <row r="374" spans="1:18" s="55" customFormat="1" ht="30" customHeight="1" x14ac:dyDescent="0.25">
      <c r="A374" s="81">
        <f>+A373+1</f>
        <v>200</v>
      </c>
      <c r="B374" s="122" t="s">
        <v>629</v>
      </c>
      <c r="C374" s="132" t="s">
        <v>429</v>
      </c>
      <c r="D374" s="133" t="s">
        <v>26</v>
      </c>
      <c r="E374" s="117" t="s">
        <v>123</v>
      </c>
      <c r="F374" s="116">
        <v>35750</v>
      </c>
      <c r="G374" s="83">
        <f t="shared" ref="G374" si="151">F374*2.87%</f>
        <v>1026.0250000000001</v>
      </c>
      <c r="H374" s="83">
        <f>+F374*3.04%</f>
        <v>1086.8</v>
      </c>
      <c r="I374" s="83"/>
      <c r="J374" s="83">
        <f t="shared" ref="J374" si="152">+G374+H374+I374</f>
        <v>2112.8249999999998</v>
      </c>
      <c r="K374" s="83">
        <f>+F374-J374</f>
        <v>33637.175000000003</v>
      </c>
      <c r="L374" s="83">
        <f t="shared" ref="L374:L393" si="153">+IF(K374*12&lt;=416220.01,0,IF(K374*12&lt;=624329.01,(((K374*12-416220.01)*0.15)/12),IF((K374*12&lt;=867123.01),(31216+0.2*(K374*12-624329.01))/12,((79776+0.25*(K374*12-867123.01))/12))))-M374</f>
        <v>0</v>
      </c>
      <c r="M374" s="83"/>
      <c r="N374" s="90">
        <v>25</v>
      </c>
      <c r="O374" s="116">
        <f t="shared" ref="O374" si="154">+N374+I374+H374+G374+L374</f>
        <v>2137.8249999999998</v>
      </c>
      <c r="P374" s="90">
        <f t="shared" si="150"/>
        <v>33612.175000000003</v>
      </c>
    </row>
    <row r="375" spans="1:18" s="41" customFormat="1" ht="30" customHeight="1" x14ac:dyDescent="0.25">
      <c r="A375" s="81">
        <f>+A374+1</f>
        <v>201</v>
      </c>
      <c r="B375" s="117" t="s">
        <v>44</v>
      </c>
      <c r="C375" s="38" t="s">
        <v>430</v>
      </c>
      <c r="D375" s="136" t="s">
        <v>236</v>
      </c>
      <c r="E375" s="117" t="s">
        <v>123</v>
      </c>
      <c r="F375" s="119">
        <v>50000</v>
      </c>
      <c r="G375" s="88">
        <f t="shared" si="149"/>
        <v>1435</v>
      </c>
      <c r="H375" s="83">
        <f t="shared" ref="H375:H393" si="155">+F375*3.04%</f>
        <v>1520</v>
      </c>
      <c r="I375" s="83"/>
      <c r="J375" s="83">
        <f t="shared" si="129"/>
        <v>2955</v>
      </c>
      <c r="K375" s="83">
        <f t="shared" ref="K375:K393" si="156">+F375-J375</f>
        <v>47045</v>
      </c>
      <c r="L375" s="83">
        <f t="shared" si="153"/>
        <v>-1.2500000025283953E-4</v>
      </c>
      <c r="M375" s="83">
        <v>1854</v>
      </c>
      <c r="N375" s="90">
        <f>4541.53+25+100</f>
        <v>4666.53</v>
      </c>
      <c r="O375" s="116">
        <f t="shared" si="130"/>
        <v>7621.5298749999993</v>
      </c>
      <c r="P375" s="90">
        <f t="shared" si="150"/>
        <v>42378.470125</v>
      </c>
      <c r="Q375" s="55"/>
      <c r="R375" s="55"/>
    </row>
    <row r="376" spans="1:18" s="55" customFormat="1" ht="30" customHeight="1" x14ac:dyDescent="0.25">
      <c r="A376" s="81">
        <f>+A375+1</f>
        <v>202</v>
      </c>
      <c r="B376" s="117" t="s">
        <v>355</v>
      </c>
      <c r="C376" s="38" t="s">
        <v>429</v>
      </c>
      <c r="D376" s="117" t="s">
        <v>356</v>
      </c>
      <c r="E376" s="117" t="s">
        <v>123</v>
      </c>
      <c r="F376" s="119">
        <v>45000</v>
      </c>
      <c r="G376" s="88">
        <f t="shared" si="149"/>
        <v>1291.5</v>
      </c>
      <c r="H376" s="83">
        <f t="shared" si="155"/>
        <v>1368</v>
      </c>
      <c r="I376" s="83"/>
      <c r="J376" s="83">
        <f t="shared" si="129"/>
        <v>2659.5</v>
      </c>
      <c r="K376" s="83">
        <f t="shared" si="156"/>
        <v>42340.5</v>
      </c>
      <c r="L376" s="83">
        <f t="shared" si="153"/>
        <v>4.8749999998562998E-3</v>
      </c>
      <c r="M376" s="83">
        <v>1148.32</v>
      </c>
      <c r="N376" s="90">
        <v>4715.26</v>
      </c>
      <c r="O376" s="116">
        <f t="shared" si="130"/>
        <v>7374.7648749999998</v>
      </c>
      <c r="P376" s="90">
        <f t="shared" si="150"/>
        <v>37625.235124999999</v>
      </c>
    </row>
    <row r="377" spans="1:18" s="85" customFormat="1" ht="30" customHeight="1" x14ac:dyDescent="0.25">
      <c r="A377" s="81">
        <f t="shared" ref="A377:A393" si="157">+A376+1</f>
        <v>203</v>
      </c>
      <c r="B377" s="117" t="s">
        <v>357</v>
      </c>
      <c r="C377" s="38" t="s">
        <v>429</v>
      </c>
      <c r="D377" s="117" t="s">
        <v>356</v>
      </c>
      <c r="E377" s="117" t="s">
        <v>123</v>
      </c>
      <c r="F377" s="119">
        <v>45000</v>
      </c>
      <c r="G377" s="88">
        <f t="shared" si="149"/>
        <v>1291.5</v>
      </c>
      <c r="H377" s="83">
        <f t="shared" si="155"/>
        <v>1368</v>
      </c>
      <c r="I377" s="83"/>
      <c r="J377" s="83">
        <f t="shared" si="129"/>
        <v>2659.5</v>
      </c>
      <c r="K377" s="83">
        <f t="shared" si="156"/>
        <v>42340.5</v>
      </c>
      <c r="L377" s="83">
        <f t="shared" si="153"/>
        <v>4.8749999998562998E-3</v>
      </c>
      <c r="M377" s="83">
        <v>1148.32</v>
      </c>
      <c r="N377" s="90">
        <v>3324.8</v>
      </c>
      <c r="O377" s="116">
        <f t="shared" si="130"/>
        <v>5984.3048749999998</v>
      </c>
      <c r="P377" s="90">
        <f t="shared" si="150"/>
        <v>39015.695124999998</v>
      </c>
    </row>
    <row r="378" spans="1:18" s="85" customFormat="1" ht="30" customHeight="1" x14ac:dyDescent="0.25">
      <c r="A378" s="81">
        <f t="shared" si="157"/>
        <v>204</v>
      </c>
      <c r="B378" s="117" t="s">
        <v>8</v>
      </c>
      <c r="C378" s="38" t="s">
        <v>430</v>
      </c>
      <c r="D378" s="117" t="s">
        <v>358</v>
      </c>
      <c r="E378" s="117" t="s">
        <v>123</v>
      </c>
      <c r="F378" s="119">
        <v>45000</v>
      </c>
      <c r="G378" s="88">
        <f t="shared" si="149"/>
        <v>1291.5</v>
      </c>
      <c r="H378" s="83">
        <f t="shared" si="155"/>
        <v>1368</v>
      </c>
      <c r="I378" s="83">
        <v>1577.45</v>
      </c>
      <c r="J378" s="83">
        <f t="shared" si="129"/>
        <v>4236.95</v>
      </c>
      <c r="K378" s="83">
        <f t="shared" si="156"/>
        <v>40763.050000000003</v>
      </c>
      <c r="L378" s="83">
        <f t="shared" si="153"/>
        <v>-2.624999999738975E-3</v>
      </c>
      <c r="M378" s="83">
        <v>911.71</v>
      </c>
      <c r="N378" s="84">
        <v>125</v>
      </c>
      <c r="O378" s="116">
        <f t="shared" si="130"/>
        <v>4361.9473749999997</v>
      </c>
      <c r="P378" s="90">
        <f t="shared" si="150"/>
        <v>40638.052624999997</v>
      </c>
    </row>
    <row r="379" spans="1:18" s="85" customFormat="1" ht="30" customHeight="1" x14ac:dyDescent="0.25">
      <c r="A379" s="81">
        <f t="shared" si="157"/>
        <v>205</v>
      </c>
      <c r="B379" s="117" t="s">
        <v>43</v>
      </c>
      <c r="C379" s="38" t="s">
        <v>430</v>
      </c>
      <c r="D379" s="117" t="s">
        <v>358</v>
      </c>
      <c r="E379" s="117" t="s">
        <v>123</v>
      </c>
      <c r="F379" s="119">
        <v>45000</v>
      </c>
      <c r="G379" s="88">
        <f>F379*2.87%</f>
        <v>1291.5</v>
      </c>
      <c r="H379" s="83">
        <f t="shared" si="155"/>
        <v>1368</v>
      </c>
      <c r="I379" s="83"/>
      <c r="J379" s="83">
        <f t="shared" si="129"/>
        <v>2659.5</v>
      </c>
      <c r="K379" s="83">
        <f t="shared" si="156"/>
        <v>42340.5</v>
      </c>
      <c r="L379" s="83">
        <f t="shared" si="153"/>
        <v>4.8749999998562998E-3</v>
      </c>
      <c r="M379" s="83">
        <v>1148.32</v>
      </c>
      <c r="N379" s="84">
        <v>125</v>
      </c>
      <c r="O379" s="116">
        <f t="shared" si="130"/>
        <v>2784.5048749999996</v>
      </c>
      <c r="P379" s="90">
        <f t="shared" si="150"/>
        <v>42215.495125000001</v>
      </c>
    </row>
    <row r="380" spans="1:18" s="85" customFormat="1" ht="30" customHeight="1" x14ac:dyDescent="0.25">
      <c r="A380" s="81">
        <f>+A379+1</f>
        <v>206</v>
      </c>
      <c r="B380" s="117" t="s">
        <v>365</v>
      </c>
      <c r="C380" s="38" t="s">
        <v>430</v>
      </c>
      <c r="D380" s="117" t="s">
        <v>356</v>
      </c>
      <c r="E380" s="117" t="s">
        <v>123</v>
      </c>
      <c r="F380" s="119">
        <v>45000</v>
      </c>
      <c r="G380" s="88">
        <f>F380*2.87%</f>
        <v>1291.5</v>
      </c>
      <c r="H380" s="83">
        <f t="shared" si="155"/>
        <v>1368</v>
      </c>
      <c r="I380" s="83"/>
      <c r="J380" s="83">
        <f t="shared" si="129"/>
        <v>2659.5</v>
      </c>
      <c r="K380" s="83">
        <f t="shared" si="156"/>
        <v>42340.5</v>
      </c>
      <c r="L380" s="83">
        <f t="shared" si="153"/>
        <v>4.8749999998562998E-3</v>
      </c>
      <c r="M380" s="83">
        <v>1148.32</v>
      </c>
      <c r="N380" s="90">
        <v>125</v>
      </c>
      <c r="O380" s="116">
        <f t="shared" si="130"/>
        <v>2784.5048749999996</v>
      </c>
      <c r="P380" s="90">
        <f t="shared" ref="P380:P393" si="158">+F380-O380</f>
        <v>42215.495125000001</v>
      </c>
    </row>
    <row r="381" spans="1:18" s="85" customFormat="1" ht="30" customHeight="1" x14ac:dyDescent="0.25">
      <c r="A381" s="81">
        <f t="shared" si="157"/>
        <v>207</v>
      </c>
      <c r="B381" s="117" t="s">
        <v>359</v>
      </c>
      <c r="C381" s="38" t="s">
        <v>429</v>
      </c>
      <c r="D381" s="117" t="s">
        <v>356</v>
      </c>
      <c r="E381" s="117" t="s">
        <v>123</v>
      </c>
      <c r="F381" s="119">
        <v>45000</v>
      </c>
      <c r="G381" s="88">
        <f t="shared" si="149"/>
        <v>1291.5</v>
      </c>
      <c r="H381" s="83">
        <f t="shared" si="155"/>
        <v>1368</v>
      </c>
      <c r="I381" s="83"/>
      <c r="J381" s="83">
        <f t="shared" si="129"/>
        <v>2659.5</v>
      </c>
      <c r="K381" s="83">
        <f t="shared" si="156"/>
        <v>42340.5</v>
      </c>
      <c r="L381" s="83">
        <f t="shared" si="153"/>
        <v>4.8749999998562998E-3</v>
      </c>
      <c r="M381" s="83">
        <v>1148.32</v>
      </c>
      <c r="N381" s="90">
        <v>6549.26</v>
      </c>
      <c r="O381" s="116">
        <f t="shared" si="130"/>
        <v>9208.7648750000008</v>
      </c>
      <c r="P381" s="90">
        <f t="shared" si="158"/>
        <v>35791.235124999999</v>
      </c>
    </row>
    <row r="382" spans="1:18" s="55" customFormat="1" ht="30" customHeight="1" x14ac:dyDescent="0.25">
      <c r="A382" s="81">
        <f t="shared" si="157"/>
        <v>208</v>
      </c>
      <c r="B382" s="122" t="s">
        <v>361</v>
      </c>
      <c r="C382" s="132" t="s">
        <v>430</v>
      </c>
      <c r="D382" s="122" t="s">
        <v>356</v>
      </c>
      <c r="E382" s="122" t="s">
        <v>123</v>
      </c>
      <c r="F382" s="116">
        <v>45000</v>
      </c>
      <c r="G382" s="88">
        <f>F382*2.87%</f>
        <v>1291.5</v>
      </c>
      <c r="H382" s="83">
        <f t="shared" si="155"/>
        <v>1368</v>
      </c>
      <c r="I382" s="83">
        <v>3154.9</v>
      </c>
      <c r="J382" s="83">
        <f t="shared" si="129"/>
        <v>5814.4</v>
      </c>
      <c r="K382" s="83">
        <f t="shared" si="156"/>
        <v>39185.599999999999</v>
      </c>
      <c r="L382" s="83">
        <f t="shared" si="153"/>
        <v>-1.2500000070758688E-4</v>
      </c>
      <c r="M382" s="83">
        <v>675.09</v>
      </c>
      <c r="N382" s="84">
        <v>1125</v>
      </c>
      <c r="O382" s="116">
        <f t="shared" si="130"/>
        <v>6939.3998749999992</v>
      </c>
      <c r="P382" s="90">
        <f t="shared" si="158"/>
        <v>38060.600124999997</v>
      </c>
    </row>
    <row r="383" spans="1:18" s="34" customFormat="1" ht="25.5" customHeight="1" x14ac:dyDescent="0.25">
      <c r="A383" s="81">
        <f t="shared" si="157"/>
        <v>209</v>
      </c>
      <c r="B383" s="117" t="s">
        <v>362</v>
      </c>
      <c r="C383" s="38" t="s">
        <v>430</v>
      </c>
      <c r="D383" s="117" t="s">
        <v>356</v>
      </c>
      <c r="E383" s="117" t="s">
        <v>123</v>
      </c>
      <c r="F383" s="119">
        <v>45000</v>
      </c>
      <c r="G383" s="88">
        <f>F383*2.87%</f>
        <v>1291.5</v>
      </c>
      <c r="H383" s="83">
        <f t="shared" si="155"/>
        <v>1368</v>
      </c>
      <c r="I383" s="83">
        <v>1577.45</v>
      </c>
      <c r="J383" s="83">
        <f t="shared" si="129"/>
        <v>4236.95</v>
      </c>
      <c r="K383" s="83">
        <f t="shared" si="156"/>
        <v>40763.050000000003</v>
      </c>
      <c r="L383" s="83">
        <f t="shared" si="153"/>
        <v>-2.624999999738975E-3</v>
      </c>
      <c r="M383" s="83">
        <v>911.71</v>
      </c>
      <c r="N383" s="90">
        <v>125</v>
      </c>
      <c r="O383" s="116">
        <f t="shared" si="130"/>
        <v>4361.9473749999997</v>
      </c>
      <c r="P383" s="90">
        <f t="shared" si="158"/>
        <v>40638.052624999997</v>
      </c>
      <c r="Q383" s="85"/>
      <c r="R383" s="85"/>
    </row>
    <row r="384" spans="1:18" s="85" customFormat="1" ht="30" customHeight="1" x14ac:dyDescent="0.25">
      <c r="A384" s="81">
        <f t="shared" si="157"/>
        <v>210</v>
      </c>
      <c r="B384" s="117" t="s">
        <v>363</v>
      </c>
      <c r="C384" s="38" t="s">
        <v>430</v>
      </c>
      <c r="D384" s="117" t="s">
        <v>356</v>
      </c>
      <c r="E384" s="117" t="s">
        <v>123</v>
      </c>
      <c r="F384" s="119">
        <v>45000</v>
      </c>
      <c r="G384" s="88">
        <f>F384*2.87%</f>
        <v>1291.5</v>
      </c>
      <c r="H384" s="83">
        <f t="shared" si="155"/>
        <v>1368</v>
      </c>
      <c r="I384" s="83"/>
      <c r="J384" s="83">
        <f t="shared" si="129"/>
        <v>2659.5</v>
      </c>
      <c r="K384" s="83">
        <f t="shared" si="156"/>
        <v>42340.5</v>
      </c>
      <c r="L384" s="83">
        <f t="shared" si="153"/>
        <v>4.8749999998562998E-3</v>
      </c>
      <c r="M384" s="83">
        <v>1148.32</v>
      </c>
      <c r="N384" s="90">
        <v>1991.65</v>
      </c>
      <c r="O384" s="116">
        <f t="shared" si="130"/>
        <v>4651.1548749999993</v>
      </c>
      <c r="P384" s="90">
        <f t="shared" si="158"/>
        <v>40348.845125</v>
      </c>
    </row>
    <row r="385" spans="1:18" s="85" customFormat="1" ht="30" customHeight="1" x14ac:dyDescent="0.25">
      <c r="A385" s="81">
        <f t="shared" si="157"/>
        <v>211</v>
      </c>
      <c r="B385" s="117" t="s">
        <v>42</v>
      </c>
      <c r="C385" s="38" t="s">
        <v>430</v>
      </c>
      <c r="D385" s="117" t="s">
        <v>356</v>
      </c>
      <c r="E385" s="117" t="s">
        <v>123</v>
      </c>
      <c r="F385" s="119">
        <v>45000</v>
      </c>
      <c r="G385" s="88">
        <f>F385*2.87%</f>
        <v>1291.5</v>
      </c>
      <c r="H385" s="83">
        <f t="shared" si="155"/>
        <v>1368</v>
      </c>
      <c r="I385" s="83"/>
      <c r="J385" s="83">
        <f t="shared" si="129"/>
        <v>2659.5</v>
      </c>
      <c r="K385" s="83">
        <f t="shared" si="156"/>
        <v>42340.5</v>
      </c>
      <c r="L385" s="83">
        <f t="shared" si="153"/>
        <v>4.8749999998562998E-3</v>
      </c>
      <c r="M385" s="83">
        <v>1148.32</v>
      </c>
      <c r="N385" s="90">
        <v>125</v>
      </c>
      <c r="O385" s="116">
        <f t="shared" si="130"/>
        <v>2784.5048749999996</v>
      </c>
      <c r="P385" s="90">
        <f t="shared" si="158"/>
        <v>42215.495125000001</v>
      </c>
    </row>
    <row r="386" spans="1:18" s="85" customFormat="1" ht="30" customHeight="1" x14ac:dyDescent="0.25">
      <c r="A386" s="81">
        <f t="shared" si="157"/>
        <v>212</v>
      </c>
      <c r="B386" s="117" t="s">
        <v>23</v>
      </c>
      <c r="C386" s="38" t="s">
        <v>430</v>
      </c>
      <c r="D386" s="117" t="s">
        <v>356</v>
      </c>
      <c r="E386" s="117" t="s">
        <v>122</v>
      </c>
      <c r="F386" s="119">
        <v>40000</v>
      </c>
      <c r="G386" s="88">
        <f>F386*2.87%</f>
        <v>1148</v>
      </c>
      <c r="H386" s="83">
        <f t="shared" si="155"/>
        <v>1216</v>
      </c>
      <c r="I386" s="83">
        <v>1577.45</v>
      </c>
      <c r="J386" s="83">
        <f t="shared" si="129"/>
        <v>3941.45</v>
      </c>
      <c r="K386" s="83">
        <f t="shared" si="156"/>
        <v>36058.550000000003</v>
      </c>
      <c r="L386" s="83">
        <f t="shared" si="153"/>
        <v>2.3750000003133209E-3</v>
      </c>
      <c r="M386" s="83">
        <v>206.03</v>
      </c>
      <c r="N386" s="90">
        <v>12084.56</v>
      </c>
      <c r="O386" s="116">
        <f t="shared" si="130"/>
        <v>16026.012375</v>
      </c>
      <c r="P386" s="90">
        <f t="shared" si="158"/>
        <v>23973.987625000002</v>
      </c>
    </row>
    <row r="387" spans="1:18" s="85" customFormat="1" ht="30" customHeight="1" x14ac:dyDescent="0.25">
      <c r="A387" s="81">
        <f>+A386+1</f>
        <v>213</v>
      </c>
      <c r="B387" s="117" t="s">
        <v>46</v>
      </c>
      <c r="C387" s="38" t="s">
        <v>430</v>
      </c>
      <c r="D387" s="117" t="s">
        <v>360</v>
      </c>
      <c r="E387" s="117" t="s">
        <v>123</v>
      </c>
      <c r="F387" s="135">
        <v>35000</v>
      </c>
      <c r="G387" s="88">
        <f t="shared" si="149"/>
        <v>1004.5</v>
      </c>
      <c r="H387" s="83">
        <f t="shared" si="155"/>
        <v>1064</v>
      </c>
      <c r="I387" s="83">
        <v>1577.45</v>
      </c>
      <c r="J387" s="83">
        <f t="shared" si="129"/>
        <v>3645.95</v>
      </c>
      <c r="K387" s="83">
        <f t="shared" si="156"/>
        <v>31354.05</v>
      </c>
      <c r="L387" s="83">
        <f t="shared" si="153"/>
        <v>0</v>
      </c>
      <c r="M387" s="83"/>
      <c r="N387" s="84">
        <v>1125</v>
      </c>
      <c r="O387" s="116">
        <f t="shared" si="130"/>
        <v>4770.95</v>
      </c>
      <c r="P387" s="90">
        <f t="shared" si="158"/>
        <v>30229.05</v>
      </c>
    </row>
    <row r="388" spans="1:18" s="85" customFormat="1" ht="30" customHeight="1" x14ac:dyDescent="0.25">
      <c r="A388" s="81">
        <f t="shared" si="157"/>
        <v>214</v>
      </c>
      <c r="B388" s="117" t="s">
        <v>364</v>
      </c>
      <c r="C388" s="38" t="s">
        <v>430</v>
      </c>
      <c r="D388" s="117" t="s">
        <v>26</v>
      </c>
      <c r="E388" s="117" t="s">
        <v>123</v>
      </c>
      <c r="F388" s="119">
        <v>40000</v>
      </c>
      <c r="G388" s="88">
        <f t="shared" si="149"/>
        <v>1148</v>
      </c>
      <c r="H388" s="83">
        <f t="shared" si="155"/>
        <v>1216</v>
      </c>
      <c r="I388" s="83">
        <v>1577.45</v>
      </c>
      <c r="J388" s="83">
        <f t="shared" si="129"/>
        <v>3941.45</v>
      </c>
      <c r="K388" s="83">
        <f t="shared" si="156"/>
        <v>36058.550000000003</v>
      </c>
      <c r="L388" s="83">
        <f t="shared" si="153"/>
        <v>2.3750000003133209E-3</v>
      </c>
      <c r="M388" s="83">
        <v>206.03</v>
      </c>
      <c r="N388" s="90">
        <v>125</v>
      </c>
      <c r="O388" s="116">
        <f t="shared" si="130"/>
        <v>4066.4523750000003</v>
      </c>
      <c r="P388" s="90">
        <f t="shared" si="158"/>
        <v>35933.547624999999</v>
      </c>
    </row>
    <row r="389" spans="1:18" s="85" customFormat="1" ht="30" customHeight="1" x14ac:dyDescent="0.25">
      <c r="A389" s="81">
        <f t="shared" si="157"/>
        <v>215</v>
      </c>
      <c r="B389" s="123" t="s">
        <v>201</v>
      </c>
      <c r="C389" s="188" t="s">
        <v>429</v>
      </c>
      <c r="D389" s="117" t="s">
        <v>202</v>
      </c>
      <c r="E389" s="117" t="s">
        <v>233</v>
      </c>
      <c r="F389" s="119">
        <v>26000</v>
      </c>
      <c r="G389" s="88">
        <f>F389*2.87%</f>
        <v>746.2</v>
      </c>
      <c r="H389" s="83">
        <f t="shared" si="155"/>
        <v>790.4</v>
      </c>
      <c r="I389" s="83"/>
      <c r="J389" s="83">
        <f t="shared" si="129"/>
        <v>1536.6</v>
      </c>
      <c r="K389" s="83">
        <f t="shared" si="156"/>
        <v>24463.4</v>
      </c>
      <c r="L389" s="83">
        <f t="shared" si="153"/>
        <v>0</v>
      </c>
      <c r="M389" s="83"/>
      <c r="N389" s="90">
        <v>125</v>
      </c>
      <c r="O389" s="116">
        <f t="shared" si="130"/>
        <v>1661.6</v>
      </c>
      <c r="P389" s="90">
        <f t="shared" si="158"/>
        <v>24338.400000000001</v>
      </c>
    </row>
    <row r="390" spans="1:18" s="34" customFormat="1" ht="30" customHeight="1" x14ac:dyDescent="0.25">
      <c r="A390" s="81">
        <f t="shared" si="157"/>
        <v>216</v>
      </c>
      <c r="B390" s="117" t="s">
        <v>366</v>
      </c>
      <c r="C390" s="38" t="s">
        <v>429</v>
      </c>
      <c r="D390" s="117" t="s">
        <v>100</v>
      </c>
      <c r="E390" s="117" t="s">
        <v>233</v>
      </c>
      <c r="F390" s="119">
        <v>23908.5</v>
      </c>
      <c r="G390" s="88">
        <f t="shared" si="149"/>
        <v>686.17394999999999</v>
      </c>
      <c r="H390" s="83">
        <f t="shared" si="155"/>
        <v>726.8184</v>
      </c>
      <c r="I390" s="83"/>
      <c r="J390" s="83">
        <f t="shared" ref="J390:J393" si="159">+G390+H390+I390</f>
        <v>1412.99235</v>
      </c>
      <c r="K390" s="83">
        <f t="shared" si="156"/>
        <v>22495.50765</v>
      </c>
      <c r="L390" s="83">
        <f t="shared" si="153"/>
        <v>0</v>
      </c>
      <c r="M390" s="83"/>
      <c r="N390" s="90">
        <f>1000+25+100</f>
        <v>1125</v>
      </c>
      <c r="O390" s="116">
        <f t="shared" si="130"/>
        <v>2537.99235</v>
      </c>
      <c r="P390" s="90">
        <f t="shared" si="158"/>
        <v>21370.50765</v>
      </c>
      <c r="Q390" s="85"/>
      <c r="R390" s="85"/>
    </row>
    <row r="391" spans="1:18" s="34" customFormat="1" ht="30" customHeight="1" x14ac:dyDescent="0.25">
      <c r="A391" s="81">
        <f t="shared" si="157"/>
        <v>217</v>
      </c>
      <c r="B391" s="117" t="s">
        <v>45</v>
      </c>
      <c r="C391" s="38" t="s">
        <v>429</v>
      </c>
      <c r="D391" s="117" t="s">
        <v>100</v>
      </c>
      <c r="E391" s="117" t="s">
        <v>123</v>
      </c>
      <c r="F391" s="119">
        <v>23835</v>
      </c>
      <c r="G391" s="88">
        <f t="shared" si="149"/>
        <v>684.06449999999995</v>
      </c>
      <c r="H391" s="83">
        <f t="shared" si="155"/>
        <v>724.58399999999995</v>
      </c>
      <c r="I391" s="83"/>
      <c r="J391" s="83">
        <f t="shared" si="159"/>
        <v>1408.6484999999998</v>
      </c>
      <c r="K391" s="83">
        <f t="shared" si="156"/>
        <v>22426.351500000001</v>
      </c>
      <c r="L391" s="83">
        <f t="shared" si="153"/>
        <v>0</v>
      </c>
      <c r="M391" s="83"/>
      <c r="N391" s="90">
        <v>25</v>
      </c>
      <c r="O391" s="116">
        <f t="shared" si="130"/>
        <v>1433.6484999999998</v>
      </c>
      <c r="P391" s="90">
        <f t="shared" si="158"/>
        <v>22401.351500000001</v>
      </c>
      <c r="Q391" s="85"/>
      <c r="R391" s="85"/>
    </row>
    <row r="392" spans="1:18" ht="36" customHeight="1" x14ac:dyDescent="0.25">
      <c r="A392" s="81">
        <f t="shared" si="157"/>
        <v>218</v>
      </c>
      <c r="B392" s="117" t="s">
        <v>367</v>
      </c>
      <c r="C392" s="38" t="s">
        <v>429</v>
      </c>
      <c r="D392" s="117" t="s">
        <v>100</v>
      </c>
      <c r="E392" s="117" t="s">
        <v>123</v>
      </c>
      <c r="F392" s="119">
        <v>30000</v>
      </c>
      <c r="G392" s="88">
        <f t="shared" si="149"/>
        <v>861</v>
      </c>
      <c r="H392" s="83">
        <f t="shared" si="155"/>
        <v>912</v>
      </c>
      <c r="I392" s="83"/>
      <c r="J392" s="83">
        <f t="shared" si="159"/>
        <v>1773</v>
      </c>
      <c r="K392" s="83">
        <f t="shared" si="156"/>
        <v>28227</v>
      </c>
      <c r="L392" s="83">
        <f t="shared" si="153"/>
        <v>0</v>
      </c>
      <c r="M392" s="83"/>
      <c r="N392" s="90">
        <v>125</v>
      </c>
      <c r="O392" s="116">
        <f t="shared" ref="O392:O393" si="160">+N392+I392+H392+G392+L392</f>
        <v>1898</v>
      </c>
      <c r="P392" s="90">
        <f t="shared" si="158"/>
        <v>28102</v>
      </c>
    </row>
    <row r="393" spans="1:18" ht="36" customHeight="1" x14ac:dyDescent="0.25">
      <c r="A393" s="81">
        <f t="shared" si="157"/>
        <v>219</v>
      </c>
      <c r="B393" s="117" t="s">
        <v>644</v>
      </c>
      <c r="C393" s="38" t="s">
        <v>429</v>
      </c>
      <c r="D393" s="117" t="s">
        <v>202</v>
      </c>
      <c r="E393" s="117" t="s">
        <v>233</v>
      </c>
      <c r="F393" s="119">
        <v>20000</v>
      </c>
      <c r="G393" s="88">
        <f t="shared" si="149"/>
        <v>574</v>
      </c>
      <c r="H393" s="83">
        <f t="shared" si="155"/>
        <v>608</v>
      </c>
      <c r="I393" s="83"/>
      <c r="J393" s="83">
        <f t="shared" si="159"/>
        <v>1182</v>
      </c>
      <c r="K393" s="83">
        <f t="shared" si="156"/>
        <v>18818</v>
      </c>
      <c r="L393" s="83">
        <f t="shared" si="153"/>
        <v>0</v>
      </c>
      <c r="M393" s="83"/>
      <c r="N393" s="90">
        <v>25</v>
      </c>
      <c r="O393" s="116">
        <f t="shared" si="160"/>
        <v>1207</v>
      </c>
      <c r="P393" s="90">
        <f t="shared" si="158"/>
        <v>18793</v>
      </c>
    </row>
    <row r="394" spans="1:18" ht="30" customHeight="1" x14ac:dyDescent="0.25">
      <c r="A394" s="229" t="s">
        <v>126</v>
      </c>
      <c r="B394" s="230"/>
      <c r="C394" s="230"/>
      <c r="D394" s="230"/>
      <c r="E394" s="231"/>
      <c r="F394" s="39">
        <f>SUM(F373:F393)</f>
        <v>851493.5</v>
      </c>
      <c r="G394" s="39">
        <f t="shared" ref="G394:P394" si="161">SUM(G373:G393)</f>
        <v>24437.863450000001</v>
      </c>
      <c r="H394" s="39">
        <f t="shared" si="161"/>
        <v>25885.402399999999</v>
      </c>
      <c r="I394" s="39">
        <f t="shared" si="161"/>
        <v>11042.150000000001</v>
      </c>
      <c r="J394" s="39">
        <f t="shared" si="161"/>
        <v>61365.41584999999</v>
      </c>
      <c r="K394" s="39">
        <f t="shared" si="161"/>
        <v>790128.08415000024</v>
      </c>
      <c r="L394" s="39">
        <f t="shared" si="161"/>
        <v>6695.2956666666651</v>
      </c>
      <c r="M394" s="39">
        <f t="shared" si="161"/>
        <v>12802.810000000001</v>
      </c>
      <c r="N394" s="39">
        <f t="shared" si="161"/>
        <v>37907.06</v>
      </c>
      <c r="O394" s="39">
        <f t="shared" si="161"/>
        <v>105967.77151666666</v>
      </c>
      <c r="P394" s="39">
        <f t="shared" si="161"/>
        <v>745525.72848333337</v>
      </c>
    </row>
    <row r="395" spans="1:18" ht="30" customHeight="1" thickBot="1" x14ac:dyDescent="0.3">
      <c r="A395" s="43"/>
      <c r="B395" s="50"/>
      <c r="C395" s="150"/>
      <c r="D395" s="50"/>
      <c r="E395" s="50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</row>
    <row r="396" spans="1:18" ht="30" customHeight="1" thickBot="1" x14ac:dyDescent="0.3">
      <c r="A396" s="56"/>
      <c r="B396" s="57" t="s">
        <v>422</v>
      </c>
      <c r="C396" s="151"/>
      <c r="D396" s="58"/>
      <c r="E396" s="59"/>
      <c r="F396" s="60">
        <f>+F18+F22+F26+F32+F39+F46+F51+F59+F65+F74+F78+F84+F90+F97+F101+F105+F113+F118+F125+F131+F140+F145+F153+F158+F165+F171+F175+F179+F187+F196+F204+F209+F213+F222+F227+F235+F242+F247+F251+F256+F261+F276+F310+F338+F347+F365+F394+F370+F355+F351+F318+F231+F200+F267+F217+F342+F359+F271</f>
        <v>15272418.5</v>
      </c>
      <c r="G396" s="60">
        <f t="shared" ref="G396:P396" si="162">+G18+G22+G26+G32+G39+G46+G51+G59+G65+G74+G78+G84+G90+G97+G101+G105+G113+G118+G125+G131+G140+G145+G153+G158+G165+G171+G175+G179+G187+G196+G204+G209+G213+G222+G227+G235+G242+G247+G251+G256+G261+G276+G310+G338+G347+G365+G394+G370+G355+G351+G318+G231+G200+G267+G217+G342+G359+G271</f>
        <v>438318.41094999993</v>
      </c>
      <c r="H396" s="60">
        <f t="shared" si="162"/>
        <v>462033.74640000006</v>
      </c>
      <c r="I396" s="60">
        <f t="shared" si="162"/>
        <v>126195.59999999996</v>
      </c>
      <c r="J396" s="60">
        <f t="shared" si="162"/>
        <v>1026547.75735</v>
      </c>
      <c r="K396" s="60">
        <f t="shared" si="162"/>
        <v>14151780.742650004</v>
      </c>
      <c r="L396" s="60">
        <f t="shared" si="162"/>
        <v>895042.4989583334</v>
      </c>
      <c r="M396" s="60">
        <f t="shared" si="162"/>
        <v>509102.38000000012</v>
      </c>
      <c r="N396" s="60">
        <f t="shared" si="162"/>
        <v>608768.68999999994</v>
      </c>
      <c r="O396" s="60">
        <f t="shared" si="162"/>
        <v>2530358.946308333</v>
      </c>
      <c r="P396" s="60">
        <f t="shared" si="162"/>
        <v>12742059.553691661</v>
      </c>
    </row>
    <row r="397" spans="1:18" ht="15" x14ac:dyDescent="0.25">
      <c r="A397" s="30"/>
      <c r="B397" s="29"/>
      <c r="C397" s="30"/>
      <c r="D397" s="29"/>
      <c r="E397" s="29"/>
      <c r="F397" s="18"/>
      <c r="G397" s="19"/>
      <c r="H397" s="19"/>
      <c r="I397" s="19"/>
      <c r="J397" s="19"/>
      <c r="K397" s="19"/>
      <c r="L397" s="19"/>
      <c r="M397" s="19"/>
      <c r="N397" s="19"/>
      <c r="O397" s="19"/>
      <c r="P397" s="19"/>
    </row>
    <row r="398" spans="1:18" ht="15" x14ac:dyDescent="0.25">
      <c r="A398" s="30"/>
      <c r="B398" s="29"/>
      <c r="C398" s="30"/>
      <c r="D398" s="29"/>
      <c r="E398" s="29"/>
      <c r="F398" s="18"/>
      <c r="G398" s="19"/>
      <c r="H398" s="19"/>
      <c r="I398" s="19"/>
      <c r="J398" s="19"/>
      <c r="K398" s="19"/>
      <c r="L398" s="19"/>
      <c r="M398" s="19"/>
      <c r="N398" s="19"/>
      <c r="O398" s="19"/>
      <c r="P398" s="19"/>
    </row>
    <row r="399" spans="1:18" ht="15.75" x14ac:dyDescent="0.25">
      <c r="B399" s="21"/>
      <c r="C399" s="152"/>
      <c r="D399" s="22"/>
      <c r="E399" s="21"/>
      <c r="F399" s="1"/>
      <c r="P399" s="7"/>
    </row>
    <row r="400" spans="1:18" ht="15.75" x14ac:dyDescent="0.25">
      <c r="B400" s="23" t="s">
        <v>203</v>
      </c>
      <c r="C400" s="153"/>
      <c r="D400" s="22"/>
      <c r="E400" s="23" t="s">
        <v>499</v>
      </c>
      <c r="F400" s="1"/>
      <c r="P400" s="170"/>
    </row>
    <row r="401" spans="2:16" ht="15.75" x14ac:dyDescent="0.25">
      <c r="B401" s="23" t="s">
        <v>500</v>
      </c>
      <c r="C401" s="153"/>
      <c r="D401" s="22"/>
      <c r="E401" s="23" t="s">
        <v>501</v>
      </c>
      <c r="F401" s="1"/>
    </row>
    <row r="402" spans="2:16" x14ac:dyDescent="0.2">
      <c r="P402" s="7"/>
    </row>
    <row r="16882" spans="2:18" s="4" customFormat="1" x14ac:dyDescent="0.2">
      <c r="B16882" s="25"/>
      <c r="D16882" s="25"/>
      <c r="E16882" s="25"/>
      <c r="F16882" s="2"/>
      <c r="G16882" s="1"/>
      <c r="H16882" s="1"/>
      <c r="I16882" s="1"/>
      <c r="J16882" s="1"/>
      <c r="K16882" s="1"/>
      <c r="L16882" s="1"/>
      <c r="M16882" s="1"/>
      <c r="N16882" s="1"/>
      <c r="O16882" s="1"/>
      <c r="P16882" s="1"/>
      <c r="Q16882" s="138"/>
      <c r="R16882" s="138"/>
    </row>
    <row r="16884" spans="2:18" s="4" customFormat="1" x14ac:dyDescent="0.2">
      <c r="B16884" s="25"/>
      <c r="D16884" s="25"/>
      <c r="E16884" s="25"/>
      <c r="F16884" s="2"/>
      <c r="G16884" s="1"/>
      <c r="H16884" s="1"/>
      <c r="I16884" s="1"/>
      <c r="J16884" s="1"/>
      <c r="K16884" s="1"/>
      <c r="L16884" s="1"/>
      <c r="M16884" s="1"/>
      <c r="N16884" s="1"/>
      <c r="O16884" s="1"/>
      <c r="P16884" s="1"/>
      <c r="Q16884" s="138"/>
      <c r="R16884" s="138"/>
    </row>
    <row r="16903" spans="7:11" x14ac:dyDescent="0.2">
      <c r="G16903" s="4"/>
      <c r="H16903" s="4"/>
      <c r="I16903" s="4"/>
      <c r="J16903" s="4"/>
      <c r="K16903" s="4"/>
    </row>
    <row r="16905" spans="7:11" x14ac:dyDescent="0.2">
      <c r="G16905" s="4"/>
      <c r="H16905" s="4"/>
      <c r="I16905" s="4"/>
      <c r="J16905" s="4"/>
      <c r="K16905" s="4"/>
    </row>
    <row r="16915" spans="2:16" x14ac:dyDescent="0.2">
      <c r="N16915" s="4"/>
      <c r="O16915" s="4"/>
      <c r="P16915" s="4"/>
    </row>
    <row r="16917" spans="2:16" x14ac:dyDescent="0.2">
      <c r="N16917" s="4"/>
      <c r="O16917" s="4"/>
      <c r="P16917" s="4"/>
    </row>
    <row r="16918" spans="2:16" x14ac:dyDescent="0.2">
      <c r="L16918" s="4"/>
      <c r="M16918" s="4"/>
    </row>
    <row r="16919" spans="2:16" x14ac:dyDescent="0.2">
      <c r="B16919" s="25">
        <f>SUM(B6:B16918)</f>
        <v>0</v>
      </c>
    </row>
    <row r="16920" spans="2:16" x14ac:dyDescent="0.2">
      <c r="L16920" s="4"/>
      <c r="M16920" s="4"/>
    </row>
    <row r="16921" spans="2:16" x14ac:dyDescent="0.2">
      <c r="B16921" s="25">
        <f>SUM(B16919)</f>
        <v>0</v>
      </c>
    </row>
    <row r="1000244" spans="15:15" x14ac:dyDescent="0.2">
      <c r="O1000244" s="11" t="e">
        <f>SUM(#REF!)</f>
        <v>#REF!</v>
      </c>
    </row>
  </sheetData>
  <mergeCells count="22">
    <mergeCell ref="A133:E133"/>
    <mergeCell ref="A1:P1"/>
    <mergeCell ref="A2:P2"/>
    <mergeCell ref="A3:P3"/>
    <mergeCell ref="A92:D92"/>
    <mergeCell ref="A99:E99"/>
    <mergeCell ref="A142:E142"/>
    <mergeCell ref="A147:E147"/>
    <mergeCell ref="A160:E160"/>
    <mergeCell ref="A249:D249"/>
    <mergeCell ref="G5:J5"/>
    <mergeCell ref="A53:B53"/>
    <mergeCell ref="A61:B61"/>
    <mergeCell ref="A67:B67"/>
    <mergeCell ref="A75:C75"/>
    <mergeCell ref="A80:D80"/>
    <mergeCell ref="A86:D86"/>
    <mergeCell ref="A102:E102"/>
    <mergeCell ref="A107:E107"/>
    <mergeCell ref="A115:E115"/>
    <mergeCell ref="A120:E120"/>
    <mergeCell ref="A126:E126"/>
  </mergeCells>
  <pageMargins left="0.23622047244094488" right="0.23622047244094488" top="0.74803149606299213" bottom="0.74803149606299213" header="0.31496062992125984" footer="0.31496062992125984"/>
  <pageSetup paperSize="5" scale="58" fitToHeight="0" orientation="landscape" r:id="rId1"/>
  <rowBreaks count="16" manualBreakCount="16">
    <brk id="32" max="15" man="1"/>
    <brk id="57" max="15" man="1"/>
    <brk id="82" max="15" man="1"/>
    <brk id="106" max="15" man="1"/>
    <brk id="131" max="15" man="1"/>
    <brk id="153" max="15" man="1"/>
    <brk id="175" max="15" man="1"/>
    <brk id="200" max="15" man="1"/>
    <brk id="223" max="15" man="1"/>
    <brk id="247" max="15" man="1"/>
    <brk id="268" max="15" man="1"/>
    <brk id="293" max="15" man="1"/>
    <brk id="318" max="15" man="1"/>
    <brk id="342" max="15" man="1"/>
    <brk id="369" max="15" man="1"/>
    <brk id="389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181"/>
  <sheetViews>
    <sheetView showGridLines="0" view="pageBreakPreview" zoomScale="40" zoomScaleNormal="85" zoomScaleSheetLayoutView="40" workbookViewId="0">
      <pane xSplit="2" ySplit="8" topLeftCell="E224" activePane="bottomRight" state="frozen"/>
      <selection pane="topRight" activeCell="C1" sqref="C1"/>
      <selection pane="bottomLeft" activeCell="A9" sqref="A9"/>
      <selection pane="bottomRight" activeCell="I87" sqref="I85:I87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5" customWidth="1"/>
    <col min="3" max="3" width="11.7109375" style="4" customWidth="1"/>
    <col min="4" max="4" width="38.5703125" style="25" customWidth="1"/>
    <col min="5" max="5" width="20.42578125" style="25" customWidth="1"/>
    <col min="6" max="6" width="25.140625" style="25" customWidth="1"/>
    <col min="7" max="7" width="25.5703125" style="25" customWidth="1"/>
    <col min="8" max="8" width="17" style="2" bestFit="1" customWidth="1"/>
    <col min="9" max="9" width="17.140625" style="1" customWidth="1"/>
    <col min="10" max="12" width="15.5703125" style="1" customWidth="1"/>
    <col min="13" max="13" width="16.28515625" style="1" customWidth="1"/>
    <col min="14" max="14" width="14.5703125" style="1" customWidth="1"/>
    <col min="15" max="15" width="14.5703125" style="1" hidden="1" customWidth="1"/>
    <col min="16" max="16" width="19" style="1" bestFit="1" customWidth="1"/>
    <col min="17" max="17" width="20" style="1" customWidth="1"/>
    <col min="18" max="18" width="17" style="1" bestFit="1" customWidth="1"/>
    <col min="19" max="19" width="11.42578125" style="298"/>
    <col min="20" max="16384" width="11.42578125" style="1"/>
  </cols>
  <sheetData>
    <row r="1" spans="1:19" x14ac:dyDescent="0.2">
      <c r="B1" s="24"/>
      <c r="C1" s="147"/>
    </row>
    <row r="2" spans="1:19" ht="23.25" x14ac:dyDescent="0.35">
      <c r="A2" s="269" t="s">
        <v>417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</row>
    <row r="3" spans="1:19" ht="21" x14ac:dyDescent="0.35">
      <c r="A3" s="270" t="s">
        <v>420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</row>
    <row r="4" spans="1:19" ht="18.75" x14ac:dyDescent="0.3">
      <c r="A4" s="271" t="s">
        <v>631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</row>
    <row r="5" spans="1:19" ht="6.75" customHeight="1" x14ac:dyDescent="0.3">
      <c r="A5" s="217"/>
      <c r="B5" s="217"/>
      <c r="C5" s="17"/>
      <c r="D5" s="24"/>
      <c r="E5" s="24"/>
      <c r="F5" s="24"/>
      <c r="G5" s="24"/>
      <c r="H5" s="17"/>
    </row>
    <row r="6" spans="1:19" ht="24.75" customHeight="1" thickBot="1" x14ac:dyDescent="0.3">
      <c r="A6" s="244"/>
      <c r="B6" s="244"/>
      <c r="C6" s="52"/>
      <c r="D6" s="44"/>
      <c r="E6" s="44"/>
      <c r="F6" s="44"/>
      <c r="G6" s="44"/>
      <c r="H6" s="41"/>
      <c r="I6" s="245" t="s">
        <v>121</v>
      </c>
      <c r="J6" s="246"/>
      <c r="K6" s="246"/>
      <c r="L6" s="246"/>
      <c r="M6" s="223"/>
      <c r="N6" s="34"/>
      <c r="O6" s="34"/>
      <c r="P6" s="34"/>
      <c r="Q6" s="34"/>
      <c r="R6" s="34"/>
    </row>
    <row r="7" spans="1:19" s="2" customFormat="1" ht="28.5" customHeight="1" thickBot="1" x14ac:dyDescent="0.25">
      <c r="A7" s="35" t="s">
        <v>0</v>
      </c>
      <c r="B7" s="35" t="s">
        <v>426</v>
      </c>
      <c r="C7" s="35" t="s">
        <v>431</v>
      </c>
      <c r="D7" s="35" t="s">
        <v>452</v>
      </c>
      <c r="E7" s="35" t="s">
        <v>115</v>
      </c>
      <c r="F7" s="35" t="s">
        <v>119</v>
      </c>
      <c r="G7" s="35" t="s">
        <v>120</v>
      </c>
      <c r="H7" s="37" t="s">
        <v>125</v>
      </c>
      <c r="I7" s="35" t="s">
        <v>1</v>
      </c>
      <c r="J7" s="35" t="s">
        <v>2</v>
      </c>
      <c r="K7" s="37" t="s">
        <v>630</v>
      </c>
      <c r="L7" s="35" t="s">
        <v>626</v>
      </c>
      <c r="M7" s="37" t="s">
        <v>627</v>
      </c>
      <c r="N7" s="37" t="s">
        <v>116</v>
      </c>
      <c r="O7" s="37" t="s">
        <v>668</v>
      </c>
      <c r="P7" s="37" t="s">
        <v>118</v>
      </c>
      <c r="Q7" s="37" t="s">
        <v>3</v>
      </c>
      <c r="R7" s="37" t="s">
        <v>117</v>
      </c>
      <c r="S7" s="70"/>
    </row>
    <row r="8" spans="1:19" s="2" customFormat="1" ht="24.95" customHeight="1" thickBot="1" x14ac:dyDescent="0.25">
      <c r="A8" s="255" t="s">
        <v>374</v>
      </c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70"/>
    </row>
    <row r="9" spans="1:19" s="70" customFormat="1" ht="24.95" customHeight="1" x14ac:dyDescent="0.2">
      <c r="A9" s="104">
        <v>1</v>
      </c>
      <c r="B9" s="61" t="s">
        <v>376</v>
      </c>
      <c r="C9" s="156" t="s">
        <v>429</v>
      </c>
      <c r="D9" s="125" t="s">
        <v>427</v>
      </c>
      <c r="E9" s="125" t="s">
        <v>217</v>
      </c>
      <c r="F9" s="208" t="s">
        <v>561</v>
      </c>
      <c r="G9" s="208" t="s">
        <v>645</v>
      </c>
      <c r="H9" s="176">
        <v>130000</v>
      </c>
      <c r="I9" s="8">
        <f>H9*2.87%</f>
        <v>3731</v>
      </c>
      <c r="J9" s="8">
        <f>+H9*3.04%</f>
        <v>3952</v>
      </c>
      <c r="K9" s="8"/>
      <c r="L9" s="8">
        <f>+J9+I9+K9</f>
        <v>7683</v>
      </c>
      <c r="M9" s="8">
        <f>+H9-L9</f>
        <v>122317</v>
      </c>
      <c r="N9" s="8">
        <f>+IF(M9*12&lt;=416220.01,0,IF(M9*12&lt;=624329.01,(((M9*12-416220.01)*0.15)/12),IF((M9*12&lt;=867123.01),(31216+0.2*(M9*12-624329.01))/12,((79776+0.25*(M9*12-867123.01))/12))))-O9</f>
        <v>19162.187291666665</v>
      </c>
      <c r="O9" s="8"/>
      <c r="P9" s="9">
        <v>25</v>
      </c>
      <c r="Q9" s="8">
        <f>+P9+N9+L9</f>
        <v>26870.187291666665</v>
      </c>
      <c r="R9" s="9">
        <f>+H9-Q9</f>
        <v>103129.81270833334</v>
      </c>
    </row>
    <row r="10" spans="1:19" s="70" customFormat="1" ht="24.95" customHeight="1" x14ac:dyDescent="0.2">
      <c r="A10" s="68">
        <v>2</v>
      </c>
      <c r="B10" s="205" t="s">
        <v>574</v>
      </c>
      <c r="C10" s="155" t="s">
        <v>429</v>
      </c>
      <c r="D10" s="128" t="s">
        <v>133</v>
      </c>
      <c r="E10" s="125" t="s">
        <v>217</v>
      </c>
      <c r="F10" s="208" t="s">
        <v>561</v>
      </c>
      <c r="G10" s="208" t="s">
        <v>645</v>
      </c>
      <c r="H10" s="10">
        <v>50000</v>
      </c>
      <c r="I10" s="5">
        <f>H10*2.87%</f>
        <v>1435</v>
      </c>
      <c r="J10" s="5">
        <f>+H10*3.04%</f>
        <v>1520</v>
      </c>
      <c r="K10" s="5"/>
      <c r="L10" s="8">
        <f t="shared" ref="L10:L69" si="0">+J10+I10+K10</f>
        <v>2955</v>
      </c>
      <c r="M10" s="8">
        <f t="shared" ref="M10:M69" si="1">+H10-L10</f>
        <v>47045</v>
      </c>
      <c r="N10" s="8">
        <f t="shared" ref="N10:N11" si="2">+IF(M10*12&lt;=416220.01,0,IF(M10*12&lt;=624329.01,(((M10*12-416220.01)*0.15)/12),IF((M10*12&lt;=867123.01),(31216+0.2*(M10*12-624329.01))/12,((79776+0.25*(M10*12-867123.01))/12))))-O10</f>
        <v>-1.2500000025283953E-4</v>
      </c>
      <c r="O10" s="8">
        <v>1854</v>
      </c>
      <c r="P10" s="124">
        <v>1098.01</v>
      </c>
      <c r="Q10" s="8">
        <f>+P10+N10+L10</f>
        <v>4053.0098749999997</v>
      </c>
      <c r="R10" s="124">
        <f>H10-Q10</f>
        <v>45946.990124999997</v>
      </c>
    </row>
    <row r="11" spans="1:19" s="70" customFormat="1" ht="24.95" customHeight="1" x14ac:dyDescent="0.2">
      <c r="A11" s="68">
        <v>3</v>
      </c>
      <c r="B11" s="205" t="s">
        <v>591</v>
      </c>
      <c r="C11" s="155" t="s">
        <v>429</v>
      </c>
      <c r="D11" s="128" t="s">
        <v>133</v>
      </c>
      <c r="E11" s="125" t="s">
        <v>217</v>
      </c>
      <c r="F11" s="199" t="s">
        <v>592</v>
      </c>
      <c r="G11" s="208" t="s">
        <v>646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si="0"/>
        <v>2955</v>
      </c>
      <c r="M11" s="8">
        <f t="shared" si="1"/>
        <v>47045</v>
      </c>
      <c r="N11" s="8">
        <f t="shared" si="2"/>
        <v>1853.9998749999997</v>
      </c>
      <c r="O11" s="8"/>
      <c r="P11" s="124">
        <v>25</v>
      </c>
      <c r="Q11" s="8">
        <f>+P11+N11+L11</f>
        <v>4833.9998749999995</v>
      </c>
      <c r="R11" s="124">
        <f>H11-Q11</f>
        <v>45166.000124999999</v>
      </c>
    </row>
    <row r="12" spans="1:19" s="2" customFormat="1" ht="20.25" customHeight="1" x14ac:dyDescent="0.2">
      <c r="A12" s="272" t="s">
        <v>126</v>
      </c>
      <c r="B12" s="273"/>
      <c r="C12" s="249"/>
      <c r="D12" s="249"/>
      <c r="E12" s="249"/>
      <c r="F12" s="249"/>
      <c r="G12" s="249"/>
      <c r="H12" s="16">
        <f>SUM(H9:H11)</f>
        <v>230000</v>
      </c>
      <c r="I12" s="16">
        <f t="shared" ref="I12:L12" si="3">SUM(I9:I11)</f>
        <v>6601</v>
      </c>
      <c r="J12" s="16">
        <f t="shared" si="3"/>
        <v>6992</v>
      </c>
      <c r="K12" s="16">
        <f t="shared" si="3"/>
        <v>0</v>
      </c>
      <c r="L12" s="16">
        <f t="shared" si="3"/>
        <v>13593</v>
      </c>
      <c r="M12" s="16">
        <f t="shared" ref="M12" si="4">SUM(M9:M11)</f>
        <v>216407</v>
      </c>
      <c r="N12" s="16">
        <f t="shared" ref="N12:O12" si="5">SUM(N9:N11)</f>
        <v>21016.187041666668</v>
      </c>
      <c r="O12" s="16">
        <f t="shared" si="5"/>
        <v>1854</v>
      </c>
      <c r="P12" s="16">
        <f t="shared" ref="P12" si="6">SUM(P9:P11)</f>
        <v>1148.01</v>
      </c>
      <c r="Q12" s="16">
        <f t="shared" ref="Q12" si="7">SUM(Q9:Q11)</f>
        <v>35757.197041666666</v>
      </c>
      <c r="R12" s="16">
        <f t="shared" ref="R12" si="8">SUM(R9:R11)</f>
        <v>194242.80295833331</v>
      </c>
      <c r="S12" s="70"/>
    </row>
    <row r="13" spans="1:19" s="2" customFormat="1" ht="21" customHeight="1" thickBot="1" x14ac:dyDescent="0.25">
      <c r="A13"/>
      <c r="B13"/>
      <c r="C13" s="147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  <c r="S13" s="70"/>
    </row>
    <row r="14" spans="1:19" s="2" customFormat="1" ht="24.95" customHeight="1" thickBot="1" x14ac:dyDescent="0.25">
      <c r="A14" s="255" t="s">
        <v>296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70"/>
    </row>
    <row r="15" spans="1:19" s="80" customFormat="1" ht="24.95" customHeight="1" x14ac:dyDescent="0.2">
      <c r="A15" s="68">
        <f>+A11+1</f>
        <v>4</v>
      </c>
      <c r="B15" s="205" t="s">
        <v>378</v>
      </c>
      <c r="C15" s="155" t="s">
        <v>430</v>
      </c>
      <c r="D15" s="128" t="s">
        <v>218</v>
      </c>
      <c r="E15" s="125" t="s">
        <v>217</v>
      </c>
      <c r="F15" s="144" t="s">
        <v>549</v>
      </c>
      <c r="G15" s="2" t="s">
        <v>647</v>
      </c>
      <c r="H15" s="9">
        <v>70000</v>
      </c>
      <c r="I15" s="108">
        <f>H15*2.87%</f>
        <v>2009</v>
      </c>
      <c r="J15" s="108">
        <f>+H15*3.04%</f>
        <v>2128</v>
      </c>
      <c r="K15" s="108"/>
      <c r="L15" s="8">
        <f t="shared" si="0"/>
        <v>4137</v>
      </c>
      <c r="M15" s="8">
        <f t="shared" si="1"/>
        <v>65863</v>
      </c>
      <c r="N15" s="8">
        <f>+IF(M15*12&lt;=416220.01,0,IF(M15*12&lt;=624329.01,(((M15*12-416220.01)*0.15)/12),IF((M15*12&lt;=867123.01),(31216+0.2*(M15*12-624329.01))/12,((79776+0.25*(M15*12-867123.01))/12))))-O15</f>
        <v>-1.6666666670062114E-4</v>
      </c>
      <c r="O15" s="8">
        <v>5368.45</v>
      </c>
      <c r="P15" s="107">
        <v>25</v>
      </c>
      <c r="Q15" s="8">
        <f>+P15+N15+L15</f>
        <v>4161.9998333333333</v>
      </c>
      <c r="R15" s="107">
        <f>+H15-Q15</f>
        <v>65838.000166666665</v>
      </c>
    </row>
    <row r="16" spans="1:19" s="70" customFormat="1" ht="24.95" customHeight="1" x14ac:dyDescent="0.2">
      <c r="A16" s="68">
        <f>+A15+1</f>
        <v>5</v>
      </c>
      <c r="B16" s="205" t="s">
        <v>616</v>
      </c>
      <c r="C16" s="155" t="s">
        <v>429</v>
      </c>
      <c r="D16" s="128" t="s">
        <v>593</v>
      </c>
      <c r="E16" s="125" t="s">
        <v>217</v>
      </c>
      <c r="F16" s="208" t="s">
        <v>592</v>
      </c>
      <c r="G16" s="208" t="s">
        <v>648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f t="shared" ref="N16:N17" si="9">+IF(M16*12&lt;=416220.01,0,IF(M16*12&lt;=624329.01,(((M16*12-416220.01)*0.15)/12),IF((M16*12&lt;=867123.01),(31216+0.2*(M16*12-624329.01))/12,((79776+0.25*(M16*12-867123.01))/12))))-O16</f>
        <v>-1.6666666670062114E-4</v>
      </c>
      <c r="O16" s="8">
        <v>5368.45</v>
      </c>
      <c r="P16" s="124">
        <v>25</v>
      </c>
      <c r="Q16" s="8">
        <f>+P16+N16+L16</f>
        <v>4161.9998333333333</v>
      </c>
      <c r="R16" s="124">
        <f>H16-Q16</f>
        <v>65838.000166666665</v>
      </c>
    </row>
    <row r="17" spans="1:19" s="70" customFormat="1" ht="24.95" customHeight="1" x14ac:dyDescent="0.2">
      <c r="A17" s="68">
        <f>+A16+1</f>
        <v>6</v>
      </c>
      <c r="B17" s="205" t="s">
        <v>615</v>
      </c>
      <c r="C17" s="155" t="s">
        <v>669</v>
      </c>
      <c r="D17" s="128" t="s">
        <v>617</v>
      </c>
      <c r="E17" s="125" t="s">
        <v>217</v>
      </c>
      <c r="F17" s="199" t="s">
        <v>548</v>
      </c>
      <c r="G17" s="208" t="s">
        <v>618</v>
      </c>
      <c r="H17" s="10">
        <v>170000</v>
      </c>
      <c r="I17" s="5">
        <v>4879</v>
      </c>
      <c r="J17" s="5">
        <f>+H17*3.04%</f>
        <v>5168</v>
      </c>
      <c r="K17" s="5"/>
      <c r="L17" s="8">
        <f t="shared" si="0"/>
        <v>10047</v>
      </c>
      <c r="M17" s="8">
        <f t="shared" si="1"/>
        <v>159953</v>
      </c>
      <c r="N17" s="8">
        <f t="shared" si="9"/>
        <v>28571.187291666665</v>
      </c>
      <c r="O17" s="8"/>
      <c r="P17" s="124">
        <v>25</v>
      </c>
      <c r="Q17" s="8">
        <f>+P17+N17+L17</f>
        <v>38643.187291666662</v>
      </c>
      <c r="R17" s="124">
        <f>H17-Q17</f>
        <v>131356.81270833334</v>
      </c>
    </row>
    <row r="18" spans="1:19" s="2" customFormat="1" ht="24.95" customHeight="1" x14ac:dyDescent="0.2">
      <c r="A18" s="272" t="s">
        <v>126</v>
      </c>
      <c r="B18" s="273"/>
      <c r="C18" s="249"/>
      <c r="D18" s="249"/>
      <c r="E18" s="249"/>
      <c r="F18" s="249"/>
      <c r="G18" s="249"/>
      <c r="H18" s="16">
        <f>SUM(H15:H17)</f>
        <v>310000</v>
      </c>
      <c r="I18" s="16">
        <f t="shared" ref="I18:R18" si="10">SUM(I15:I17)</f>
        <v>8897</v>
      </c>
      <c r="J18" s="16">
        <f t="shared" si="10"/>
        <v>9424</v>
      </c>
      <c r="K18" s="16">
        <f t="shared" si="10"/>
        <v>0</v>
      </c>
      <c r="L18" s="16">
        <f t="shared" si="10"/>
        <v>18321</v>
      </c>
      <c r="M18" s="16">
        <f t="shared" si="10"/>
        <v>291679</v>
      </c>
      <c r="N18" s="16">
        <f t="shared" si="10"/>
        <v>28571.186958333332</v>
      </c>
      <c r="O18" s="16">
        <f t="shared" si="10"/>
        <v>10736.9</v>
      </c>
      <c r="P18" s="16">
        <f t="shared" si="10"/>
        <v>75</v>
      </c>
      <c r="Q18" s="16">
        <f t="shared" si="10"/>
        <v>46967.186958333332</v>
      </c>
      <c r="R18" s="16">
        <f t="shared" si="10"/>
        <v>263032.81304166664</v>
      </c>
      <c r="S18" s="70"/>
    </row>
    <row r="19" spans="1:19" s="2" customFormat="1" ht="20.25" customHeight="1" thickBot="1" x14ac:dyDescent="0.25">
      <c r="A19" s="64"/>
      <c r="B19" s="64"/>
      <c r="C19" s="64"/>
      <c r="D19" s="64"/>
      <c r="E19" s="64"/>
      <c r="F19" s="64"/>
      <c r="G19" s="64"/>
      <c r="H19"/>
      <c r="I19"/>
      <c r="J19"/>
      <c r="K19"/>
      <c r="L19"/>
      <c r="M19"/>
      <c r="N19"/>
      <c r="O19"/>
      <c r="P19"/>
      <c r="Q19"/>
      <c r="R19"/>
      <c r="S19" s="70"/>
    </row>
    <row r="20" spans="1:19" s="2" customFormat="1" ht="24.95" customHeight="1" thickBot="1" x14ac:dyDescent="0.25">
      <c r="A20" s="255" t="s">
        <v>91</v>
      </c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70"/>
    </row>
    <row r="21" spans="1:19" s="80" customFormat="1" ht="24.95" customHeight="1" x14ac:dyDescent="0.2">
      <c r="A21" s="104">
        <f>+A17+1</f>
        <v>7</v>
      </c>
      <c r="B21" s="61" t="s">
        <v>377</v>
      </c>
      <c r="C21" s="156" t="s">
        <v>429</v>
      </c>
      <c r="D21" s="128" t="s">
        <v>540</v>
      </c>
      <c r="E21" s="125" t="s">
        <v>217</v>
      </c>
      <c r="F21" s="26" t="s">
        <v>575</v>
      </c>
      <c r="G21" s="26" t="s">
        <v>649</v>
      </c>
      <c r="H21" s="9">
        <v>170000</v>
      </c>
      <c r="I21" s="108">
        <f>H21*2.87%</f>
        <v>4879</v>
      </c>
      <c r="J21" s="210">
        <f>+H21*3.04%</f>
        <v>5168</v>
      </c>
      <c r="K21" s="108"/>
      <c r="L21" s="8">
        <f t="shared" si="0"/>
        <v>10047</v>
      </c>
      <c r="M21" s="8">
        <f t="shared" si="1"/>
        <v>159953</v>
      </c>
      <c r="N21" s="8">
        <f>+IF(M21*12&lt;=416220.01,0,IF(M21*12&lt;=624329.01,(((M21*12-416220.01)*0.15)/12),IF((M21*12&lt;=867123.01),(31216+0.2*(M21*12-624329.01))/12,((79776+0.25*(M21*12-867123.01))/12))))-O21</f>
        <v>27931.637291666666</v>
      </c>
      <c r="O21" s="8">
        <v>639.54999999999995</v>
      </c>
      <c r="P21" s="107">
        <v>7525</v>
      </c>
      <c r="Q21" s="8">
        <f>+P21+N21+L21</f>
        <v>45503.637291666666</v>
      </c>
      <c r="R21" s="107">
        <f>+H21-Q21</f>
        <v>124496.36270833333</v>
      </c>
    </row>
    <row r="22" spans="1:19" s="70" customFormat="1" ht="24.95" customHeight="1" x14ac:dyDescent="0.2">
      <c r="A22" s="195">
        <f>+A21+1</f>
        <v>8</v>
      </c>
      <c r="B22" s="212" t="s">
        <v>380</v>
      </c>
      <c r="C22" s="209" t="s">
        <v>429</v>
      </c>
      <c r="D22" s="196" t="s">
        <v>144</v>
      </c>
      <c r="E22" s="196" t="s">
        <v>217</v>
      </c>
      <c r="F22" s="2" t="s">
        <v>549</v>
      </c>
      <c r="G22" s="2" t="s">
        <v>650</v>
      </c>
      <c r="H22" s="9">
        <v>70000</v>
      </c>
      <c r="I22" s="210">
        <f>H22*2.87%</f>
        <v>2009</v>
      </c>
      <c r="J22" s="210">
        <f>+H22*3.04%</f>
        <v>2128</v>
      </c>
      <c r="K22" s="210"/>
      <c r="L22" s="8">
        <f t="shared" si="0"/>
        <v>4137</v>
      </c>
      <c r="M22" s="8">
        <f t="shared" si="1"/>
        <v>65863</v>
      </c>
      <c r="N22" s="8">
        <f t="shared" ref="N22:N23" si="11">+IF(M22*12&lt;=416220.01,0,IF(M22*12&lt;=624329.01,(((M22*12-416220.01)*0.15)/12),IF((M22*12&lt;=867123.01),(31216+0.2*(M22*12-624329.01))/12,((79776+0.25*(M22*12-867123.01))/12))))-O22</f>
        <v>-1.6666666670062114E-4</v>
      </c>
      <c r="O22" s="8">
        <v>5368.45</v>
      </c>
      <c r="P22" s="211">
        <v>25</v>
      </c>
      <c r="Q22" s="8">
        <f>+P22+N22+L22</f>
        <v>4161.9998333333333</v>
      </c>
      <c r="R22" s="211">
        <f>+H22-Q22</f>
        <v>65838.000166666665</v>
      </c>
    </row>
    <row r="23" spans="1:19" s="70" customFormat="1" ht="24.95" customHeight="1" x14ac:dyDescent="0.2">
      <c r="A23" s="129">
        <f>A22+1</f>
        <v>9</v>
      </c>
      <c r="B23" s="5" t="s">
        <v>576</v>
      </c>
      <c r="C23" s="155" t="s">
        <v>429</v>
      </c>
      <c r="D23" s="128" t="s">
        <v>144</v>
      </c>
      <c r="E23" s="196" t="s">
        <v>217</v>
      </c>
      <c r="F23" s="5" t="s">
        <v>562</v>
      </c>
      <c r="G23" s="5" t="s">
        <v>651</v>
      </c>
      <c r="H23" s="124">
        <v>70000</v>
      </c>
      <c r="I23" s="63">
        <f>H23*2.87%</f>
        <v>2009</v>
      </c>
      <c r="J23" s="63">
        <f>+H23*3.04%</f>
        <v>2128</v>
      </c>
      <c r="K23" s="63"/>
      <c r="L23" s="8">
        <f t="shared" si="0"/>
        <v>4137</v>
      </c>
      <c r="M23" s="8">
        <f t="shared" si="1"/>
        <v>65863</v>
      </c>
      <c r="N23" s="8">
        <f t="shared" si="11"/>
        <v>-1.6666666670062114E-4</v>
      </c>
      <c r="O23" s="8">
        <v>5368.45</v>
      </c>
      <c r="P23" s="69">
        <f>25+886.92</f>
        <v>911.92</v>
      </c>
      <c r="Q23" s="8">
        <f>+P23+N23+L23</f>
        <v>5048.9198333333334</v>
      </c>
      <c r="R23" s="69">
        <f>H23-Q23</f>
        <v>64951.080166666667</v>
      </c>
    </row>
    <row r="24" spans="1:19" s="2" customFormat="1" ht="24.95" customHeight="1" x14ac:dyDescent="0.2">
      <c r="A24" s="272" t="s">
        <v>126</v>
      </c>
      <c r="B24" s="273"/>
      <c r="C24" s="249"/>
      <c r="D24" s="249"/>
      <c r="E24" s="249"/>
      <c r="F24" s="249"/>
      <c r="G24" s="249"/>
      <c r="H24" s="16">
        <f t="shared" ref="H24:R24" si="12">SUM(H21:H23)</f>
        <v>310000</v>
      </c>
      <c r="I24" s="16">
        <f t="shared" si="12"/>
        <v>8897</v>
      </c>
      <c r="J24" s="16">
        <f t="shared" si="12"/>
        <v>9424</v>
      </c>
      <c r="K24" s="16">
        <f t="shared" si="12"/>
        <v>0</v>
      </c>
      <c r="L24" s="16">
        <f t="shared" si="12"/>
        <v>18321</v>
      </c>
      <c r="M24" s="16">
        <f t="shared" si="12"/>
        <v>291679</v>
      </c>
      <c r="N24" s="16">
        <f t="shared" si="12"/>
        <v>27931.636958333336</v>
      </c>
      <c r="O24" s="16">
        <f t="shared" si="12"/>
        <v>11376.45</v>
      </c>
      <c r="P24" s="16">
        <f t="shared" si="12"/>
        <v>8461.92</v>
      </c>
      <c r="Q24" s="16">
        <f t="shared" si="12"/>
        <v>54714.556958333334</v>
      </c>
      <c r="R24" s="16">
        <f t="shared" si="12"/>
        <v>255285.44304166664</v>
      </c>
      <c r="S24" s="70"/>
    </row>
    <row r="25" spans="1:19" s="2" customFormat="1" ht="15.75" customHeight="1" thickBot="1" x14ac:dyDescent="0.25">
      <c r="A25" s="64"/>
      <c r="B25" s="64"/>
      <c r="C25" s="64"/>
      <c r="D25" s="64"/>
      <c r="E25" s="64"/>
      <c r="F25" s="64"/>
      <c r="G25" s="64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70"/>
    </row>
    <row r="26" spans="1:19" s="2" customFormat="1" ht="24.95" customHeight="1" thickBot="1" x14ac:dyDescent="0.25">
      <c r="A26" s="247" t="s">
        <v>440</v>
      </c>
      <c r="B26" s="248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70"/>
    </row>
    <row r="27" spans="1:19" s="80" customFormat="1" ht="28.5" customHeight="1" x14ac:dyDescent="0.2">
      <c r="A27" s="109">
        <f>A23+1</f>
        <v>10</v>
      </c>
      <c r="B27" s="194" t="s">
        <v>441</v>
      </c>
      <c r="C27" s="195" t="s">
        <v>430</v>
      </c>
      <c r="D27" s="196" t="s">
        <v>442</v>
      </c>
      <c r="E27" s="125" t="s">
        <v>217</v>
      </c>
      <c r="F27" s="130" t="s">
        <v>579</v>
      </c>
      <c r="G27" s="26" t="s">
        <v>652</v>
      </c>
      <c r="H27" s="10">
        <v>130000</v>
      </c>
      <c r="I27" s="8">
        <f>H27*2.87%</f>
        <v>3731</v>
      </c>
      <c r="J27" s="8">
        <f>+H27*3.04%</f>
        <v>3952</v>
      </c>
      <c r="K27" s="8"/>
      <c r="L27" s="8">
        <f t="shared" si="0"/>
        <v>7683</v>
      </c>
      <c r="M27" s="8">
        <f t="shared" si="1"/>
        <v>122317</v>
      </c>
      <c r="N27" s="8">
        <f>+IF(M27*12&lt;=416220.01,0,IF(M27*12&lt;=624329.01,(((M27*12-416220.01)*0.15)/12),IF((M27*12&lt;=867123.01),(31216+0.2*(M27*12-624329.01))/12,((79776+0.25*(M27*12-867123.01))/12))))</f>
        <v>19162.187291666665</v>
      </c>
      <c r="O27" s="8"/>
      <c r="P27" s="9">
        <v>25</v>
      </c>
      <c r="Q27" s="8">
        <f>+P27+N27+L27</f>
        <v>26870.187291666665</v>
      </c>
      <c r="R27" s="9">
        <f>+H27-Q27</f>
        <v>103129.81270833334</v>
      </c>
    </row>
    <row r="28" spans="1:19" s="6" customFormat="1" ht="24.95" customHeight="1" x14ac:dyDescent="0.2">
      <c r="A28" s="272" t="s">
        <v>126</v>
      </c>
      <c r="B28" s="273"/>
      <c r="C28" s="249"/>
      <c r="D28" s="249"/>
      <c r="E28" s="249"/>
      <c r="F28" s="249"/>
      <c r="G28" s="249"/>
      <c r="H28" s="16">
        <f>SUM(H27)</f>
        <v>130000</v>
      </c>
      <c r="I28" s="16">
        <f t="shared" ref="I28:R28" si="13">SUM(I27)</f>
        <v>3731</v>
      </c>
      <c r="J28" s="16">
        <f t="shared" si="13"/>
        <v>3952</v>
      </c>
      <c r="K28" s="16">
        <f t="shared" si="13"/>
        <v>0</v>
      </c>
      <c r="L28" s="16">
        <f t="shared" si="13"/>
        <v>7683</v>
      </c>
      <c r="M28" s="16">
        <f t="shared" si="13"/>
        <v>122317</v>
      </c>
      <c r="N28" s="16">
        <f t="shared" si="13"/>
        <v>19162.187291666665</v>
      </c>
      <c r="O28" s="16"/>
      <c r="P28" s="16">
        <f t="shared" si="13"/>
        <v>25</v>
      </c>
      <c r="Q28" s="16">
        <f t="shared" si="13"/>
        <v>26870.187291666665</v>
      </c>
      <c r="R28" s="16">
        <f t="shared" si="13"/>
        <v>103129.81270833334</v>
      </c>
      <c r="S28" s="80"/>
    </row>
    <row r="29" spans="1:19" s="6" customFormat="1" ht="24.95" customHeight="1" thickBot="1" x14ac:dyDescent="0.25">
      <c r="A29" s="64"/>
      <c r="B29" s="64"/>
      <c r="C29" s="64"/>
      <c r="D29" s="64"/>
      <c r="E29" s="64"/>
      <c r="F29" s="64"/>
      <c r="G29" s="64"/>
      <c r="S29" s="80"/>
    </row>
    <row r="30" spans="1:19" s="2" customFormat="1" ht="24.95" customHeight="1" thickBot="1" x14ac:dyDescent="0.25">
      <c r="A30" s="255" t="s">
        <v>381</v>
      </c>
      <c r="B30" s="256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70"/>
    </row>
    <row r="31" spans="1:19" s="2" customFormat="1" ht="24.95" customHeight="1" x14ac:dyDescent="0.2">
      <c r="A31" s="129">
        <f>+A27+1</f>
        <v>11</v>
      </c>
      <c r="B31" s="5" t="s">
        <v>379</v>
      </c>
      <c r="C31" s="156" t="s">
        <v>429</v>
      </c>
      <c r="D31" s="125" t="s">
        <v>559</v>
      </c>
      <c r="E31" s="125" t="s">
        <v>217</v>
      </c>
      <c r="F31" s="143" t="s">
        <v>561</v>
      </c>
      <c r="G31" s="143" t="s">
        <v>653</v>
      </c>
      <c r="H31" s="9">
        <v>100000</v>
      </c>
      <c r="I31" s="108">
        <f>H31*2.87%</f>
        <v>2870</v>
      </c>
      <c r="J31" s="108">
        <f>+H31*3.04%</f>
        <v>3040</v>
      </c>
      <c r="K31" s="108"/>
      <c r="L31" s="8">
        <f t="shared" si="0"/>
        <v>5910</v>
      </c>
      <c r="M31" s="8">
        <f t="shared" si="1"/>
        <v>94090</v>
      </c>
      <c r="N31" s="8">
        <f>+IF(M31*12&lt;=416220.01,0,IF(M31*12&lt;=624329.01,(((M31*12-416220.01)*0.15)/12),IF((M31*12&lt;=867123.01),(31216+0.2*(M31*12-624329.01))/12,((79776+0.25*(M31*12-867123.01))/12))))-O31</f>
        <v>12105.437291666667</v>
      </c>
      <c r="O31" s="8"/>
      <c r="P31" s="107">
        <v>23985.35</v>
      </c>
      <c r="Q31" s="8">
        <f>+P31+N31+L31</f>
        <v>42000.787291666667</v>
      </c>
      <c r="R31" s="107">
        <f>+H31-Q31</f>
        <v>57999.212708333333</v>
      </c>
      <c r="S31" s="70"/>
    </row>
    <row r="32" spans="1:19" s="70" customFormat="1" ht="27" customHeight="1" x14ac:dyDescent="0.2">
      <c r="A32" s="12">
        <f>A31+1</f>
        <v>12</v>
      </c>
      <c r="B32" s="8" t="s">
        <v>382</v>
      </c>
      <c r="C32" s="156" t="s">
        <v>430</v>
      </c>
      <c r="D32" s="125" t="s">
        <v>147</v>
      </c>
      <c r="E32" s="125" t="s">
        <v>217</v>
      </c>
      <c r="F32" s="26" t="s">
        <v>562</v>
      </c>
      <c r="G32" s="26" t="s">
        <v>654</v>
      </c>
      <c r="H32" s="9">
        <v>90000</v>
      </c>
      <c r="I32" s="108">
        <f>H32*2.87%</f>
        <v>2583</v>
      </c>
      <c r="J32" s="108">
        <f>+H32*3.04%</f>
        <v>2736</v>
      </c>
      <c r="K32" s="108"/>
      <c r="L32" s="8">
        <f t="shared" si="0"/>
        <v>5319</v>
      </c>
      <c r="M32" s="8">
        <f t="shared" si="1"/>
        <v>84681</v>
      </c>
      <c r="N32" s="8">
        <f t="shared" ref="N32:N34" si="14">+IF(M32*12&lt;=416220.01,0,IF(M32*12&lt;=624329.01,(((M32*12-416220.01)*0.15)/12),IF((M32*12&lt;=867123.01),(31216+0.2*(M32*12-624329.01))/12,((79776+0.25*(M32*12-867123.01))/12))))-O32</f>
        <v>9753.1872916666671</v>
      </c>
      <c r="O32" s="8"/>
      <c r="P32" s="107">
        <f>1073.01+25</f>
        <v>1098.01</v>
      </c>
      <c r="Q32" s="8">
        <f>+P32+N32+L32</f>
        <v>16170.197291666667</v>
      </c>
      <c r="R32" s="107">
        <f>+H32-Q32</f>
        <v>73829.802708333329</v>
      </c>
    </row>
    <row r="33" spans="1:19" s="70" customFormat="1" ht="32.25" customHeight="1" x14ac:dyDescent="0.2">
      <c r="A33" s="12">
        <f>+A32+1</f>
        <v>13</v>
      </c>
      <c r="B33" s="8" t="s">
        <v>510</v>
      </c>
      <c r="C33" s="156" t="s">
        <v>429</v>
      </c>
      <c r="D33" s="125" t="s">
        <v>511</v>
      </c>
      <c r="E33" s="125" t="s">
        <v>217</v>
      </c>
      <c r="F33" s="26" t="s">
        <v>577</v>
      </c>
      <c r="G33" s="26" t="s">
        <v>655</v>
      </c>
      <c r="H33" s="9">
        <v>70000</v>
      </c>
      <c r="I33" s="108">
        <f>H33*2.87%</f>
        <v>2009</v>
      </c>
      <c r="J33" s="108">
        <f>+H33*3.04%</f>
        <v>2128</v>
      </c>
      <c r="K33" s="108"/>
      <c r="L33" s="8">
        <f t="shared" si="0"/>
        <v>4137</v>
      </c>
      <c r="M33" s="8">
        <f t="shared" si="1"/>
        <v>65863</v>
      </c>
      <c r="N33" s="8">
        <f t="shared" si="14"/>
        <v>-1.6666666670062114E-4</v>
      </c>
      <c r="O33" s="8">
        <v>5368.45</v>
      </c>
      <c r="P33" s="107">
        <v>4661.92</v>
      </c>
      <c r="Q33" s="8">
        <f>+P33+N33+L33</f>
        <v>8798.9198333333334</v>
      </c>
      <c r="R33" s="107">
        <f>+H33-Q33</f>
        <v>61201.080166666667</v>
      </c>
    </row>
    <row r="34" spans="1:19" s="80" customFormat="1" ht="24.95" customHeight="1" x14ac:dyDescent="0.2">
      <c r="A34" s="104">
        <f>+A33+1</f>
        <v>14</v>
      </c>
      <c r="B34" s="127" t="s">
        <v>393</v>
      </c>
      <c r="C34" s="155" t="s">
        <v>430</v>
      </c>
      <c r="D34" s="130" t="s">
        <v>232</v>
      </c>
      <c r="E34" s="125" t="s">
        <v>217</v>
      </c>
      <c r="F34" s="26" t="s">
        <v>590</v>
      </c>
      <c r="G34" s="26" t="s">
        <v>656</v>
      </c>
      <c r="H34" s="124">
        <v>70000</v>
      </c>
      <c r="I34" s="8">
        <f t="shared" ref="I34" si="15">H34*2.87%</f>
        <v>2009</v>
      </c>
      <c r="J34" s="8">
        <f t="shared" ref="J34" si="16">+H34*3.04%</f>
        <v>2128</v>
      </c>
      <c r="K34" s="8"/>
      <c r="L34" s="8">
        <f t="shared" si="0"/>
        <v>4137</v>
      </c>
      <c r="M34" s="8">
        <f t="shared" si="1"/>
        <v>65863</v>
      </c>
      <c r="N34" s="8">
        <f t="shared" si="14"/>
        <v>-1.6666666670062114E-4</v>
      </c>
      <c r="O34" s="8">
        <v>5368.45</v>
      </c>
      <c r="P34" s="9">
        <f>25+9809.32</f>
        <v>9834.32</v>
      </c>
      <c r="Q34" s="8">
        <f>+P34+N34+L34</f>
        <v>13971.319833333333</v>
      </c>
      <c r="R34" s="9">
        <f>+H34-Q34</f>
        <v>56028.680166666665</v>
      </c>
    </row>
    <row r="35" spans="1:19" s="2" customFormat="1" ht="24.95" customHeight="1" x14ac:dyDescent="0.2">
      <c r="A35" s="272" t="s">
        <v>126</v>
      </c>
      <c r="B35" s="273"/>
      <c r="C35" s="249"/>
      <c r="D35" s="249"/>
      <c r="E35" s="249"/>
      <c r="F35" s="249"/>
      <c r="G35" s="249"/>
      <c r="H35" s="16">
        <f>SUM(H31:H34)</f>
        <v>330000</v>
      </c>
      <c r="I35" s="16">
        <f t="shared" ref="I35:R35" si="17">SUM(I31:I34)</f>
        <v>9471</v>
      </c>
      <c r="J35" s="16">
        <f t="shared" si="17"/>
        <v>10032</v>
      </c>
      <c r="K35" s="16">
        <f t="shared" si="17"/>
        <v>0</v>
      </c>
      <c r="L35" s="16">
        <f t="shared" si="17"/>
        <v>19503</v>
      </c>
      <c r="M35" s="16">
        <f t="shared" si="17"/>
        <v>310497</v>
      </c>
      <c r="N35" s="16">
        <f t="shared" si="17"/>
        <v>21858.624250000001</v>
      </c>
      <c r="O35" s="16">
        <f t="shared" si="17"/>
        <v>10736.9</v>
      </c>
      <c r="P35" s="16">
        <f t="shared" si="17"/>
        <v>39579.599999999999</v>
      </c>
      <c r="Q35" s="16">
        <f t="shared" si="17"/>
        <v>80941.224249999999</v>
      </c>
      <c r="R35" s="16">
        <f t="shared" si="17"/>
        <v>249058.77575</v>
      </c>
      <c r="S35" s="70"/>
    </row>
    <row r="36" spans="1:19" s="6" customFormat="1" ht="15" customHeight="1" thickBot="1" x14ac:dyDescent="0.25">
      <c r="A36" s="64"/>
      <c r="B36" s="64"/>
      <c r="C36" s="64"/>
      <c r="D36" s="64"/>
      <c r="E36" s="64"/>
      <c r="F36" s="64"/>
      <c r="G36" s="64"/>
      <c r="S36" s="80"/>
    </row>
    <row r="37" spans="1:19" s="2" customFormat="1" ht="24.95" customHeight="1" thickBot="1" x14ac:dyDescent="0.25">
      <c r="A37" s="255" t="s">
        <v>93</v>
      </c>
      <c r="B37" s="256"/>
      <c r="C37" s="256"/>
      <c r="D37" s="256"/>
      <c r="E37" s="256"/>
      <c r="F37" s="256"/>
      <c r="G37" s="256"/>
      <c r="H37" s="256"/>
      <c r="I37" s="256"/>
      <c r="J37" s="256"/>
      <c r="K37" s="256"/>
      <c r="L37" s="256"/>
      <c r="M37" s="256"/>
      <c r="N37" s="256"/>
      <c r="O37" s="256"/>
      <c r="P37" s="256"/>
      <c r="Q37" s="256"/>
      <c r="R37" s="256"/>
      <c r="S37" s="70"/>
    </row>
    <row r="38" spans="1:19" s="80" customFormat="1" ht="35.25" customHeight="1" x14ac:dyDescent="0.2">
      <c r="A38" s="129">
        <f>+A34+1</f>
        <v>15</v>
      </c>
      <c r="B38" s="130" t="s">
        <v>383</v>
      </c>
      <c r="C38" s="129" t="s">
        <v>430</v>
      </c>
      <c r="D38" s="128" t="s">
        <v>463</v>
      </c>
      <c r="E38" s="128" t="s">
        <v>217</v>
      </c>
      <c r="F38" s="5" t="s">
        <v>548</v>
      </c>
      <c r="G38" s="127" t="s">
        <v>651</v>
      </c>
      <c r="H38" s="5">
        <v>110000</v>
      </c>
      <c r="I38" s="63">
        <f>H38*2.87%</f>
        <v>3157</v>
      </c>
      <c r="J38" s="63">
        <f>+H38*3.04%</f>
        <v>3344</v>
      </c>
      <c r="K38" s="63"/>
      <c r="L38" s="8">
        <f t="shared" si="0"/>
        <v>6501</v>
      </c>
      <c r="M38" s="8">
        <f t="shared" si="1"/>
        <v>103499</v>
      </c>
      <c r="N38" s="8">
        <f>+IF(M38*12&lt;=416220.01,0,IF(M38*12&lt;=624329.01,(((M38*12-416220.01)*0.15)/12),IF((M38*12&lt;=867123.01),(31216+0.2*(M38*12-624329.01))/12,((79776+0.25*(M38*12-867123.01))/12))))-O38</f>
        <v>14457.687291666667</v>
      </c>
      <c r="O38" s="8"/>
      <c r="P38" s="69">
        <v>25</v>
      </c>
      <c r="Q38" s="8">
        <f>+P38+N38+L38</f>
        <v>20983.687291666669</v>
      </c>
      <c r="R38" s="69">
        <f>+H38-Q38</f>
        <v>89016.312708333338</v>
      </c>
    </row>
    <row r="39" spans="1:19" s="80" customFormat="1" ht="35.25" customHeight="1" x14ac:dyDescent="0.2">
      <c r="A39" s="68">
        <f>+A38+1</f>
        <v>16</v>
      </c>
      <c r="B39" s="130" t="s">
        <v>443</v>
      </c>
      <c r="C39" s="129" t="s">
        <v>430</v>
      </c>
      <c r="D39" s="128" t="s">
        <v>291</v>
      </c>
      <c r="E39" s="128" t="s">
        <v>217</v>
      </c>
      <c r="F39" s="26" t="s">
        <v>575</v>
      </c>
      <c r="G39" s="26" t="s">
        <v>649</v>
      </c>
      <c r="H39" s="8">
        <v>70000</v>
      </c>
      <c r="I39" s="108">
        <f>H39*2.87%</f>
        <v>2009</v>
      </c>
      <c r="J39" s="108">
        <f>+H39*3.04%</f>
        <v>2128</v>
      </c>
      <c r="K39" s="108"/>
      <c r="L39" s="8">
        <f t="shared" si="0"/>
        <v>4137</v>
      </c>
      <c r="M39" s="8">
        <f t="shared" si="1"/>
        <v>65863</v>
      </c>
      <c r="N39" s="8">
        <f>+IF(M39*12&lt;=416220.01,0,IF(M39*12&lt;=624329.01,(((M39*12-416220.01)*0.15)/12),IF((M39*12&lt;=867123.01),(31216+0.2*(M39*12-624329.01))/12,((79776+0.25*(M39*12-867123.01))/12))))-O39</f>
        <v>1549.6798333333331</v>
      </c>
      <c r="O39" s="8">
        <v>3818.77</v>
      </c>
      <c r="P39" s="107">
        <v>25</v>
      </c>
      <c r="Q39" s="8">
        <f>+P39+N39+L39</f>
        <v>5711.6798333333336</v>
      </c>
      <c r="R39" s="107">
        <f>+H39-Q39</f>
        <v>64288.320166666665</v>
      </c>
    </row>
    <row r="40" spans="1:19" s="6" customFormat="1" ht="24.95" customHeight="1" x14ac:dyDescent="0.2">
      <c r="A40" s="272" t="s">
        <v>126</v>
      </c>
      <c r="B40" s="273"/>
      <c r="C40" s="249"/>
      <c r="D40" s="249"/>
      <c r="E40" s="249"/>
      <c r="F40" s="249"/>
      <c r="G40" s="249"/>
      <c r="H40" s="16">
        <f>SUM(H38:H39)</f>
        <v>180000</v>
      </c>
      <c r="I40" s="16">
        <f t="shared" ref="I40:R40" si="18">SUM(I38:I39)</f>
        <v>5166</v>
      </c>
      <c r="J40" s="16">
        <f t="shared" si="18"/>
        <v>5472</v>
      </c>
      <c r="K40" s="16">
        <f t="shared" si="18"/>
        <v>0</v>
      </c>
      <c r="L40" s="16">
        <f t="shared" si="18"/>
        <v>10638</v>
      </c>
      <c r="M40" s="16">
        <f t="shared" si="18"/>
        <v>169362</v>
      </c>
      <c r="N40" s="16">
        <f t="shared" si="18"/>
        <v>16007.367125000001</v>
      </c>
      <c r="O40" s="16">
        <f t="shared" si="18"/>
        <v>3818.77</v>
      </c>
      <c r="P40" s="16">
        <f t="shared" si="18"/>
        <v>50</v>
      </c>
      <c r="Q40" s="16">
        <f t="shared" si="18"/>
        <v>26695.367125000004</v>
      </c>
      <c r="R40" s="16">
        <f t="shared" si="18"/>
        <v>153304.63287500001</v>
      </c>
      <c r="S40" s="80"/>
    </row>
    <row r="41" spans="1:19" s="80" customFormat="1" ht="24.95" customHeight="1" thickBot="1" x14ac:dyDescent="0.25">
      <c r="A41" s="213"/>
      <c r="B41" s="213"/>
      <c r="C41" s="213"/>
      <c r="D41" s="213"/>
      <c r="E41" s="213"/>
      <c r="F41" s="213"/>
      <c r="G41" s="213"/>
    </row>
    <row r="42" spans="1:19" s="2" customFormat="1" ht="24.95" customHeight="1" thickBot="1" x14ac:dyDescent="0.25">
      <c r="A42" s="247" t="s">
        <v>155</v>
      </c>
      <c r="B42" s="248"/>
      <c r="C42" s="248"/>
      <c r="D42" s="248"/>
      <c r="E42" s="248"/>
      <c r="F42" s="248"/>
      <c r="G42" s="248"/>
      <c r="H42" s="248"/>
      <c r="I42" s="248"/>
      <c r="J42" s="248"/>
      <c r="K42" s="248"/>
      <c r="L42" s="248"/>
      <c r="M42" s="248"/>
      <c r="N42" s="248"/>
      <c r="O42" s="248"/>
      <c r="P42" s="248"/>
      <c r="Q42" s="248"/>
      <c r="R42" s="248"/>
      <c r="S42" s="70"/>
    </row>
    <row r="43" spans="1:19" s="80" customFormat="1" ht="24.95" customHeight="1" x14ac:dyDescent="0.2">
      <c r="A43" s="104">
        <f>+A39+1</f>
        <v>17</v>
      </c>
      <c r="B43" s="1" t="s">
        <v>129</v>
      </c>
      <c r="C43" s="4" t="s">
        <v>429</v>
      </c>
      <c r="D43" s="125" t="s">
        <v>51</v>
      </c>
      <c r="E43" s="125" t="s">
        <v>217</v>
      </c>
      <c r="F43" s="26" t="s">
        <v>575</v>
      </c>
      <c r="G43" s="26" t="s">
        <v>649</v>
      </c>
      <c r="H43" s="8">
        <v>80000</v>
      </c>
      <c r="I43" s="108">
        <f>H43*2.87%</f>
        <v>2296</v>
      </c>
      <c r="J43" s="108">
        <f>+H43*3.04%</f>
        <v>2432</v>
      </c>
      <c r="K43" s="108"/>
      <c r="L43" s="8">
        <f t="shared" si="0"/>
        <v>4728</v>
      </c>
      <c r="M43" s="8">
        <f t="shared" si="1"/>
        <v>75272</v>
      </c>
      <c r="N43" s="8">
        <f>+IF(M43*12&lt;=416220.01,0,IF(M43*12&lt;=624329.01,(((M43*12-416220.01)*0.15)/12),IF((M43*12&lt;=867123.01),(31216+0.2*(M43*12-624329.01))/12,((79776+0.25*(M43*12-867123.01))/12))))-O43</f>
        <v>6761.387291666666</v>
      </c>
      <c r="O43" s="8">
        <v>639.54999999999995</v>
      </c>
      <c r="P43" s="107">
        <v>25</v>
      </c>
      <c r="Q43" s="8">
        <f>+P43+N43+L43</f>
        <v>11514.387291666666</v>
      </c>
      <c r="R43" s="107">
        <f>+H43-Q43</f>
        <v>68485.612708333327</v>
      </c>
    </row>
    <row r="44" spans="1:19" s="6" customFormat="1" ht="24.95" customHeight="1" x14ac:dyDescent="0.2">
      <c r="A44" s="272" t="s">
        <v>126</v>
      </c>
      <c r="B44" s="273"/>
      <c r="C44" s="249"/>
      <c r="D44" s="249"/>
      <c r="E44" s="249"/>
      <c r="F44" s="249"/>
      <c r="G44" s="249"/>
      <c r="H44" s="16">
        <f>SUM(H43)</f>
        <v>80000</v>
      </c>
      <c r="I44" s="16">
        <f t="shared" ref="I44:R44" si="19">SUM(I43)</f>
        <v>2296</v>
      </c>
      <c r="J44" s="16">
        <f t="shared" si="19"/>
        <v>2432</v>
      </c>
      <c r="K44" s="16">
        <f t="shared" si="19"/>
        <v>0</v>
      </c>
      <c r="L44" s="16">
        <f t="shared" si="19"/>
        <v>4728</v>
      </c>
      <c r="M44" s="16">
        <f t="shared" si="19"/>
        <v>75272</v>
      </c>
      <c r="N44" s="16">
        <f t="shared" si="19"/>
        <v>6761.387291666666</v>
      </c>
      <c r="O44" s="16">
        <f t="shared" si="19"/>
        <v>639.54999999999995</v>
      </c>
      <c r="P44" s="16">
        <f t="shared" si="19"/>
        <v>25</v>
      </c>
      <c r="Q44" s="16">
        <f t="shared" si="19"/>
        <v>11514.387291666666</v>
      </c>
      <c r="R44" s="16">
        <f t="shared" si="19"/>
        <v>68485.612708333327</v>
      </c>
      <c r="S44" s="80"/>
    </row>
    <row r="45" spans="1:19" s="6" customFormat="1" ht="18.75" customHeight="1" thickBot="1" x14ac:dyDescent="0.25">
      <c r="A45" s="64"/>
      <c r="B45" s="64"/>
      <c r="C45" s="64"/>
      <c r="D45" s="64"/>
      <c r="E45" s="64"/>
      <c r="F45" s="64"/>
      <c r="G45" s="64"/>
      <c r="S45" s="80"/>
    </row>
    <row r="46" spans="1:19" s="2" customFormat="1" ht="24.95" customHeight="1" thickBot="1" x14ac:dyDescent="0.25">
      <c r="A46" s="247" t="s">
        <v>156</v>
      </c>
      <c r="B46" s="248"/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248"/>
      <c r="N46" s="248"/>
      <c r="O46" s="248"/>
      <c r="P46" s="248"/>
      <c r="Q46" s="248"/>
      <c r="R46" s="248"/>
      <c r="S46" s="70"/>
    </row>
    <row r="47" spans="1:19" s="80" customFormat="1" ht="30.75" customHeight="1" x14ac:dyDescent="0.2">
      <c r="A47" s="104">
        <f>+A43+1</f>
        <v>18</v>
      </c>
      <c r="B47" s="143" t="s">
        <v>219</v>
      </c>
      <c r="C47" s="12" t="s">
        <v>430</v>
      </c>
      <c r="D47" s="125" t="s">
        <v>148</v>
      </c>
      <c r="E47" s="125" t="s">
        <v>217</v>
      </c>
      <c r="F47" s="127" t="s">
        <v>548</v>
      </c>
      <c r="G47" s="127" t="s">
        <v>651</v>
      </c>
      <c r="H47" s="8">
        <v>70000</v>
      </c>
      <c r="I47" s="108">
        <f>H47*2.87%</f>
        <v>2009</v>
      </c>
      <c r="J47" s="108">
        <f>+H47*3.04%</f>
        <v>2128</v>
      </c>
      <c r="K47" s="108"/>
      <c r="L47" s="8">
        <f t="shared" si="0"/>
        <v>4137</v>
      </c>
      <c r="M47" s="8">
        <f t="shared" si="1"/>
        <v>65863</v>
      </c>
      <c r="N47" s="8">
        <f>+IF(M47*12&lt;=416220.01,0,IF(M47*12&lt;=624329.01,(((M47*12-416220.01)*0.15)/12),IF((M47*12&lt;=867123.01),(31216+0.2*(M47*12-624329.01))/12,((79776+0.25*(M47*12-867123.01))/12))))</f>
        <v>5368.4498333333331</v>
      </c>
      <c r="O47" s="8"/>
      <c r="P47" s="107">
        <v>1125</v>
      </c>
      <c r="Q47" s="8">
        <f>+P47+N47+L47</f>
        <v>10630.449833333332</v>
      </c>
      <c r="R47" s="107">
        <f>+H47-Q47</f>
        <v>59369.550166666668</v>
      </c>
    </row>
    <row r="48" spans="1:19" s="80" customFormat="1" ht="27" customHeight="1" x14ac:dyDescent="0.2">
      <c r="A48" s="104">
        <f>+A47+1</f>
        <v>19</v>
      </c>
      <c r="B48" s="127" t="s">
        <v>444</v>
      </c>
      <c r="C48" s="129" t="s">
        <v>430</v>
      </c>
      <c r="D48" s="128" t="s">
        <v>148</v>
      </c>
      <c r="E48" s="128" t="s">
        <v>217</v>
      </c>
      <c r="F48" s="26" t="s">
        <v>575</v>
      </c>
      <c r="G48" s="26" t="s">
        <v>649</v>
      </c>
      <c r="H48" s="8">
        <v>70000</v>
      </c>
      <c r="I48" s="108">
        <f>H48*2.87%</f>
        <v>2009</v>
      </c>
      <c r="J48" s="108">
        <f>+H48*3.04%</f>
        <v>2128</v>
      </c>
      <c r="K48" s="108"/>
      <c r="L48" s="8">
        <f t="shared" si="0"/>
        <v>4137</v>
      </c>
      <c r="M48" s="8">
        <f t="shared" si="1"/>
        <v>65863</v>
      </c>
      <c r="N48" s="8">
        <f>+IF(M48*12&lt;=416220.01,0,IF(M48*12&lt;=624329.01,(((M48*12-416220.01)*0.15)/12),IF((M48*12&lt;=867123.01),(31216+0.2*(M48*12-624329.01))/12,((79776+0.25*(M48*12-867123.01))/12))))-O48</f>
        <v>-1.6666666670062114E-4</v>
      </c>
      <c r="O48" s="8">
        <v>5368.45</v>
      </c>
      <c r="P48" s="107">
        <v>25</v>
      </c>
      <c r="Q48" s="8">
        <f>+P48+N48+L48</f>
        <v>4161.9998333333333</v>
      </c>
      <c r="R48" s="107">
        <f>+H48-Q48</f>
        <v>65838.000166666665</v>
      </c>
    </row>
    <row r="49" spans="1:19" s="6" customFormat="1" ht="24.75" customHeight="1" x14ac:dyDescent="0.2">
      <c r="A49" s="272" t="s">
        <v>126</v>
      </c>
      <c r="B49" s="273"/>
      <c r="C49" s="249"/>
      <c r="D49" s="249"/>
      <c r="E49" s="249"/>
      <c r="F49" s="249"/>
      <c r="G49" s="249"/>
      <c r="H49" s="16">
        <f t="shared" ref="H49:R49" si="20">SUM(H47:H48)</f>
        <v>140000</v>
      </c>
      <c r="I49" s="16">
        <f t="shared" si="20"/>
        <v>4018</v>
      </c>
      <c r="J49" s="16">
        <f t="shared" si="20"/>
        <v>4256</v>
      </c>
      <c r="K49" s="16">
        <f t="shared" si="20"/>
        <v>0</v>
      </c>
      <c r="L49" s="16">
        <f t="shared" si="20"/>
        <v>8274</v>
      </c>
      <c r="M49" s="16">
        <f t="shared" si="20"/>
        <v>131726</v>
      </c>
      <c r="N49" s="16">
        <f t="shared" si="20"/>
        <v>5368.4496666666664</v>
      </c>
      <c r="O49" s="16">
        <f t="shared" si="20"/>
        <v>5368.45</v>
      </c>
      <c r="P49" s="16">
        <f t="shared" si="20"/>
        <v>1150</v>
      </c>
      <c r="Q49" s="16">
        <f t="shared" si="20"/>
        <v>14792.449666666666</v>
      </c>
      <c r="R49" s="16">
        <f t="shared" si="20"/>
        <v>125207.55033333333</v>
      </c>
      <c r="S49" s="80"/>
    </row>
    <row r="50" spans="1:19" s="6" customFormat="1" ht="14.25" customHeight="1" x14ac:dyDescent="0.2">
      <c r="A50" s="64"/>
      <c r="B50" s="64"/>
      <c r="C50" s="64"/>
      <c r="D50" s="64"/>
      <c r="E50" s="64"/>
      <c r="F50" s="64"/>
      <c r="G50" s="64"/>
      <c r="S50" s="80"/>
    </row>
    <row r="51" spans="1:19" s="6" customFormat="1" ht="16.5" customHeight="1" thickBot="1" x14ac:dyDescent="0.25">
      <c r="A51" s="64"/>
      <c r="B51" s="64"/>
      <c r="C51" s="64"/>
      <c r="D51" s="64"/>
      <c r="E51" s="64"/>
      <c r="F51" s="64"/>
      <c r="G51" s="64"/>
      <c r="S51" s="80"/>
    </row>
    <row r="52" spans="1:19" s="6" customFormat="1" ht="23.25" customHeight="1" thickBot="1" x14ac:dyDescent="0.25">
      <c r="A52" s="255" t="s">
        <v>159</v>
      </c>
      <c r="B52" s="256"/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80"/>
    </row>
    <row r="53" spans="1:19" s="6" customFormat="1" ht="28.5" customHeight="1" x14ac:dyDescent="0.2">
      <c r="A53" s="12">
        <f>+A48+1</f>
        <v>20</v>
      </c>
      <c r="B53" s="5" t="s">
        <v>471</v>
      </c>
      <c r="C53" s="156" t="s">
        <v>429</v>
      </c>
      <c r="D53" s="125" t="s">
        <v>148</v>
      </c>
      <c r="E53" s="125" t="s">
        <v>217</v>
      </c>
      <c r="F53" s="26" t="s">
        <v>610</v>
      </c>
      <c r="G53" s="26" t="s">
        <v>611</v>
      </c>
      <c r="H53" s="9">
        <v>70000</v>
      </c>
      <c r="I53" s="8">
        <f>H53*2.87%</f>
        <v>2009</v>
      </c>
      <c r="J53" s="8">
        <f>+H53*3.04%</f>
        <v>2128</v>
      </c>
      <c r="K53" s="8"/>
      <c r="L53" s="8">
        <f t="shared" si="0"/>
        <v>4137</v>
      </c>
      <c r="M53" s="8">
        <f t="shared" si="1"/>
        <v>65863</v>
      </c>
      <c r="N53" s="8">
        <f>+IF(M54*12&lt;=416220.01,0,IF(M53*12&lt;=624329.01,(((M53*12-416220.01)*0.15)/12),IF((M53*12&lt;=867123.01),(31216+0.2*(M53*12-624329.01))/12,((79776+0.25*(M53*12-867123.01))/12))))-O53</f>
        <v>-1.6666666670062114E-4</v>
      </c>
      <c r="O53" s="8">
        <v>5368.45</v>
      </c>
      <c r="P53" s="9">
        <v>3668.07</v>
      </c>
      <c r="Q53" s="8">
        <f>+P53+N53+L53</f>
        <v>7805.069833333333</v>
      </c>
      <c r="R53" s="9">
        <f>+H53-Q53</f>
        <v>62194.930166666665</v>
      </c>
      <c r="S53" s="80"/>
    </row>
    <row r="54" spans="1:19" s="6" customFormat="1" ht="23.25" customHeight="1" x14ac:dyDescent="0.2">
      <c r="A54" s="272" t="s">
        <v>126</v>
      </c>
      <c r="B54" s="273"/>
      <c r="C54" s="249"/>
      <c r="D54" s="249"/>
      <c r="E54" s="249"/>
      <c r="F54" s="249"/>
      <c r="G54" s="249"/>
      <c r="H54" s="16">
        <f>SUM(H53)</f>
        <v>70000</v>
      </c>
      <c r="I54" s="16">
        <f t="shared" ref="I54:R54" si="21">SUM(I53)</f>
        <v>2009</v>
      </c>
      <c r="J54" s="16">
        <f t="shared" si="21"/>
        <v>2128</v>
      </c>
      <c r="K54" s="16">
        <f t="shared" si="21"/>
        <v>0</v>
      </c>
      <c r="L54" s="16">
        <f t="shared" si="21"/>
        <v>4137</v>
      </c>
      <c r="M54" s="16">
        <f t="shared" si="21"/>
        <v>65863</v>
      </c>
      <c r="N54" s="16">
        <f t="shared" si="21"/>
        <v>-1.6666666670062114E-4</v>
      </c>
      <c r="O54" s="16">
        <f t="shared" si="21"/>
        <v>5368.45</v>
      </c>
      <c r="P54" s="16">
        <f t="shared" si="21"/>
        <v>3668.07</v>
      </c>
      <c r="Q54" s="16">
        <f t="shared" si="21"/>
        <v>7805.069833333333</v>
      </c>
      <c r="R54" s="16">
        <f t="shared" si="21"/>
        <v>62194.930166666665</v>
      </c>
      <c r="S54" s="80"/>
    </row>
    <row r="55" spans="1:19" s="6" customFormat="1" ht="23.25" customHeight="1" thickBot="1" x14ac:dyDescent="0.25">
      <c r="A55" s="64"/>
      <c r="B55" s="64"/>
      <c r="C55" s="64"/>
      <c r="D55" s="64"/>
      <c r="E55" s="64"/>
      <c r="F55" s="64"/>
      <c r="G55" s="64"/>
      <c r="J55" s="80"/>
      <c r="K55" s="80"/>
      <c r="L55" s="80"/>
      <c r="M55" s="80"/>
      <c r="N55" s="80"/>
      <c r="O55" s="80"/>
      <c r="P55" s="80"/>
      <c r="Q55" s="80"/>
      <c r="R55" s="80"/>
      <c r="S55" s="80"/>
    </row>
    <row r="56" spans="1:19" s="6" customFormat="1" ht="23.25" customHeight="1" thickBot="1" x14ac:dyDescent="0.25">
      <c r="A56" s="255" t="s">
        <v>513</v>
      </c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80"/>
    </row>
    <row r="57" spans="1:19" s="6" customFormat="1" ht="29.25" customHeight="1" x14ac:dyDescent="0.2">
      <c r="A57" s="12">
        <f>+A53+1</f>
        <v>21</v>
      </c>
      <c r="B57" s="5" t="s">
        <v>512</v>
      </c>
      <c r="C57" s="156" t="s">
        <v>430</v>
      </c>
      <c r="D57" s="125" t="s">
        <v>148</v>
      </c>
      <c r="E57" s="125" t="s">
        <v>217</v>
      </c>
      <c r="F57" s="26" t="s">
        <v>577</v>
      </c>
      <c r="G57" s="26" t="s">
        <v>655</v>
      </c>
      <c r="H57" s="9">
        <v>70000</v>
      </c>
      <c r="I57" s="8">
        <f>H57*2.87%</f>
        <v>2009</v>
      </c>
      <c r="J57" s="8">
        <f>+H57*3.04%</f>
        <v>2128</v>
      </c>
      <c r="K57" s="8"/>
      <c r="L57" s="8">
        <f t="shared" si="0"/>
        <v>4137</v>
      </c>
      <c r="M57" s="8">
        <f t="shared" si="1"/>
        <v>65863</v>
      </c>
      <c r="N57" s="8">
        <f>+IF(M57*12&lt;=416220.01,0,IF(M57*12&lt;=624329.01,(((M57*12-416220.01)*0.15)/12),IF((M57*12&lt;=867123.01),(31216+0.2*(M57*12-624329.01))/12,((79776+0.25*(M57*12-867123.01))/12))))-O57</f>
        <v>-1.6666666670062114E-4</v>
      </c>
      <c r="O57" s="8">
        <v>5368.45</v>
      </c>
      <c r="P57" s="9">
        <f>2500+25</f>
        <v>2525</v>
      </c>
      <c r="Q57" s="8">
        <f>+P57+N57+L57</f>
        <v>6661.9998333333333</v>
      </c>
      <c r="R57" s="9">
        <f>+H57-Q57</f>
        <v>63338.000166666665</v>
      </c>
      <c r="S57" s="80"/>
    </row>
    <row r="58" spans="1:19" s="6" customFormat="1" ht="23.25" customHeight="1" x14ac:dyDescent="0.2">
      <c r="A58" s="272" t="s">
        <v>126</v>
      </c>
      <c r="B58" s="273"/>
      <c r="C58" s="249"/>
      <c r="D58" s="249"/>
      <c r="E58" s="249"/>
      <c r="F58" s="249"/>
      <c r="G58" s="249"/>
      <c r="H58" s="16">
        <f>SUM(H57)</f>
        <v>70000</v>
      </c>
      <c r="I58" s="16">
        <f t="shared" ref="I58:R58" si="22">SUM(I57)</f>
        <v>2009</v>
      </c>
      <c r="J58" s="16">
        <f t="shared" si="22"/>
        <v>2128</v>
      </c>
      <c r="K58" s="16">
        <f t="shared" si="22"/>
        <v>0</v>
      </c>
      <c r="L58" s="16">
        <f t="shared" si="22"/>
        <v>4137</v>
      </c>
      <c r="M58" s="16">
        <f t="shared" si="22"/>
        <v>65863</v>
      </c>
      <c r="N58" s="16">
        <f t="shared" si="22"/>
        <v>-1.6666666670062114E-4</v>
      </c>
      <c r="O58" s="16">
        <f t="shared" si="22"/>
        <v>5368.45</v>
      </c>
      <c r="P58" s="16">
        <f t="shared" si="22"/>
        <v>2525</v>
      </c>
      <c r="Q58" s="16">
        <f t="shared" si="22"/>
        <v>6661.9998333333333</v>
      </c>
      <c r="R58" s="16">
        <f t="shared" si="22"/>
        <v>63338.000166666665</v>
      </c>
      <c r="S58" s="80"/>
    </row>
    <row r="59" spans="1:19" s="6" customFormat="1" ht="23.25" customHeight="1" x14ac:dyDescent="0.2">
      <c r="A59" s="64"/>
      <c r="B59" s="64"/>
      <c r="C59" s="64"/>
      <c r="D59" s="64"/>
      <c r="E59" s="64"/>
      <c r="F59" s="64"/>
      <c r="G59" s="64"/>
      <c r="S59" s="80"/>
    </row>
    <row r="60" spans="1:19" s="2" customFormat="1" ht="12" customHeight="1" thickBot="1" x14ac:dyDescent="0.25">
      <c r="A60" s="64"/>
      <c r="B60" s="64"/>
      <c r="C60" s="64"/>
      <c r="D60" s="64"/>
      <c r="E60" s="64"/>
      <c r="F60" s="64"/>
      <c r="G60" s="64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80"/>
    </row>
    <row r="61" spans="1:19" s="70" customFormat="1" ht="27" customHeight="1" thickBot="1" x14ac:dyDescent="0.25">
      <c r="A61" s="255" t="s">
        <v>197</v>
      </c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</row>
    <row r="62" spans="1:19" s="70" customFormat="1" ht="39" customHeight="1" x14ac:dyDescent="0.2">
      <c r="A62" s="104">
        <f>A57+1</f>
        <v>22</v>
      </c>
      <c r="B62" s="5" t="s">
        <v>384</v>
      </c>
      <c r="C62" s="156" t="s">
        <v>430</v>
      </c>
      <c r="D62" s="125" t="s">
        <v>148</v>
      </c>
      <c r="E62" s="125" t="s">
        <v>217</v>
      </c>
      <c r="F62" s="26" t="s">
        <v>562</v>
      </c>
      <c r="G62" s="26" t="s">
        <v>654</v>
      </c>
      <c r="H62" s="9">
        <v>80000</v>
      </c>
      <c r="I62" s="108">
        <f>H62*2.87%</f>
        <v>2296</v>
      </c>
      <c r="J62" s="108">
        <f>+H62*3.04%</f>
        <v>2432</v>
      </c>
      <c r="K62" s="108"/>
      <c r="L62" s="8">
        <f t="shared" si="0"/>
        <v>4728</v>
      </c>
      <c r="M62" s="8">
        <f t="shared" si="1"/>
        <v>75272</v>
      </c>
      <c r="N62" s="8">
        <f>+IF(M62*12&lt;=416220.01,0,IF(M62*12&lt;=624329.01,(((M62*12-416220.01)*0.15)/12),IF((M62*12&lt;=867123.01),(31216+0.2*(M62*12-624329.01))/12,((79776+0.25*(M62*12-867123.01))/12))))-O62</f>
        <v>1473.0372916666665</v>
      </c>
      <c r="O62" s="8">
        <v>5927.9</v>
      </c>
      <c r="P62" s="107">
        <f>25+9460.27</f>
        <v>9485.27</v>
      </c>
      <c r="Q62" s="8">
        <f>+P62+N62+L62</f>
        <v>15686.307291666668</v>
      </c>
      <c r="R62" s="107">
        <f>+H62-Q62</f>
        <v>64313.692708333328</v>
      </c>
    </row>
    <row r="63" spans="1:19" s="70" customFormat="1" ht="39" customHeight="1" x14ac:dyDescent="0.2">
      <c r="A63" s="104">
        <f>+A62+1</f>
        <v>23</v>
      </c>
      <c r="B63" s="5" t="s">
        <v>385</v>
      </c>
      <c r="C63" s="156" t="s">
        <v>430</v>
      </c>
      <c r="D63" s="125" t="s">
        <v>148</v>
      </c>
      <c r="E63" s="125" t="s">
        <v>217</v>
      </c>
      <c r="F63" s="130" t="s">
        <v>594</v>
      </c>
      <c r="G63" s="130" t="s">
        <v>657</v>
      </c>
      <c r="H63" s="9">
        <v>70000</v>
      </c>
      <c r="I63" s="108">
        <f>H63*2.87%</f>
        <v>2009</v>
      </c>
      <c r="J63" s="108">
        <f>+H63*3.04%</f>
        <v>2128</v>
      </c>
      <c r="K63" s="108"/>
      <c r="L63" s="8">
        <f t="shared" si="0"/>
        <v>4137</v>
      </c>
      <c r="M63" s="8">
        <f t="shared" si="1"/>
        <v>65863</v>
      </c>
      <c r="N63" s="8">
        <f>+IF(M63*12&lt;=416220.01,0,IF(M63*12&lt;=624329.01,(((M63*12-416220.01)*0.15)/12),IF((M63*12&lt;=867123.01),(31216+0.2*(M63*12-624329.01))/12,((79776+0.25*(M63*12-867123.01))/12))))-O63</f>
        <v>1549.6798333333331</v>
      </c>
      <c r="O63" s="8">
        <v>3818.77</v>
      </c>
      <c r="P63" s="107">
        <v>6336.33</v>
      </c>
      <c r="Q63" s="8">
        <f>+P63+N63+L63</f>
        <v>12023.009833333334</v>
      </c>
      <c r="R63" s="107">
        <f>+H63-Q63</f>
        <v>57976.99016666667</v>
      </c>
    </row>
    <row r="64" spans="1:19" s="2" customFormat="1" ht="23.25" customHeight="1" x14ac:dyDescent="0.2">
      <c r="A64" s="272" t="s">
        <v>126</v>
      </c>
      <c r="B64" s="273"/>
      <c r="C64" s="249"/>
      <c r="D64" s="249"/>
      <c r="E64" s="249"/>
      <c r="F64" s="249"/>
      <c r="G64" s="249"/>
      <c r="H64" s="16">
        <f t="shared" ref="H64:R64" si="23">SUM(H62:H63)</f>
        <v>150000</v>
      </c>
      <c r="I64" s="16">
        <f t="shared" si="23"/>
        <v>4305</v>
      </c>
      <c r="J64" s="16">
        <f t="shared" si="23"/>
        <v>4560</v>
      </c>
      <c r="K64" s="16">
        <f t="shared" si="23"/>
        <v>0</v>
      </c>
      <c r="L64" s="16">
        <f t="shared" si="23"/>
        <v>8865</v>
      </c>
      <c r="M64" s="16">
        <f t="shared" si="23"/>
        <v>141135</v>
      </c>
      <c r="N64" s="16">
        <f t="shared" si="23"/>
        <v>3022.7171249999997</v>
      </c>
      <c r="O64" s="16">
        <f t="shared" si="23"/>
        <v>9746.67</v>
      </c>
      <c r="P64" s="16">
        <f t="shared" si="23"/>
        <v>15821.6</v>
      </c>
      <c r="Q64" s="16">
        <f t="shared" si="23"/>
        <v>27709.317125000001</v>
      </c>
      <c r="R64" s="16">
        <f t="shared" si="23"/>
        <v>122290.682875</v>
      </c>
      <c r="S64" s="70"/>
    </row>
    <row r="65" spans="1:19" s="6" customFormat="1" ht="24.75" customHeight="1" thickBot="1" x14ac:dyDescent="0.25">
      <c r="A65" s="64"/>
      <c r="B65" s="64"/>
      <c r="C65" s="64"/>
      <c r="D65" s="64"/>
      <c r="E65" s="64"/>
      <c r="F65" s="64"/>
      <c r="G65" s="64"/>
      <c r="S65" s="80"/>
    </row>
    <row r="66" spans="1:19" s="80" customFormat="1" ht="30" customHeight="1" thickBot="1" x14ac:dyDescent="0.25">
      <c r="A66" s="255" t="s">
        <v>162</v>
      </c>
      <c r="B66" s="256"/>
      <c r="C66" s="256"/>
      <c r="D66" s="256"/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</row>
    <row r="67" spans="1:19" s="80" customFormat="1" ht="38.25" x14ac:dyDescent="0.2">
      <c r="A67" s="104">
        <f>A63+1</f>
        <v>24</v>
      </c>
      <c r="B67" s="5" t="s">
        <v>152</v>
      </c>
      <c r="C67" s="156" t="s">
        <v>429</v>
      </c>
      <c r="D67" s="125" t="s">
        <v>570</v>
      </c>
      <c r="E67" s="125" t="s">
        <v>217</v>
      </c>
      <c r="F67" s="26" t="s">
        <v>610</v>
      </c>
      <c r="G67" s="26" t="s">
        <v>611</v>
      </c>
      <c r="H67" s="9">
        <v>155000</v>
      </c>
      <c r="I67" s="108">
        <f>H67*2.87%</f>
        <v>4448.5</v>
      </c>
      <c r="J67" s="108">
        <f>+H67*3.04%</f>
        <v>4712</v>
      </c>
      <c r="K67" s="108"/>
      <c r="L67" s="8">
        <f t="shared" si="0"/>
        <v>9160.5</v>
      </c>
      <c r="M67" s="8">
        <f t="shared" si="1"/>
        <v>145839.5</v>
      </c>
      <c r="N67" s="8">
        <f>+IF(M67*12&lt;=416220.01,0,IF(M67*12&lt;=624329.01,(((M67*12-416220.01)*0.15)/12),IF((M67*12&lt;=867123.01),(31216+0.2*(M67*12-624329.01))/12,((79776+0.25*(M67*12-867123.01))/12))))-O67</f>
        <v>25042.812291666665</v>
      </c>
      <c r="O67" s="8">
        <v>0</v>
      </c>
      <c r="P67" s="107">
        <v>25</v>
      </c>
      <c r="Q67" s="8">
        <f>+P67+N67+L67</f>
        <v>34228.312291666662</v>
      </c>
      <c r="R67" s="107">
        <f>+H67-Q67</f>
        <v>120771.68770833334</v>
      </c>
    </row>
    <row r="68" spans="1:19" s="6" customFormat="1" ht="31.5" customHeight="1" x14ac:dyDescent="0.2">
      <c r="A68" s="12">
        <f>A67+1</f>
        <v>25</v>
      </c>
      <c r="B68" s="5" t="s">
        <v>386</v>
      </c>
      <c r="C68" s="156" t="s">
        <v>429</v>
      </c>
      <c r="D68" s="125" t="s">
        <v>148</v>
      </c>
      <c r="E68" s="125" t="s">
        <v>217</v>
      </c>
      <c r="F68" s="130" t="s">
        <v>575</v>
      </c>
      <c r="G68" s="130" t="s">
        <v>649</v>
      </c>
      <c r="H68" s="9">
        <v>70000</v>
      </c>
      <c r="I68" s="108">
        <f>H68*2.87%</f>
        <v>2009</v>
      </c>
      <c r="J68" s="108">
        <f>+H68*3.04%</f>
        <v>2128</v>
      </c>
      <c r="K68" s="108"/>
      <c r="L68" s="8">
        <f t="shared" si="0"/>
        <v>4137</v>
      </c>
      <c r="M68" s="8">
        <f t="shared" si="1"/>
        <v>65863</v>
      </c>
      <c r="N68" s="8">
        <f>+IF(M68*12&lt;=416220.01,0,IF(M68*12&lt;=624329.01,(((M68*12-416220.01)*0.15)/12),IF((M68*12&lt;=867123.01),(31216+0.2*(M68*12-624329.01))/12,((79776+0.25*(M68*12-867123.01))/12))))-O68</f>
        <v>1869.4398333333329</v>
      </c>
      <c r="O68" s="8">
        <v>3499.01</v>
      </c>
      <c r="P68" s="107">
        <v>6043.99</v>
      </c>
      <c r="Q68" s="8">
        <f>+P68+N68+L68</f>
        <v>12050.429833333332</v>
      </c>
      <c r="R68" s="107">
        <f>+H68-Q68</f>
        <v>57949.570166666672</v>
      </c>
      <c r="S68" s="80"/>
    </row>
    <row r="69" spans="1:19" s="6" customFormat="1" ht="29.25" customHeight="1" x14ac:dyDescent="0.2">
      <c r="A69" s="12">
        <f>+A68+1</f>
        <v>26</v>
      </c>
      <c r="B69" s="5" t="s">
        <v>514</v>
      </c>
      <c r="C69" s="156" t="s">
        <v>430</v>
      </c>
      <c r="D69" s="125" t="s">
        <v>148</v>
      </c>
      <c r="E69" s="125" t="s">
        <v>217</v>
      </c>
      <c r="F69" s="130" t="s">
        <v>577</v>
      </c>
      <c r="G69" s="130" t="s">
        <v>655</v>
      </c>
      <c r="H69" s="9">
        <v>70000</v>
      </c>
      <c r="I69" s="108">
        <f>H69*2.87%</f>
        <v>2009</v>
      </c>
      <c r="J69" s="108">
        <f>+H69*3.04%</f>
        <v>2128</v>
      </c>
      <c r="K69" s="108"/>
      <c r="L69" s="8">
        <f t="shared" si="0"/>
        <v>4137</v>
      </c>
      <c r="M69" s="8">
        <f t="shared" si="1"/>
        <v>65863</v>
      </c>
      <c r="N69" s="8">
        <f>+IF(M69*12&lt;=416220.01,0,IF(M69*12&lt;=624329.01,(((M69*12-416220.01)*0.15)/12),IF((M69*12&lt;=867123.01),(31216+0.2*(M69*12-624329.01))/12,((79776+0.25*(M69*12-867123.01))/12))))-O69</f>
        <v>-1.6666666670062114E-4</v>
      </c>
      <c r="O69" s="8">
        <v>5368.45</v>
      </c>
      <c r="P69" s="107">
        <v>1925</v>
      </c>
      <c r="Q69" s="8">
        <f>+P69+N69+L69</f>
        <v>6061.9998333333333</v>
      </c>
      <c r="R69" s="107">
        <f>+H69-Q69</f>
        <v>63938.000166666665</v>
      </c>
      <c r="S69" s="80"/>
    </row>
    <row r="70" spans="1:19" s="6" customFormat="1" ht="23.25" customHeight="1" x14ac:dyDescent="0.2">
      <c r="A70" s="272" t="s">
        <v>126</v>
      </c>
      <c r="B70" s="273"/>
      <c r="C70" s="249"/>
      <c r="D70" s="249"/>
      <c r="E70" s="249"/>
      <c r="F70" s="249"/>
      <c r="G70" s="249"/>
      <c r="H70" s="16">
        <f t="shared" ref="H70:R70" si="24">SUM(H67:H69)</f>
        <v>295000</v>
      </c>
      <c r="I70" s="16">
        <f t="shared" si="24"/>
        <v>8466.5</v>
      </c>
      <c r="J70" s="16">
        <f t="shared" si="24"/>
        <v>8968</v>
      </c>
      <c r="K70" s="16">
        <f t="shared" si="24"/>
        <v>0</v>
      </c>
      <c r="L70" s="16">
        <f t="shared" si="24"/>
        <v>17434.5</v>
      </c>
      <c r="M70" s="16">
        <f t="shared" si="24"/>
        <v>277565.5</v>
      </c>
      <c r="N70" s="16">
        <f t="shared" si="24"/>
        <v>26912.251958333334</v>
      </c>
      <c r="O70" s="16">
        <f t="shared" si="24"/>
        <v>8867.4599999999991</v>
      </c>
      <c r="P70" s="16">
        <f t="shared" si="24"/>
        <v>7993.99</v>
      </c>
      <c r="Q70" s="16">
        <f t="shared" si="24"/>
        <v>52340.741958333325</v>
      </c>
      <c r="R70" s="16">
        <f t="shared" si="24"/>
        <v>242659.25804166668</v>
      </c>
      <c r="S70" s="80"/>
    </row>
    <row r="71" spans="1:19" s="6" customFormat="1" ht="24.75" customHeight="1" thickBot="1" x14ac:dyDescent="0.25">
      <c r="A71" s="64"/>
      <c r="B71" s="64"/>
      <c r="C71" s="64"/>
      <c r="D71" s="64"/>
      <c r="E71" s="64"/>
      <c r="F71" s="64"/>
      <c r="G71" s="64"/>
      <c r="S71" s="80"/>
    </row>
    <row r="72" spans="1:19" s="80" customFormat="1" ht="30" customHeight="1" thickBot="1" x14ac:dyDescent="0.25">
      <c r="A72" s="255"/>
      <c r="B72" s="256"/>
      <c r="C72" s="256"/>
      <c r="D72" s="256"/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</row>
    <row r="73" spans="1:19" s="80" customFormat="1" ht="30" customHeight="1" thickBot="1" x14ac:dyDescent="0.25">
      <c r="A73" s="255" t="s">
        <v>609</v>
      </c>
      <c r="B73" s="256"/>
      <c r="C73" s="256"/>
      <c r="D73" s="256"/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</row>
    <row r="74" spans="1:19" s="2" customFormat="1" ht="24.95" customHeight="1" x14ac:dyDescent="0.2">
      <c r="A74" s="104">
        <f>+A69+1</f>
        <v>27</v>
      </c>
      <c r="B74" s="61" t="s">
        <v>408</v>
      </c>
      <c r="C74" s="156" t="s">
        <v>429</v>
      </c>
      <c r="D74" s="126" t="s">
        <v>148</v>
      </c>
      <c r="E74" s="125" t="s">
        <v>217</v>
      </c>
      <c r="F74" s="130" t="s">
        <v>550</v>
      </c>
      <c r="G74" s="128" t="s">
        <v>645</v>
      </c>
      <c r="H74" s="108">
        <v>70000</v>
      </c>
      <c r="I74" s="108">
        <f>H74*2.87%</f>
        <v>2009</v>
      </c>
      <c r="J74" s="108">
        <f>+H74*3.04%</f>
        <v>2128</v>
      </c>
      <c r="K74" s="108"/>
      <c r="L74" s="8">
        <f t="shared" ref="L74:L145" si="25">+J74+I74+K74</f>
        <v>4137</v>
      </c>
      <c r="M74" s="8">
        <f t="shared" ref="M74:M145" si="26">+H74-L74</f>
        <v>65863</v>
      </c>
      <c r="N74" s="8">
        <f>+IF(M74*12&lt;=416220.01,0,IF(M74*12&lt;=624329.01,(((M74*12-416220.01)*0.15)/12),IF((M74*12&lt;=867123.01),(31216+0.2*(M74*12-624329.01))/12,((79776+0.25*(M74*12-867123.01))/12))))-O74</f>
        <v>1869.4398333333329</v>
      </c>
      <c r="O74" s="8">
        <v>3499.01</v>
      </c>
      <c r="P74" s="107">
        <v>25</v>
      </c>
      <c r="Q74" s="8">
        <f>+P74+N74+L74</f>
        <v>6031.4398333333329</v>
      </c>
      <c r="R74" s="107">
        <f>+H74-Q74</f>
        <v>63968.56016666667</v>
      </c>
      <c r="S74" s="70"/>
    </row>
    <row r="75" spans="1:19" s="6" customFormat="1" ht="24.75" customHeight="1" x14ac:dyDescent="0.2">
      <c r="A75" s="272" t="s">
        <v>126</v>
      </c>
      <c r="B75" s="273"/>
      <c r="C75" s="249"/>
      <c r="D75" s="249"/>
      <c r="E75" s="249"/>
      <c r="F75" s="249"/>
      <c r="G75" s="249"/>
      <c r="H75" s="16">
        <v>70000</v>
      </c>
      <c r="I75" s="16">
        <f>H75*2.87%</f>
        <v>2009</v>
      </c>
      <c r="J75" s="16">
        <f>+H75*3.04%</f>
        <v>2128</v>
      </c>
      <c r="K75" s="16"/>
      <c r="L75" s="16">
        <f t="shared" si="25"/>
        <v>4137</v>
      </c>
      <c r="M75" s="16">
        <f t="shared" si="26"/>
        <v>65863</v>
      </c>
      <c r="N75" s="16">
        <f>+N74</f>
        <v>1869.4398333333329</v>
      </c>
      <c r="O75" s="16">
        <f t="shared" ref="O75:R75" si="27">+O74</f>
        <v>3499.01</v>
      </c>
      <c r="P75" s="16">
        <f t="shared" si="27"/>
        <v>25</v>
      </c>
      <c r="Q75" s="16">
        <f t="shared" si="27"/>
        <v>6031.4398333333329</v>
      </c>
      <c r="R75" s="16">
        <f t="shared" si="27"/>
        <v>63968.56016666667</v>
      </c>
      <c r="S75" s="80"/>
    </row>
    <row r="76" spans="1:19" s="6" customFormat="1" ht="23.25" customHeight="1" thickBot="1" x14ac:dyDescent="0.25">
      <c r="A76" s="64"/>
      <c r="B76" s="64"/>
      <c r="C76" s="64"/>
      <c r="D76" s="64"/>
      <c r="E76" s="64"/>
      <c r="G76" s="64"/>
      <c r="S76" s="80"/>
    </row>
    <row r="77" spans="1:19" s="6" customFormat="1" ht="28.5" customHeight="1" thickBot="1" x14ac:dyDescent="0.25">
      <c r="A77" s="255" t="s">
        <v>167</v>
      </c>
      <c r="B77" s="256"/>
      <c r="C77" s="256"/>
      <c r="D77" s="256"/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80"/>
    </row>
    <row r="78" spans="1:19" s="6" customFormat="1" ht="23.25" customHeight="1" x14ac:dyDescent="0.2">
      <c r="A78" s="12">
        <f>+A74+1</f>
        <v>28</v>
      </c>
      <c r="B78" s="5" t="s">
        <v>462</v>
      </c>
      <c r="C78" s="156" t="s">
        <v>429</v>
      </c>
      <c r="D78" s="125" t="s">
        <v>148</v>
      </c>
      <c r="E78" s="125" t="s">
        <v>217</v>
      </c>
      <c r="F78" s="26" t="s">
        <v>587</v>
      </c>
      <c r="G78" s="26" t="s">
        <v>658</v>
      </c>
      <c r="H78" s="9">
        <v>70000</v>
      </c>
      <c r="I78" s="8">
        <f>H78*2.87%</f>
        <v>2009</v>
      </c>
      <c r="J78" s="8">
        <f>+H78*3.04%</f>
        <v>2128</v>
      </c>
      <c r="K78" s="8"/>
      <c r="L78" s="8">
        <f t="shared" si="25"/>
        <v>4137</v>
      </c>
      <c r="M78" s="8">
        <f t="shared" si="26"/>
        <v>65863</v>
      </c>
      <c r="N78" s="8">
        <f>+IF(M78*12&lt;=416220.01,0,IF(M78*12&lt;=624329.01,(((M78*12-416220.01)*0.15)/12),IF((M78*12&lt;=867123.01),(31216+0.2*(M78*12-624329.01))/12,((79776+0.25*(M78*12-867123.01))/12))))</f>
        <v>5368.4498333333331</v>
      </c>
      <c r="O78" s="8"/>
      <c r="P78" s="9">
        <f>25+100</f>
        <v>125</v>
      </c>
      <c r="Q78" s="8">
        <f>+P78+N78+L78</f>
        <v>9630.4498333333322</v>
      </c>
      <c r="R78" s="9">
        <f>+H78-Q78</f>
        <v>60369.550166666668</v>
      </c>
      <c r="S78" s="80"/>
    </row>
    <row r="79" spans="1:19" s="6" customFormat="1" ht="26.25" customHeight="1" x14ac:dyDescent="0.2">
      <c r="A79" s="272" t="s">
        <v>126</v>
      </c>
      <c r="B79" s="273"/>
      <c r="C79" s="249"/>
      <c r="D79" s="249"/>
      <c r="E79" s="249"/>
      <c r="F79" s="249"/>
      <c r="G79" s="249"/>
      <c r="H79" s="16">
        <f>SUM(H78)</f>
        <v>70000</v>
      </c>
      <c r="I79" s="16">
        <f t="shared" ref="I79:R79" si="28">SUM(I78)</f>
        <v>2009</v>
      </c>
      <c r="J79" s="16">
        <f t="shared" si="28"/>
        <v>2128</v>
      </c>
      <c r="K79" s="16">
        <f t="shared" si="28"/>
        <v>0</v>
      </c>
      <c r="L79" s="16">
        <f t="shared" si="28"/>
        <v>4137</v>
      </c>
      <c r="M79" s="16">
        <f t="shared" si="28"/>
        <v>65863</v>
      </c>
      <c r="N79" s="16">
        <f t="shared" si="28"/>
        <v>5368.4498333333331</v>
      </c>
      <c r="O79" s="16"/>
      <c r="P79" s="16">
        <f t="shared" si="28"/>
        <v>125</v>
      </c>
      <c r="Q79" s="16">
        <f t="shared" si="28"/>
        <v>9630.4498333333322</v>
      </c>
      <c r="R79" s="16">
        <f t="shared" si="28"/>
        <v>60369.550166666668</v>
      </c>
      <c r="S79" s="80"/>
    </row>
    <row r="80" spans="1:19" s="6" customFormat="1" ht="24.75" customHeight="1" thickBot="1" x14ac:dyDescent="0.25">
      <c r="A80" s="64"/>
      <c r="B80" s="64"/>
      <c r="C80" s="64"/>
      <c r="D80" s="64"/>
      <c r="E80" s="64"/>
      <c r="F80" s="64"/>
      <c r="G80" s="64"/>
      <c r="S80" s="80"/>
    </row>
    <row r="81" spans="1:19" s="80" customFormat="1" ht="27" customHeight="1" thickBot="1" x14ac:dyDescent="0.25">
      <c r="A81" s="255" t="s">
        <v>168</v>
      </c>
      <c r="B81" s="256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</row>
    <row r="82" spans="1:19" s="80" customFormat="1" ht="24.95" customHeight="1" x14ac:dyDescent="0.2">
      <c r="A82" s="12">
        <f>+A78+1</f>
        <v>29</v>
      </c>
      <c r="B82" s="5" t="s">
        <v>445</v>
      </c>
      <c r="C82" s="156" t="s">
        <v>430</v>
      </c>
      <c r="D82" s="125" t="s">
        <v>148</v>
      </c>
      <c r="E82" s="125" t="s">
        <v>217</v>
      </c>
      <c r="F82" s="130" t="s">
        <v>575</v>
      </c>
      <c r="G82" s="130" t="s">
        <v>649</v>
      </c>
      <c r="H82" s="9">
        <v>70000</v>
      </c>
      <c r="I82" s="8">
        <f>H82*2.87%</f>
        <v>2009</v>
      </c>
      <c r="J82" s="8">
        <f>+H82*3.04%</f>
        <v>2128</v>
      </c>
      <c r="K82" s="8"/>
      <c r="L82" s="8">
        <f t="shared" si="25"/>
        <v>4137</v>
      </c>
      <c r="M82" s="8">
        <f t="shared" si="26"/>
        <v>65863</v>
      </c>
      <c r="N82" s="8">
        <f>+IF(M82*12&lt;=416220.01,0,IF(M82*12&lt;=624329.01,(((M82*12-416220.01)*0.15)/12),IF((M82*12&lt;=867123.01),(31216+0.2*(M82*12-624329.01))/12,((79776+0.25*(M82*12-867123.01))/12))))-O82</f>
        <v>-1.6666666670062114E-4</v>
      </c>
      <c r="O82" s="8">
        <v>5368.45</v>
      </c>
      <c r="P82" s="9">
        <v>3582.23</v>
      </c>
      <c r="Q82" s="8">
        <f>+P82+N82+L82</f>
        <v>7719.2298333333329</v>
      </c>
      <c r="R82" s="9">
        <f>+H82-Q82</f>
        <v>62280.770166666669</v>
      </c>
    </row>
    <row r="83" spans="1:19" s="6" customFormat="1" ht="24.75" customHeight="1" x14ac:dyDescent="0.2">
      <c r="A83" s="12">
        <f>+A82+1</f>
        <v>30</v>
      </c>
      <c r="B83" s="5" t="s">
        <v>461</v>
      </c>
      <c r="C83" s="156" t="s">
        <v>430</v>
      </c>
      <c r="D83" s="125" t="s">
        <v>148</v>
      </c>
      <c r="E83" s="125" t="s">
        <v>217</v>
      </c>
      <c r="F83" s="26" t="s">
        <v>587</v>
      </c>
      <c r="G83" s="26" t="s">
        <v>658</v>
      </c>
      <c r="H83" s="9">
        <v>70000</v>
      </c>
      <c r="I83" s="8">
        <f>H83*2.87%</f>
        <v>2009</v>
      </c>
      <c r="J83" s="8">
        <f>+H83*3.04%</f>
        <v>2128</v>
      </c>
      <c r="K83" s="8"/>
      <c r="L83" s="8">
        <f t="shared" si="25"/>
        <v>4137</v>
      </c>
      <c r="M83" s="8">
        <f t="shared" si="26"/>
        <v>65863</v>
      </c>
      <c r="N83" s="8">
        <f>+IF(M83*12&lt;=416220.01,0,IF(M83*12&lt;=624329.01,(((M83*12-416220.01)*0.15)/12),IF((M83*12&lt;=867123.01),(31216+0.2*(M83*12-624329.01))/12,((79776+0.25*(M83*12-867123.01))/12))))</f>
        <v>5368.4498333333331</v>
      </c>
      <c r="O83" s="8"/>
      <c r="P83" s="9">
        <v>25</v>
      </c>
      <c r="Q83" s="8">
        <f>+P83+N83+L83</f>
        <v>9530.4498333333322</v>
      </c>
      <c r="R83" s="9">
        <f>+H83-Q83</f>
        <v>60469.550166666668</v>
      </c>
      <c r="S83" s="80"/>
    </row>
    <row r="84" spans="1:19" customFormat="1" ht="21" customHeight="1" thickBot="1" x14ac:dyDescent="0.25">
      <c r="A84" s="274" t="s">
        <v>126</v>
      </c>
      <c r="B84" s="275"/>
      <c r="C84" s="249"/>
      <c r="D84" s="249"/>
      <c r="E84" s="249"/>
      <c r="F84" s="249"/>
      <c r="G84" s="249"/>
      <c r="H84" s="16">
        <f>SUM(H82:H83)</f>
        <v>140000</v>
      </c>
      <c r="I84" s="16">
        <f t="shared" ref="I84:R84" si="29">SUM(I82:I83)</f>
        <v>4018</v>
      </c>
      <c r="J84" s="16">
        <f t="shared" si="29"/>
        <v>4256</v>
      </c>
      <c r="K84" s="16">
        <f t="shared" si="29"/>
        <v>0</v>
      </c>
      <c r="L84" s="16">
        <f t="shared" si="29"/>
        <v>8274</v>
      </c>
      <c r="M84" s="16">
        <f t="shared" si="29"/>
        <v>131726</v>
      </c>
      <c r="N84" s="16">
        <f t="shared" si="29"/>
        <v>5368.4496666666664</v>
      </c>
      <c r="O84" s="16">
        <f t="shared" si="29"/>
        <v>5368.45</v>
      </c>
      <c r="P84" s="16">
        <f t="shared" si="29"/>
        <v>3607.23</v>
      </c>
      <c r="Q84" s="16">
        <f t="shared" si="29"/>
        <v>17249.679666666663</v>
      </c>
      <c r="R84" s="16">
        <f t="shared" si="29"/>
        <v>122750.32033333334</v>
      </c>
      <c r="S84" s="299"/>
    </row>
    <row r="85" spans="1:19" s="6" customFormat="1" ht="28.5" customHeight="1" thickBot="1" x14ac:dyDescent="0.25">
      <c r="A85" s="255" t="s">
        <v>167</v>
      </c>
      <c r="B85" s="256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80"/>
    </row>
    <row r="86" spans="1:19" s="6" customFormat="1" ht="31.15" customHeight="1" x14ac:dyDescent="0.2">
      <c r="A86" s="12">
        <f>+A83+1</f>
        <v>31</v>
      </c>
      <c r="B86" s="5" t="s">
        <v>586</v>
      </c>
      <c r="C86" s="156" t="s">
        <v>429</v>
      </c>
      <c r="D86" s="125" t="s">
        <v>148</v>
      </c>
      <c r="E86" s="125" t="s">
        <v>217</v>
      </c>
      <c r="F86" s="130" t="s">
        <v>579</v>
      </c>
      <c r="G86" s="26" t="s">
        <v>652</v>
      </c>
      <c r="H86" s="9">
        <v>70000</v>
      </c>
      <c r="I86" s="8">
        <f>H86*2.87%</f>
        <v>2009</v>
      </c>
      <c r="J86" s="8">
        <f>+H86*3.04%</f>
        <v>2128</v>
      </c>
      <c r="K86" s="8"/>
      <c r="L86" s="8">
        <f t="shared" si="25"/>
        <v>4137</v>
      </c>
      <c r="M86" s="8">
        <f t="shared" si="26"/>
        <v>65863</v>
      </c>
      <c r="N86" s="8">
        <f>+IF(M86*12&lt;=416220.01,0,IF(M86*12&lt;=624329.01,(((M86*12-416220.01)*0.15)/12),IF((M86*12&lt;=867123.01),(31216+0.2*(M86*12-624329.01))/12,((79776+0.25*(M86*12-867123.01))/12))))-O86</f>
        <v>-1.6666666670062114E-4</v>
      </c>
      <c r="O86" s="8">
        <v>5368.45</v>
      </c>
      <c r="P86" s="9">
        <v>25</v>
      </c>
      <c r="Q86" s="8">
        <f>+P86+N86+L86</f>
        <v>4161.9998333333333</v>
      </c>
      <c r="R86" s="9">
        <f>+H86-Q86</f>
        <v>65838.000166666665</v>
      </c>
      <c r="S86" s="80"/>
    </row>
    <row r="87" spans="1:19" s="6" customFormat="1" ht="26.25" customHeight="1" x14ac:dyDescent="0.2">
      <c r="A87" s="272" t="s">
        <v>126</v>
      </c>
      <c r="B87" s="273"/>
      <c r="C87" s="249"/>
      <c r="D87" s="249"/>
      <c r="E87" s="249"/>
      <c r="F87" s="249"/>
      <c r="G87" s="249"/>
      <c r="H87" s="16">
        <f>SUM(H86)</f>
        <v>70000</v>
      </c>
      <c r="I87" s="16">
        <f t="shared" ref="I87:R87" si="30">SUM(I86)</f>
        <v>2009</v>
      </c>
      <c r="J87" s="16">
        <f t="shared" si="30"/>
        <v>2128</v>
      </c>
      <c r="K87" s="16">
        <f t="shared" si="30"/>
        <v>0</v>
      </c>
      <c r="L87" s="16">
        <f t="shared" si="30"/>
        <v>4137</v>
      </c>
      <c r="M87" s="16">
        <f t="shared" si="30"/>
        <v>65863</v>
      </c>
      <c r="N87" s="16">
        <f t="shared" si="30"/>
        <v>-1.6666666670062114E-4</v>
      </c>
      <c r="O87" s="16">
        <f t="shared" si="30"/>
        <v>5368.45</v>
      </c>
      <c r="P87" s="16">
        <f t="shared" si="30"/>
        <v>25</v>
      </c>
      <c r="Q87" s="16">
        <f t="shared" si="30"/>
        <v>4161.9998333333333</v>
      </c>
      <c r="R87" s="16">
        <f t="shared" si="30"/>
        <v>65838.000166666665</v>
      </c>
      <c r="S87" s="80"/>
    </row>
    <row r="88" spans="1:19" s="6" customFormat="1" ht="24.75" customHeight="1" thickBot="1" x14ac:dyDescent="0.25">
      <c r="A88" s="64"/>
      <c r="B88" s="64"/>
      <c r="C88" s="64"/>
      <c r="D88" s="64"/>
      <c r="E88" s="64"/>
      <c r="F88" s="64"/>
      <c r="G88" s="64"/>
      <c r="S88" s="80"/>
    </row>
    <row r="89" spans="1:19" customFormat="1" ht="34.5" customHeight="1" thickBot="1" x14ac:dyDescent="0.25">
      <c r="A89" s="247" t="s">
        <v>173</v>
      </c>
      <c r="B89" s="248"/>
      <c r="C89" s="248"/>
      <c r="D89" s="248"/>
      <c r="E89" s="248"/>
      <c r="F89" s="248"/>
      <c r="G89" s="248"/>
      <c r="H89" s="248"/>
      <c r="I89" s="248"/>
      <c r="J89" s="248"/>
      <c r="K89" s="248"/>
      <c r="L89" s="248"/>
      <c r="M89" s="248"/>
      <c r="N89" s="248"/>
      <c r="O89" s="248"/>
      <c r="P89" s="248"/>
      <c r="Q89" s="248"/>
      <c r="R89" s="248"/>
      <c r="S89" s="299"/>
    </row>
    <row r="90" spans="1:19" customFormat="1" ht="34.5" customHeight="1" x14ac:dyDescent="0.2">
      <c r="A90" s="12">
        <f>+A86+1</f>
        <v>32</v>
      </c>
      <c r="B90" s="61" t="s">
        <v>138</v>
      </c>
      <c r="C90" s="156" t="s">
        <v>429</v>
      </c>
      <c r="D90" s="126" t="s">
        <v>205</v>
      </c>
      <c r="E90" s="125" t="s">
        <v>217</v>
      </c>
      <c r="F90" s="26" t="s">
        <v>563</v>
      </c>
      <c r="G90" s="26" t="s">
        <v>659</v>
      </c>
      <c r="H90" s="10">
        <v>135000</v>
      </c>
      <c r="I90" s="8">
        <f>H90*2.87%</f>
        <v>3874.5</v>
      </c>
      <c r="J90" s="8">
        <f>+H90*3.04%</f>
        <v>4104</v>
      </c>
      <c r="K90" s="8">
        <v>1577.45</v>
      </c>
      <c r="L90" s="8">
        <f t="shared" si="25"/>
        <v>9555.9500000000007</v>
      </c>
      <c r="M90" s="8">
        <f t="shared" si="26"/>
        <v>125444.05</v>
      </c>
      <c r="N90" s="8">
        <f>+IF(M90*12&lt;=416220.01,0,IF(M90*12&lt;=624329.01,(((M90*12-416220.01)*0.15)/12),IF((M90*12&lt;=867123.01),(31216+0.2*(M90*12-624329.01))/12,((79776+0.25*(M90*12-867123.01))/12))))</f>
        <v>19943.94979166667</v>
      </c>
      <c r="O90" s="8"/>
      <c r="P90" s="9">
        <v>8164.84</v>
      </c>
      <c r="Q90" s="8">
        <f>+P90+N90+L90</f>
        <v>37664.739791666667</v>
      </c>
      <c r="R90" s="9">
        <f>+H90-Q90</f>
        <v>97335.260208333333</v>
      </c>
      <c r="S90" s="299"/>
    </row>
    <row r="91" spans="1:19" s="6" customFormat="1" ht="24" customHeight="1" x14ac:dyDescent="0.2">
      <c r="A91" s="12">
        <f>+A90+1</f>
        <v>33</v>
      </c>
      <c r="B91" s="61" t="s">
        <v>220</v>
      </c>
      <c r="C91" s="156" t="s">
        <v>430</v>
      </c>
      <c r="D91" s="125" t="s">
        <v>148</v>
      </c>
      <c r="E91" s="125" t="s">
        <v>217</v>
      </c>
      <c r="F91" s="127" t="s">
        <v>548</v>
      </c>
      <c r="G91" s="127" t="s">
        <v>651</v>
      </c>
      <c r="H91" s="10">
        <v>90000</v>
      </c>
      <c r="I91" s="8">
        <f>H91*2.87%</f>
        <v>2583</v>
      </c>
      <c r="J91" s="8">
        <f>+H91*3.04%</f>
        <v>2736</v>
      </c>
      <c r="K91" s="8">
        <v>1577.45</v>
      </c>
      <c r="L91" s="8">
        <f t="shared" si="25"/>
        <v>6896.45</v>
      </c>
      <c r="M91" s="8">
        <f t="shared" si="26"/>
        <v>83103.55</v>
      </c>
      <c r="N91" s="8">
        <f>+IF(M91*12&lt;=416220.01,0,IF(M91*12&lt;=624329.01,(((M91*12-416220.01)*0.15)/12),IF((M91*12&lt;=867123.01),(31216+0.2*(M91*12-624329.01))/12,((79776+0.25*(M91*12-867123.01))/12))))-O91</f>
        <v>4.791666668097605E-3</v>
      </c>
      <c r="O91" s="8">
        <v>9358.82</v>
      </c>
      <c r="P91" s="9">
        <v>2525</v>
      </c>
      <c r="Q91" s="8">
        <f>+P91+N91+L91</f>
        <v>9421.454791666667</v>
      </c>
      <c r="R91" s="9">
        <f>+H91-Q91</f>
        <v>80578.545208333337</v>
      </c>
      <c r="S91" s="80"/>
    </row>
    <row r="92" spans="1:19" s="2" customFormat="1" ht="22.5" customHeight="1" x14ac:dyDescent="0.2">
      <c r="A92" s="272" t="s">
        <v>126</v>
      </c>
      <c r="B92" s="273"/>
      <c r="C92" s="249"/>
      <c r="D92" s="249"/>
      <c r="E92" s="249"/>
      <c r="F92" s="249"/>
      <c r="G92" s="249"/>
      <c r="H92" s="16">
        <f>SUM(H90:H91)</f>
        <v>225000</v>
      </c>
      <c r="I92" s="16">
        <f t="shared" ref="I92:R92" si="31">SUM(I90:I91)</f>
        <v>6457.5</v>
      </c>
      <c r="J92" s="16">
        <f t="shared" si="31"/>
        <v>6840</v>
      </c>
      <c r="K92" s="16">
        <f t="shared" si="31"/>
        <v>3154.9</v>
      </c>
      <c r="L92" s="16">
        <f t="shared" si="31"/>
        <v>16452.400000000001</v>
      </c>
      <c r="M92" s="16">
        <f t="shared" si="31"/>
        <v>208547.6</v>
      </c>
      <c r="N92" s="16">
        <f t="shared" si="31"/>
        <v>19943.95458333334</v>
      </c>
      <c r="O92" s="16">
        <f t="shared" si="31"/>
        <v>9358.82</v>
      </c>
      <c r="P92" s="16">
        <f t="shared" si="31"/>
        <v>10689.84</v>
      </c>
      <c r="Q92" s="16">
        <f t="shared" si="31"/>
        <v>47086.19458333333</v>
      </c>
      <c r="R92" s="16">
        <f t="shared" si="31"/>
        <v>177913.80541666667</v>
      </c>
      <c r="S92" s="70"/>
    </row>
    <row r="93" spans="1:19" s="2" customFormat="1" ht="21" customHeight="1" thickBot="1" x14ac:dyDescent="0.25">
      <c r="A93" s="64"/>
      <c r="B93" s="64"/>
      <c r="C93" s="64"/>
      <c r="D93" s="64"/>
      <c r="E93" s="64"/>
      <c r="F93" s="64"/>
      <c r="G93" s="64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70"/>
    </row>
    <row r="94" spans="1:19" customFormat="1" ht="34.5" customHeight="1" thickBot="1" x14ac:dyDescent="0.25">
      <c r="A94" s="247" t="s">
        <v>175</v>
      </c>
      <c r="B94" s="248"/>
      <c r="C94" s="248"/>
      <c r="D94" s="248"/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99"/>
    </row>
    <row r="95" spans="1:19" customFormat="1" ht="34.5" customHeight="1" x14ac:dyDescent="0.2">
      <c r="A95" s="12">
        <f>+A91+1</f>
        <v>34</v>
      </c>
      <c r="B95" s="61" t="s">
        <v>670</v>
      </c>
      <c r="C95" s="156" t="s">
        <v>430</v>
      </c>
      <c r="D95" s="126" t="s">
        <v>51</v>
      </c>
      <c r="E95" s="125" t="s">
        <v>217</v>
      </c>
      <c r="F95" s="26" t="s">
        <v>588</v>
      </c>
      <c r="G95" s="26" t="s">
        <v>671</v>
      </c>
      <c r="H95" s="10">
        <v>70000</v>
      </c>
      <c r="I95" s="8">
        <f>H95*2.87%</f>
        <v>2009</v>
      </c>
      <c r="J95" s="8">
        <f>+H95*3.04%</f>
        <v>2128</v>
      </c>
      <c r="K95" s="8">
        <v>1577.45</v>
      </c>
      <c r="L95" s="8">
        <f t="shared" ref="L95" si="32">+J95+I95+K95</f>
        <v>5714.45</v>
      </c>
      <c r="M95" s="8">
        <f t="shared" ref="M95" si="33">+H95-L95</f>
        <v>64285.55</v>
      </c>
      <c r="N95" s="8">
        <f>+IF(M95*12&lt;=416220.01,0,IF(M95*12&lt;=624329.01,(((M95*12-416220.01)*0.15)/12),IF((M95*12&lt;=867123.01),(31216+0.2*(M95*12-624329.01))/12,((79776+0.25*(M95*12-867123.01))/12))))</f>
        <v>5052.9598333333352</v>
      </c>
      <c r="O95" s="8"/>
      <c r="P95" s="9">
        <v>25</v>
      </c>
      <c r="Q95" s="8">
        <f>+P95+N95+L95</f>
        <v>10792.409833333335</v>
      </c>
      <c r="R95" s="9">
        <f>+H95-Q95</f>
        <v>59207.590166666661</v>
      </c>
      <c r="S95" s="299"/>
    </row>
    <row r="96" spans="1:19" s="2" customFormat="1" ht="22.5" customHeight="1" x14ac:dyDescent="0.2">
      <c r="A96" s="272" t="s">
        <v>126</v>
      </c>
      <c r="B96" s="273"/>
      <c r="C96" s="249"/>
      <c r="D96" s="249"/>
      <c r="E96" s="249"/>
      <c r="F96" s="249"/>
      <c r="G96" s="249"/>
      <c r="H96" s="16">
        <f>SUM(H95:H95)</f>
        <v>70000</v>
      </c>
      <c r="I96" s="16">
        <f>SUM(I95:I95)</f>
        <v>2009</v>
      </c>
      <c r="J96" s="16">
        <f>SUM(J95:J95)</f>
        <v>2128</v>
      </c>
      <c r="K96" s="16">
        <f>SUM(K95:K95)</f>
        <v>1577.45</v>
      </c>
      <c r="L96" s="16">
        <f>SUM(L95:L95)</f>
        <v>5714.45</v>
      </c>
      <c r="M96" s="16">
        <f>SUM(M95:M95)</f>
        <v>64285.55</v>
      </c>
      <c r="N96" s="16">
        <f>SUM(N95:N95)</f>
        <v>5052.9598333333352</v>
      </c>
      <c r="O96" s="16">
        <f>SUM(O95:O95)</f>
        <v>0</v>
      </c>
      <c r="P96" s="16">
        <f>SUM(P95:P95)</f>
        <v>25</v>
      </c>
      <c r="Q96" s="16">
        <f>SUM(Q95:Q95)</f>
        <v>10792.409833333335</v>
      </c>
      <c r="R96" s="16">
        <f>SUM(R95:R95)</f>
        <v>59207.590166666661</v>
      </c>
      <c r="S96" s="70"/>
    </row>
    <row r="97" spans="1:19" s="2" customFormat="1" ht="21" customHeight="1" thickBot="1" x14ac:dyDescent="0.25">
      <c r="A97" s="64"/>
      <c r="B97" s="64"/>
      <c r="C97" s="64"/>
      <c r="D97" s="64"/>
      <c r="E97" s="64"/>
      <c r="F97" s="64"/>
      <c r="G97" s="64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70"/>
    </row>
    <row r="98" spans="1:19" s="2" customFormat="1" ht="28.5" customHeight="1" thickBot="1" x14ac:dyDescent="0.25">
      <c r="A98" s="247" t="s">
        <v>479</v>
      </c>
      <c r="B98" s="248"/>
      <c r="C98" s="248"/>
      <c r="D98" s="248"/>
      <c r="E98" s="248"/>
      <c r="F98" s="248"/>
      <c r="G98" s="248"/>
      <c r="H98" s="248"/>
      <c r="I98" s="248"/>
      <c r="J98" s="248"/>
      <c r="K98" s="248"/>
      <c r="L98" s="248"/>
      <c r="M98" s="248"/>
      <c r="N98" s="248"/>
      <c r="O98" s="248"/>
      <c r="P98" s="248"/>
      <c r="Q98" s="248"/>
      <c r="R98" s="248"/>
      <c r="S98" s="70"/>
    </row>
    <row r="99" spans="1:19" s="2" customFormat="1" ht="32.25" customHeight="1" thickBot="1" x14ac:dyDescent="0.25">
      <c r="A99" s="247" t="s">
        <v>480</v>
      </c>
      <c r="B99" s="248"/>
      <c r="C99" s="248"/>
      <c r="D99" s="248"/>
      <c r="E99" s="248"/>
      <c r="F99" s="248"/>
      <c r="G99" s="248"/>
      <c r="H99" s="248"/>
      <c r="I99" s="248"/>
      <c r="J99" s="248"/>
      <c r="K99" s="248"/>
      <c r="L99" s="248"/>
      <c r="M99" s="248"/>
      <c r="N99" s="248"/>
      <c r="O99" s="248"/>
      <c r="P99" s="248"/>
      <c r="Q99" s="248"/>
      <c r="R99" s="248"/>
      <c r="S99" s="70"/>
    </row>
    <row r="100" spans="1:19" s="2" customFormat="1" ht="33" customHeight="1" x14ac:dyDescent="0.2">
      <c r="A100" s="12">
        <f>+A95+1</f>
        <v>35</v>
      </c>
      <c r="B100" s="201" t="s">
        <v>502</v>
      </c>
      <c r="C100" s="202" t="s">
        <v>429</v>
      </c>
      <c r="D100" s="105" t="s">
        <v>527</v>
      </c>
      <c r="E100" s="105" t="s">
        <v>217</v>
      </c>
      <c r="F100" s="106" t="s">
        <v>563</v>
      </c>
      <c r="G100" s="106" t="s">
        <v>659</v>
      </c>
      <c r="H100" s="107">
        <v>170000</v>
      </c>
      <c r="I100" s="108">
        <f>H100*2.87%</f>
        <v>4879</v>
      </c>
      <c r="J100" s="8">
        <f>+H100*3.04%</f>
        <v>5168</v>
      </c>
      <c r="K100" s="108"/>
      <c r="L100" s="8">
        <f t="shared" si="25"/>
        <v>10047</v>
      </c>
      <c r="M100" s="8">
        <f t="shared" si="26"/>
        <v>159953</v>
      </c>
      <c r="N100" s="8">
        <f>+IF(M100*12&lt;=416220.01,0,IF(M100*12&lt;=624329.01,(((M100*12-416220.01)*0.15)/12),IF((M100*12&lt;=867123.01),(31216+0.2*(M100*12-624329.01))/12,((79776+0.25*(M100*12-867123.01))/12))))-O100</f>
        <v>28571.187291666665</v>
      </c>
      <c r="O100" s="8"/>
      <c r="P100" s="107">
        <v>25</v>
      </c>
      <c r="Q100" s="8">
        <f>+P100+N100+L100</f>
        <v>38643.187291666662</v>
      </c>
      <c r="R100" s="107">
        <f>+H100-Q100</f>
        <v>131356.81270833334</v>
      </c>
      <c r="S100" s="70"/>
    </row>
    <row r="101" spans="1:19" s="2" customFormat="1" ht="33" customHeight="1" x14ac:dyDescent="0.2">
      <c r="A101" s="12">
        <f>+A100+1</f>
        <v>36</v>
      </c>
      <c r="B101" s="8" t="s">
        <v>375</v>
      </c>
      <c r="C101" s="156" t="s">
        <v>429</v>
      </c>
      <c r="D101" s="125" t="s">
        <v>478</v>
      </c>
      <c r="E101" s="125" t="s">
        <v>217</v>
      </c>
      <c r="F101" s="106" t="s">
        <v>564</v>
      </c>
      <c r="G101" s="106" t="s">
        <v>659</v>
      </c>
      <c r="H101" s="9">
        <v>150000</v>
      </c>
      <c r="I101" s="108">
        <f>H101*2.87%</f>
        <v>4305</v>
      </c>
      <c r="J101" s="8">
        <f>+H101*3.04%</f>
        <v>4560</v>
      </c>
      <c r="K101" s="8"/>
      <c r="L101" s="8">
        <f t="shared" si="25"/>
        <v>8865</v>
      </c>
      <c r="M101" s="8">
        <f t="shared" si="26"/>
        <v>141135</v>
      </c>
      <c r="N101" s="8">
        <f t="shared" ref="N101:N102" si="34">+IF(M101*12&lt;=416220.01,0,IF(M101*12&lt;=624329.01,(((M101*12-416220.01)*0.15)/12),IF((M101*12&lt;=867123.01),(31216+0.2*(M101*12-624329.01))/12,((79776+0.25*(M101*12-867123.01))/12))))-O101</f>
        <v>23866.687291666665</v>
      </c>
      <c r="O101" s="8"/>
      <c r="P101" s="107">
        <v>25</v>
      </c>
      <c r="Q101" s="8">
        <f>+P101+N101+L101</f>
        <v>32756.687291666665</v>
      </c>
      <c r="R101" s="107">
        <f>+H101-Q101</f>
        <v>117243.31270833334</v>
      </c>
      <c r="S101" s="70"/>
    </row>
    <row r="102" spans="1:19" s="2" customFormat="1" ht="33" customHeight="1" x14ac:dyDescent="0.2">
      <c r="A102" s="12">
        <f>+A101+1</f>
        <v>37</v>
      </c>
      <c r="B102" s="8" t="s">
        <v>581</v>
      </c>
      <c r="C102" s="156" t="s">
        <v>430</v>
      </c>
      <c r="D102" s="125" t="s">
        <v>582</v>
      </c>
      <c r="E102" s="125" t="s">
        <v>217</v>
      </c>
      <c r="F102" s="106" t="s">
        <v>579</v>
      </c>
      <c r="G102" s="106" t="s">
        <v>652</v>
      </c>
      <c r="H102" s="9">
        <v>90000</v>
      </c>
      <c r="I102" s="108">
        <f>H102*2.87%</f>
        <v>2583</v>
      </c>
      <c r="J102" s="8">
        <f>+H102*3.04%</f>
        <v>2736</v>
      </c>
      <c r="K102" s="8"/>
      <c r="L102" s="8">
        <f t="shared" si="25"/>
        <v>5319</v>
      </c>
      <c r="M102" s="8">
        <f t="shared" si="26"/>
        <v>84681</v>
      </c>
      <c r="N102" s="8">
        <f t="shared" si="34"/>
        <v>-2.7083333334303461E-3</v>
      </c>
      <c r="O102" s="8">
        <v>9753.19</v>
      </c>
      <c r="P102" s="107">
        <v>25</v>
      </c>
      <c r="Q102" s="8">
        <f>+P102+N102+L102</f>
        <v>5343.9972916666666</v>
      </c>
      <c r="R102" s="107">
        <f>+H102-Q102</f>
        <v>84656.002708333341</v>
      </c>
      <c r="S102" s="70"/>
    </row>
    <row r="103" spans="1:19" s="2" customFormat="1" ht="22.5" customHeight="1" x14ac:dyDescent="0.2">
      <c r="A103" s="272" t="s">
        <v>126</v>
      </c>
      <c r="B103" s="273"/>
      <c r="C103" s="249"/>
      <c r="D103" s="249"/>
      <c r="E103" s="249"/>
      <c r="F103" s="249"/>
      <c r="G103" s="249"/>
      <c r="H103" s="16">
        <f>SUM(H100:H102)</f>
        <v>410000</v>
      </c>
      <c r="I103" s="16">
        <f t="shared" ref="I103:R103" si="35">SUM(I100:I102)</f>
        <v>11767</v>
      </c>
      <c r="J103" s="16">
        <f t="shared" si="35"/>
        <v>12464</v>
      </c>
      <c r="K103" s="16">
        <f t="shared" si="35"/>
        <v>0</v>
      </c>
      <c r="L103" s="16">
        <f t="shared" si="35"/>
        <v>24231</v>
      </c>
      <c r="M103" s="16">
        <f t="shared" si="35"/>
        <v>385769</v>
      </c>
      <c r="N103" s="16">
        <f t="shared" si="35"/>
        <v>52437.871874999997</v>
      </c>
      <c r="O103" s="16"/>
      <c r="P103" s="16">
        <f t="shared" si="35"/>
        <v>75</v>
      </c>
      <c r="Q103" s="16">
        <f t="shared" si="35"/>
        <v>76743.871874999983</v>
      </c>
      <c r="R103" s="16">
        <f t="shared" si="35"/>
        <v>333256.12812500005</v>
      </c>
      <c r="S103" s="70"/>
    </row>
    <row r="104" spans="1:19" s="2" customFormat="1" ht="29.25" customHeight="1" thickBot="1" x14ac:dyDescent="0.25">
      <c r="A104" s="64"/>
      <c r="B104" s="64"/>
      <c r="C104" s="64"/>
      <c r="D104" s="64"/>
      <c r="E104" s="64"/>
      <c r="F104" s="64"/>
      <c r="G104" s="64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70"/>
    </row>
    <row r="105" spans="1:19" s="2" customFormat="1" ht="22.5" customHeight="1" thickBot="1" x14ac:dyDescent="0.25">
      <c r="A105" s="247" t="s">
        <v>387</v>
      </c>
      <c r="B105" s="248"/>
      <c r="C105" s="248"/>
      <c r="D105" s="248"/>
      <c r="E105" s="248"/>
      <c r="F105" s="248"/>
      <c r="G105" s="248"/>
      <c r="H105" s="248"/>
      <c r="I105" s="248"/>
      <c r="J105" s="248"/>
      <c r="K105" s="248"/>
      <c r="L105" s="248"/>
      <c r="M105" s="248"/>
      <c r="N105" s="248"/>
      <c r="O105" s="248"/>
      <c r="P105" s="248"/>
      <c r="Q105" s="248"/>
      <c r="R105" s="248"/>
      <c r="S105" s="70"/>
    </row>
    <row r="106" spans="1:19" s="2" customFormat="1" ht="28.5" customHeight="1" x14ac:dyDescent="0.2">
      <c r="A106" s="104">
        <f>+A102+1</f>
        <v>38</v>
      </c>
      <c r="B106" s="106" t="s">
        <v>531</v>
      </c>
      <c r="C106" s="104" t="s">
        <v>430</v>
      </c>
      <c r="D106" s="106" t="s">
        <v>133</v>
      </c>
      <c r="E106" s="105" t="s">
        <v>217</v>
      </c>
      <c r="F106" s="26" t="s">
        <v>588</v>
      </c>
      <c r="G106" s="26" t="s">
        <v>660</v>
      </c>
      <c r="H106" s="8">
        <v>50000</v>
      </c>
      <c r="I106" s="108">
        <f>H106*2.87%</f>
        <v>1435</v>
      </c>
      <c r="J106" s="108">
        <f>+H106*3.04%</f>
        <v>1520</v>
      </c>
      <c r="K106" s="108"/>
      <c r="L106" s="8">
        <f t="shared" si="25"/>
        <v>2955</v>
      </c>
      <c r="M106" s="8">
        <f t="shared" si="26"/>
        <v>47045</v>
      </c>
      <c r="N106" s="8">
        <f>+IF(M106*12&lt;=416220.01,0,IF(M106*12&lt;=624329.01,(((M106*12-416220.01)*0.15)/12),IF((M106*12&lt;=867123.01),(31216+0.2*(M106*12-624329.01))/12,((79776+0.25*(M106*12-867123.01))/12))))</f>
        <v>1853.9998749999997</v>
      </c>
      <c r="O106" s="8"/>
      <c r="P106" s="107">
        <v>25</v>
      </c>
      <c r="Q106" s="8">
        <f>+P106+N106+L106</f>
        <v>4833.9998749999995</v>
      </c>
      <c r="R106" s="107">
        <f>+H106-Q106</f>
        <v>45166.000124999999</v>
      </c>
      <c r="S106" s="70"/>
    </row>
    <row r="107" spans="1:19" s="2" customFormat="1" ht="29.25" customHeight="1" x14ac:dyDescent="0.2">
      <c r="A107" s="272" t="s">
        <v>126</v>
      </c>
      <c r="B107" s="273"/>
      <c r="C107" s="249"/>
      <c r="D107" s="249"/>
      <c r="E107" s="249"/>
      <c r="F107" s="249"/>
      <c r="G107" s="249"/>
      <c r="H107" s="16">
        <f>SUM(H106:H106)</f>
        <v>50000</v>
      </c>
      <c r="I107" s="16">
        <f t="shared" ref="I107:R107" si="36">SUM(I106:I106)</f>
        <v>1435</v>
      </c>
      <c r="J107" s="16">
        <f t="shared" si="36"/>
        <v>1520</v>
      </c>
      <c r="K107" s="16">
        <f t="shared" si="36"/>
        <v>0</v>
      </c>
      <c r="L107" s="16">
        <f t="shared" si="36"/>
        <v>2955</v>
      </c>
      <c r="M107" s="16">
        <f t="shared" si="36"/>
        <v>47045</v>
      </c>
      <c r="N107" s="16">
        <f t="shared" si="36"/>
        <v>1853.9998749999997</v>
      </c>
      <c r="O107" s="16"/>
      <c r="P107" s="16">
        <f t="shared" si="36"/>
        <v>25</v>
      </c>
      <c r="Q107" s="16">
        <f t="shared" si="36"/>
        <v>4833.9998749999995</v>
      </c>
      <c r="R107" s="16">
        <f t="shared" si="36"/>
        <v>45166.000124999999</v>
      </c>
      <c r="S107" s="70"/>
    </row>
    <row r="108" spans="1:19" s="70" customFormat="1" ht="29.25" customHeight="1" thickBot="1" x14ac:dyDescent="0.25">
      <c r="A108" s="213"/>
      <c r="B108" s="213"/>
      <c r="C108" s="213"/>
      <c r="D108" s="213"/>
      <c r="E108" s="213"/>
      <c r="F108" s="213"/>
      <c r="G108" s="213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</row>
    <row r="109" spans="1:19" s="80" customFormat="1" ht="24.95" customHeight="1" thickBot="1" x14ac:dyDescent="0.25">
      <c r="A109" s="247" t="s">
        <v>387</v>
      </c>
      <c r="B109" s="248"/>
      <c r="C109" s="248"/>
      <c r="D109" s="248"/>
      <c r="E109" s="248"/>
      <c r="F109" s="248"/>
      <c r="G109" s="248"/>
      <c r="H109" s="248"/>
      <c r="I109" s="248"/>
      <c r="J109" s="248"/>
      <c r="K109" s="248"/>
      <c r="L109" s="248"/>
      <c r="M109" s="248"/>
      <c r="N109" s="248"/>
      <c r="O109" s="248"/>
      <c r="P109" s="248"/>
      <c r="Q109" s="248"/>
      <c r="R109" s="248"/>
    </row>
    <row r="110" spans="1:19" s="6" customFormat="1" ht="24.75" customHeight="1" x14ac:dyDescent="0.2">
      <c r="A110" s="104">
        <f>+A106+1</f>
        <v>39</v>
      </c>
      <c r="B110" s="26" t="s">
        <v>369</v>
      </c>
      <c r="C110" s="12" t="s">
        <v>430</v>
      </c>
      <c r="D110" s="26" t="s">
        <v>114</v>
      </c>
      <c r="E110" s="125" t="s">
        <v>217</v>
      </c>
      <c r="F110" s="26" t="s">
        <v>565</v>
      </c>
      <c r="G110" s="26" t="s">
        <v>661</v>
      </c>
      <c r="H110" s="8">
        <v>70000</v>
      </c>
      <c r="I110" s="108">
        <f>H110*2.87%</f>
        <v>2009</v>
      </c>
      <c r="J110" s="108">
        <f>+H110*3.04%</f>
        <v>2128</v>
      </c>
      <c r="K110" s="108"/>
      <c r="L110" s="8">
        <f t="shared" si="25"/>
        <v>4137</v>
      </c>
      <c r="M110" s="8">
        <f t="shared" si="26"/>
        <v>65863</v>
      </c>
      <c r="N110" s="8">
        <f>+IF(M110*12&lt;=416220.01,0,IF(M110*12&lt;=624329.01,(((M110*12-416220.01)*0.15)/12),IF((M110*12&lt;=867123.01),(31216+0.2*(M110*12-624329.01))/12,((79776+0.25*(M110*12-867123.01))/12))))-O110</f>
        <v>-1.6666666670062114E-4</v>
      </c>
      <c r="O110" s="8">
        <v>5368.45</v>
      </c>
      <c r="P110" s="107">
        <v>1025</v>
      </c>
      <c r="Q110" s="8">
        <f>+P110+N110+L110</f>
        <v>5161.9998333333333</v>
      </c>
      <c r="R110" s="107">
        <f>+H110-Q110</f>
        <v>64838.000166666665</v>
      </c>
      <c r="S110" s="80"/>
    </row>
    <row r="111" spans="1:19" s="6" customFormat="1" ht="24.95" customHeight="1" x14ac:dyDescent="0.2">
      <c r="A111" s="272" t="s">
        <v>126</v>
      </c>
      <c r="B111" s="273"/>
      <c r="C111" s="249"/>
      <c r="D111" s="249"/>
      <c r="E111" s="249"/>
      <c r="F111" s="249"/>
      <c r="G111" s="249"/>
      <c r="H111" s="16">
        <f>SUM(H110:H110)</f>
        <v>70000</v>
      </c>
      <c r="I111" s="16">
        <f t="shared" ref="I111:R111" si="37">SUM(I110:I110)</f>
        <v>2009</v>
      </c>
      <c r="J111" s="16">
        <f t="shared" si="37"/>
        <v>2128</v>
      </c>
      <c r="K111" s="16">
        <f t="shared" si="37"/>
        <v>0</v>
      </c>
      <c r="L111" s="16">
        <f t="shared" si="37"/>
        <v>4137</v>
      </c>
      <c r="M111" s="16">
        <f t="shared" si="37"/>
        <v>65863</v>
      </c>
      <c r="N111" s="16">
        <f t="shared" si="37"/>
        <v>-1.6666666670062114E-4</v>
      </c>
      <c r="O111" s="16">
        <f t="shared" si="37"/>
        <v>5368.45</v>
      </c>
      <c r="P111" s="16">
        <f t="shared" si="37"/>
        <v>1025</v>
      </c>
      <c r="Q111" s="16">
        <f t="shared" si="37"/>
        <v>5161.9998333333333</v>
      </c>
      <c r="R111" s="16">
        <f t="shared" si="37"/>
        <v>64838.000166666665</v>
      </c>
      <c r="S111" s="80"/>
    </row>
    <row r="112" spans="1:19" s="6" customFormat="1" ht="24.95" customHeight="1" thickBot="1" x14ac:dyDescent="0.25">
      <c r="A112" s="64"/>
      <c r="B112" s="64"/>
      <c r="C112" s="64"/>
      <c r="D112" s="64"/>
      <c r="E112" s="64"/>
      <c r="F112" s="64"/>
      <c r="G112" s="64"/>
      <c r="S112" s="80"/>
    </row>
    <row r="113" spans="1:19" s="6" customFormat="1" ht="24.95" customHeight="1" x14ac:dyDescent="0.2">
      <c r="A113" s="257" t="s">
        <v>515</v>
      </c>
      <c r="B113" s="258"/>
      <c r="C113" s="258"/>
      <c r="D113" s="258"/>
      <c r="E113" s="258"/>
      <c r="F113" s="258"/>
      <c r="G113" s="258"/>
      <c r="H113" s="258"/>
      <c r="I113" s="258"/>
      <c r="J113" s="258"/>
      <c r="K113" s="258"/>
      <c r="L113" s="258"/>
      <c r="M113" s="258"/>
      <c r="N113" s="258"/>
      <c r="O113" s="258"/>
      <c r="P113" s="258"/>
      <c r="Q113" s="258"/>
      <c r="R113" s="258"/>
      <c r="S113" s="80"/>
    </row>
    <row r="114" spans="1:19" s="6" customFormat="1" ht="24.95" customHeight="1" x14ac:dyDescent="0.2">
      <c r="A114" s="68">
        <f>+A110+1</f>
        <v>40</v>
      </c>
      <c r="B114" s="200" t="s">
        <v>530</v>
      </c>
      <c r="C114" s="68" t="s">
        <v>430</v>
      </c>
      <c r="D114" s="200" t="s">
        <v>94</v>
      </c>
      <c r="E114" s="111" t="s">
        <v>217</v>
      </c>
      <c r="F114" s="26" t="s">
        <v>588</v>
      </c>
      <c r="G114" s="26" t="s">
        <v>660</v>
      </c>
      <c r="H114" s="63">
        <v>90000</v>
      </c>
      <c r="I114" s="63">
        <f>H114*2.87%</f>
        <v>2583</v>
      </c>
      <c r="J114" s="63">
        <f>+H114*3.04%</f>
        <v>2736</v>
      </c>
      <c r="K114" s="63"/>
      <c r="L114" s="5">
        <f t="shared" si="25"/>
        <v>5319</v>
      </c>
      <c r="M114" s="5">
        <f t="shared" si="26"/>
        <v>84681</v>
      </c>
      <c r="N114" s="5">
        <f>+IF(M114*12&lt;=416220.01,0,IF(M114*12&lt;=624329.01,(((M114*12-416220.01)*0.15)/12),IF((M114*12&lt;=867123.01),(31216+0.2*(M114*12-624329.01))/12,((79776+0.25*(M114*12-867123.01))/12))))-O114</f>
        <v>9753.1872916666671</v>
      </c>
      <c r="O114" s="5"/>
      <c r="P114" s="69">
        <v>1025</v>
      </c>
      <c r="Q114" s="5">
        <f>+P114+N114+L114</f>
        <v>16097.187291666667</v>
      </c>
      <c r="R114" s="69">
        <f>+H114-Q114</f>
        <v>73902.812708333338</v>
      </c>
      <c r="S114" s="80"/>
    </row>
    <row r="115" spans="1:19" s="6" customFormat="1" ht="24.95" customHeight="1" x14ac:dyDescent="0.2">
      <c r="A115" s="104">
        <f>+A114+1</f>
        <v>41</v>
      </c>
      <c r="B115" s="26" t="s">
        <v>516</v>
      </c>
      <c r="C115" s="12" t="s">
        <v>430</v>
      </c>
      <c r="D115" s="26" t="s">
        <v>517</v>
      </c>
      <c r="E115" s="125" t="s">
        <v>217</v>
      </c>
      <c r="F115" s="26" t="s">
        <v>566</v>
      </c>
      <c r="G115" s="26" t="s">
        <v>662</v>
      </c>
      <c r="H115" s="8">
        <v>70000</v>
      </c>
      <c r="I115" s="108">
        <f>H115*2.87%</f>
        <v>2009</v>
      </c>
      <c r="J115" s="108">
        <f>+H115*3.04%</f>
        <v>2128</v>
      </c>
      <c r="K115" s="108"/>
      <c r="L115" s="8">
        <f t="shared" si="25"/>
        <v>4137</v>
      </c>
      <c r="M115" s="8">
        <f t="shared" si="26"/>
        <v>65863</v>
      </c>
      <c r="N115" s="5">
        <f>+IF(M115*12&lt;=416220.01,0,IF(M115*12&lt;=624329.01,(((M115*12-416220.01)*0.15)/12),IF((M115*12&lt;=867123.01),(31216+0.2*(M115*12-624329.01))/12,((79776+0.25*(M115*12-867123.01))/12))))-O115</f>
        <v>-1.6666666670062114E-4</v>
      </c>
      <c r="O115" s="8">
        <v>5368.45</v>
      </c>
      <c r="P115" s="107">
        <v>3411.92</v>
      </c>
      <c r="Q115" s="8">
        <f>+P115+N115+L115</f>
        <v>7548.9198333333334</v>
      </c>
      <c r="R115" s="107">
        <f>+H115-Q115</f>
        <v>62451.080166666667</v>
      </c>
      <c r="S115" s="80"/>
    </row>
    <row r="116" spans="1:19" s="6" customFormat="1" ht="24.95" customHeight="1" x14ac:dyDescent="0.2">
      <c r="A116" s="272" t="s">
        <v>126</v>
      </c>
      <c r="B116" s="273"/>
      <c r="C116" s="249"/>
      <c r="D116" s="249"/>
      <c r="E116" s="249"/>
      <c r="F116" s="249"/>
      <c r="G116" s="249"/>
      <c r="H116" s="16">
        <f>SUM(H114:H115)</f>
        <v>160000</v>
      </c>
      <c r="I116" s="16">
        <f t="shared" ref="I116:R116" si="38">SUM(I114:I115)</f>
        <v>4592</v>
      </c>
      <c r="J116" s="16">
        <f t="shared" si="38"/>
        <v>4864</v>
      </c>
      <c r="K116" s="16">
        <f t="shared" si="38"/>
        <v>0</v>
      </c>
      <c r="L116" s="16">
        <f t="shared" si="38"/>
        <v>9456</v>
      </c>
      <c r="M116" s="16">
        <f t="shared" si="38"/>
        <v>150544</v>
      </c>
      <c r="N116" s="16">
        <f t="shared" si="38"/>
        <v>9753.1871250000004</v>
      </c>
      <c r="O116" s="16">
        <f t="shared" si="38"/>
        <v>5368.45</v>
      </c>
      <c r="P116" s="16">
        <f t="shared" si="38"/>
        <v>4436.92</v>
      </c>
      <c r="Q116" s="16">
        <f t="shared" si="38"/>
        <v>23646.107125000002</v>
      </c>
      <c r="R116" s="16">
        <f t="shared" si="38"/>
        <v>136353.89287500002</v>
      </c>
      <c r="S116" s="80"/>
    </row>
    <row r="117" spans="1:19" s="6" customFormat="1" ht="24.95" customHeight="1" thickBot="1" x14ac:dyDescent="0.2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80"/>
    </row>
    <row r="118" spans="1:19" s="6" customFormat="1" ht="24.95" customHeight="1" x14ac:dyDescent="0.2">
      <c r="A118" s="257" t="s">
        <v>387</v>
      </c>
      <c r="B118" s="258"/>
      <c r="C118" s="258"/>
      <c r="D118" s="258"/>
      <c r="E118" s="258"/>
      <c r="F118" s="258"/>
      <c r="G118" s="258"/>
      <c r="H118" s="258"/>
      <c r="I118" s="258"/>
      <c r="J118" s="258"/>
      <c r="K118" s="258"/>
      <c r="L118" s="258"/>
      <c r="M118" s="258"/>
      <c r="N118" s="258"/>
      <c r="O118" s="258"/>
      <c r="P118" s="258"/>
      <c r="Q118" s="258"/>
      <c r="R118" s="258"/>
      <c r="S118" s="80"/>
    </row>
    <row r="119" spans="1:19" s="6" customFormat="1" ht="24.95" customHeight="1" x14ac:dyDescent="0.2">
      <c r="A119" s="68">
        <f>+A115+1</f>
        <v>42</v>
      </c>
      <c r="B119" s="130" t="s">
        <v>518</v>
      </c>
      <c r="C119" s="129" t="s">
        <v>430</v>
      </c>
      <c r="D119" s="130" t="s">
        <v>482</v>
      </c>
      <c r="E119" s="128" t="s">
        <v>217</v>
      </c>
      <c r="F119" s="199" t="s">
        <v>566</v>
      </c>
      <c r="G119" s="199" t="s">
        <v>662</v>
      </c>
      <c r="H119" s="5">
        <v>80000</v>
      </c>
      <c r="I119" s="63">
        <f>H119*2.87%</f>
        <v>2296</v>
      </c>
      <c r="J119" s="63">
        <f>+H119*3.04%</f>
        <v>2432</v>
      </c>
      <c r="K119" s="63">
        <v>1577.45</v>
      </c>
      <c r="L119" s="5">
        <f t="shared" si="25"/>
        <v>6305.45</v>
      </c>
      <c r="M119" s="5">
        <f t="shared" si="26"/>
        <v>73694.55</v>
      </c>
      <c r="N119" s="5">
        <f>+IF(M119*12&lt;=416220.01,0,IF(M119*12&lt;=624329.01,(((M119*12-416220.01)*0.15)/12),IF((M119*12&lt;=867123.01),(31216+0.2*(M119*12-624329.01))/12,((79776+0.25*(M119*12-867123.01))/12))))-O119</f>
        <v>4.7916666690070997E-3</v>
      </c>
      <c r="O119" s="5">
        <v>7006.57</v>
      </c>
      <c r="P119" s="69">
        <v>25</v>
      </c>
      <c r="Q119" s="5">
        <f>+P119+N119+L119</f>
        <v>6330.4547916666688</v>
      </c>
      <c r="R119" s="69">
        <f>+H119-Q119</f>
        <v>73669.545208333337</v>
      </c>
      <c r="S119" s="80"/>
    </row>
    <row r="120" spans="1:19" s="6" customFormat="1" ht="24.95" customHeight="1" x14ac:dyDescent="0.2">
      <c r="A120" s="68">
        <f>+A119+1</f>
        <v>43</v>
      </c>
      <c r="B120" s="130" t="s">
        <v>481</v>
      </c>
      <c r="C120" s="129" t="s">
        <v>430</v>
      </c>
      <c r="D120" s="130" t="s">
        <v>482</v>
      </c>
      <c r="E120" s="128" t="s">
        <v>217</v>
      </c>
      <c r="F120" s="127" t="s">
        <v>548</v>
      </c>
      <c r="G120" s="127" t="s">
        <v>651</v>
      </c>
      <c r="H120" s="5">
        <v>70000</v>
      </c>
      <c r="I120" s="63">
        <f>H120*2.87%</f>
        <v>2009</v>
      </c>
      <c r="J120" s="63">
        <f>+H120*3.04%</f>
        <v>2128</v>
      </c>
      <c r="K120" s="63">
        <v>1577.45</v>
      </c>
      <c r="L120" s="8">
        <f t="shared" si="25"/>
        <v>5714.45</v>
      </c>
      <c r="M120" s="8">
        <f t="shared" si="26"/>
        <v>64285.55</v>
      </c>
      <c r="N120" s="5">
        <f>+IF(M120*12&lt;=416220.01,0,IF(M120*12&lt;=624329.01,(((M120*12-416220.01)*0.15)/12),IF((M120*12&lt;=867123.01),(31216+0.2*(M120*12-624329.01))/12,((79776+0.25*(M120*12-867123.01))/12))))-O120</f>
        <v>5052.9598333333352</v>
      </c>
      <c r="O120" s="8"/>
      <c r="P120" s="69">
        <v>25</v>
      </c>
      <c r="Q120" s="8">
        <f>+P120+N120+L120</f>
        <v>10792.409833333335</v>
      </c>
      <c r="R120" s="69">
        <f>+H120-Q120</f>
        <v>59207.590166666661</v>
      </c>
      <c r="S120" s="80"/>
    </row>
    <row r="121" spans="1:19" s="6" customFormat="1" ht="24.95" customHeight="1" x14ac:dyDescent="0.2">
      <c r="A121" s="272" t="s">
        <v>126</v>
      </c>
      <c r="B121" s="273"/>
      <c r="C121" s="249"/>
      <c r="D121" s="249"/>
      <c r="E121" s="249"/>
      <c r="F121" s="249"/>
      <c r="G121" s="249"/>
      <c r="H121" s="16">
        <f>SUM(H119:H120)</f>
        <v>150000</v>
      </c>
      <c r="I121" s="16">
        <f t="shared" ref="I121:R121" si="39">SUM(I119:I120)</f>
        <v>4305</v>
      </c>
      <c r="J121" s="16">
        <f t="shared" si="39"/>
        <v>4560</v>
      </c>
      <c r="K121" s="16">
        <f t="shared" si="39"/>
        <v>3154.9</v>
      </c>
      <c r="L121" s="16">
        <f t="shared" si="39"/>
        <v>12019.9</v>
      </c>
      <c r="M121" s="16">
        <f t="shared" si="39"/>
        <v>137980.1</v>
      </c>
      <c r="N121" s="16">
        <f t="shared" si="39"/>
        <v>5052.9646250000042</v>
      </c>
      <c r="O121" s="16"/>
      <c r="P121" s="16">
        <f t="shared" si="39"/>
        <v>50</v>
      </c>
      <c r="Q121" s="16">
        <f t="shared" si="39"/>
        <v>17122.864625000002</v>
      </c>
      <c r="R121" s="16">
        <f t="shared" si="39"/>
        <v>132877.13537500001</v>
      </c>
      <c r="S121" s="80"/>
    </row>
    <row r="122" spans="1:19" s="2" customFormat="1" ht="24.95" customHeight="1" thickBot="1" x14ac:dyDescent="0.25">
      <c r="A122" s="64"/>
      <c r="B122" s="64"/>
      <c r="C122" s="64"/>
      <c r="D122" s="64"/>
      <c r="E122" s="64"/>
      <c r="F122" s="64"/>
      <c r="G122" s="64"/>
      <c r="H122"/>
      <c r="I122"/>
      <c r="J122"/>
      <c r="K122"/>
      <c r="L122"/>
      <c r="M122"/>
      <c r="N122"/>
      <c r="O122"/>
      <c r="P122"/>
      <c r="Q122"/>
      <c r="R122"/>
      <c r="S122" s="70"/>
    </row>
    <row r="123" spans="1:19" s="70" customFormat="1" ht="24.95" customHeight="1" thickBot="1" x14ac:dyDescent="0.25">
      <c r="A123" s="247" t="s">
        <v>302</v>
      </c>
      <c r="B123" s="248"/>
      <c r="C123" s="248"/>
      <c r="D123" s="248"/>
      <c r="E123" s="248"/>
      <c r="F123" s="248"/>
      <c r="G123" s="248"/>
      <c r="H123" s="248"/>
      <c r="I123" s="248"/>
      <c r="J123" s="248"/>
      <c r="K123" s="248"/>
      <c r="L123" s="248"/>
      <c r="M123" s="248"/>
      <c r="N123" s="248"/>
      <c r="O123" s="248"/>
      <c r="P123" s="248"/>
      <c r="Q123" s="248"/>
      <c r="R123" s="248"/>
    </row>
    <row r="124" spans="1:19" s="70" customFormat="1" ht="26.25" customHeight="1" x14ac:dyDescent="0.2">
      <c r="A124" s="104">
        <f>+A120+1</f>
        <v>44</v>
      </c>
      <c r="B124" s="26" t="s">
        <v>131</v>
      </c>
      <c r="C124" s="12" t="s">
        <v>429</v>
      </c>
      <c r="D124" s="125" t="s">
        <v>130</v>
      </c>
      <c r="E124" s="125" t="s">
        <v>217</v>
      </c>
      <c r="F124" s="26" t="s">
        <v>575</v>
      </c>
      <c r="G124" s="26" t="s">
        <v>649</v>
      </c>
      <c r="H124" s="9">
        <v>190000</v>
      </c>
      <c r="I124" s="108">
        <f>H124*2.87%</f>
        <v>5453</v>
      </c>
      <c r="J124" s="5">
        <f>187020*3.04%</f>
        <v>5685.4080000000004</v>
      </c>
      <c r="K124" s="5"/>
      <c r="L124" s="8">
        <f t="shared" si="25"/>
        <v>11138.407999999999</v>
      </c>
      <c r="M124" s="8">
        <f t="shared" si="26"/>
        <v>178861.592</v>
      </c>
      <c r="N124" s="8">
        <f>+IF(M124*12&lt;=416220.01,0,IF(M124*12&lt;=624329.01,(((M124*12-416220.01)*0.15)/12),IF((M124*12&lt;=867123.01),(31216+0.2*(M124*12-624329.01))/12,((79776+0.25*(M124*12-867123.01))/12))))-O124</f>
        <v>33298.33529166667</v>
      </c>
      <c r="O124" s="8"/>
      <c r="P124" s="107">
        <v>25</v>
      </c>
      <c r="Q124" s="8">
        <f>+P124+N124+L124</f>
        <v>44461.743291666673</v>
      </c>
      <c r="R124" s="107">
        <f>+H124-Q124</f>
        <v>145538.25670833333</v>
      </c>
    </row>
    <row r="125" spans="1:19" s="70" customFormat="1" ht="24.95" customHeight="1" x14ac:dyDescent="0.2">
      <c r="A125" s="104">
        <f>+A124+1</f>
        <v>45</v>
      </c>
      <c r="B125" s="199" t="s">
        <v>533</v>
      </c>
      <c r="C125" s="68" t="s">
        <v>430</v>
      </c>
      <c r="D125" s="199" t="s">
        <v>538</v>
      </c>
      <c r="E125" s="125" t="s">
        <v>217</v>
      </c>
      <c r="F125" s="26" t="s">
        <v>536</v>
      </c>
      <c r="G125" s="26" t="s">
        <v>594</v>
      </c>
      <c r="H125" s="113">
        <v>50000</v>
      </c>
      <c r="I125" s="5">
        <f>H125*2.87%</f>
        <v>1435</v>
      </c>
      <c r="J125" s="5">
        <f>+H125*3.04%</f>
        <v>1520</v>
      </c>
      <c r="K125" s="5"/>
      <c r="L125" s="8">
        <f t="shared" si="25"/>
        <v>2955</v>
      </c>
      <c r="M125" s="8">
        <f t="shared" si="26"/>
        <v>47045</v>
      </c>
      <c r="N125" s="8">
        <f>+IF(M125*12&lt;=416220.01,0,IF(M125*12&lt;=624329.01,(((M125*12-416220.01)*0.15)/12),IF((M125*12&lt;=867123.01),(31216+0.2*(M125*12-624329.01))/12,((79776+0.25*(M125*12-867123.01))/12))))-O125</f>
        <v>1853.9998749999997</v>
      </c>
      <c r="O125" s="8"/>
      <c r="P125" s="107">
        <v>10025</v>
      </c>
      <c r="Q125" s="8">
        <f>+P125+N125+L125</f>
        <v>14833.999875</v>
      </c>
      <c r="R125" s="107">
        <f>H125-Q125</f>
        <v>35166.000124999999</v>
      </c>
    </row>
    <row r="126" spans="1:19" s="70" customFormat="1" ht="24.95" customHeight="1" x14ac:dyDescent="0.2">
      <c r="A126" s="104">
        <f t="shared" ref="A126:A127" si="40">+A125+1</f>
        <v>46</v>
      </c>
      <c r="B126" s="199" t="s">
        <v>672</v>
      </c>
      <c r="C126" s="68" t="s">
        <v>430</v>
      </c>
      <c r="D126" s="199" t="s">
        <v>538</v>
      </c>
      <c r="E126" s="125" t="s">
        <v>217</v>
      </c>
      <c r="F126" s="26" t="s">
        <v>588</v>
      </c>
      <c r="G126" s="26" t="s">
        <v>671</v>
      </c>
      <c r="H126" s="113">
        <v>45000</v>
      </c>
      <c r="I126" s="5">
        <f t="shared" ref="I126:I127" si="41">H126*2.87%</f>
        <v>1291.5</v>
      </c>
      <c r="J126" s="5">
        <f t="shared" ref="J126:J127" si="42">+H126*3.04%</f>
        <v>1368</v>
      </c>
      <c r="K126" s="5"/>
      <c r="L126" s="8">
        <f t="shared" si="25"/>
        <v>2659.5</v>
      </c>
      <c r="M126" s="8">
        <f t="shared" si="26"/>
        <v>42340.5</v>
      </c>
      <c r="N126" s="8">
        <f t="shared" ref="N126:N127" si="43">+IF(M126*12&lt;=416220.01,0,IF(M126*12&lt;=624329.01,(((M126*12-416220.01)*0.15)/12),IF((M126*12&lt;=867123.01),(31216+0.2*(M126*12-624329.01))/12,((79776+0.25*(M126*12-867123.01))/12))))-O126</f>
        <v>1148.3248749999998</v>
      </c>
      <c r="O126" s="8"/>
      <c r="P126" s="107">
        <v>25</v>
      </c>
      <c r="Q126" s="8">
        <f t="shared" ref="Q126:Q127" si="44">+P126+N126+L126</f>
        <v>3832.8248749999998</v>
      </c>
      <c r="R126" s="107">
        <f t="shared" ref="R126:R127" si="45">H126-Q126</f>
        <v>41167.175125000002</v>
      </c>
    </row>
    <row r="127" spans="1:19" s="70" customFormat="1" ht="24.95" customHeight="1" x14ac:dyDescent="0.2">
      <c r="A127" s="104">
        <f t="shared" si="40"/>
        <v>47</v>
      </c>
      <c r="B127" s="199" t="s">
        <v>673</v>
      </c>
      <c r="C127" s="68" t="s">
        <v>430</v>
      </c>
      <c r="D127" s="199" t="s">
        <v>538</v>
      </c>
      <c r="E127" s="125" t="s">
        <v>217</v>
      </c>
      <c r="F127" s="26" t="s">
        <v>588</v>
      </c>
      <c r="G127" s="26" t="s">
        <v>671</v>
      </c>
      <c r="H127" s="113">
        <v>45000</v>
      </c>
      <c r="I127" s="5">
        <f t="shared" si="41"/>
        <v>1291.5</v>
      </c>
      <c r="J127" s="5">
        <f t="shared" si="42"/>
        <v>1368</v>
      </c>
      <c r="K127" s="5"/>
      <c r="L127" s="8">
        <f t="shared" si="25"/>
        <v>2659.5</v>
      </c>
      <c r="M127" s="8">
        <f t="shared" si="26"/>
        <v>42340.5</v>
      </c>
      <c r="N127" s="8">
        <f t="shared" si="43"/>
        <v>1148.3248749999998</v>
      </c>
      <c r="O127" s="8"/>
      <c r="P127" s="107">
        <v>25</v>
      </c>
      <c r="Q127" s="8">
        <f t="shared" si="44"/>
        <v>3832.8248749999998</v>
      </c>
      <c r="R127" s="107">
        <f t="shared" si="45"/>
        <v>41167.175125000002</v>
      </c>
    </row>
    <row r="128" spans="1:19" s="2" customFormat="1" ht="27" customHeight="1" x14ac:dyDescent="0.2">
      <c r="A128" s="272" t="s">
        <v>126</v>
      </c>
      <c r="B128" s="273"/>
      <c r="C128" s="249"/>
      <c r="D128" s="249"/>
      <c r="E128" s="249"/>
      <c r="F128" s="249"/>
      <c r="G128" s="249"/>
      <c r="H128" s="16">
        <f>SUM(H124:H127)</f>
        <v>330000</v>
      </c>
      <c r="I128" s="16">
        <f t="shared" ref="I128:R128" si="46">SUM(I124:I127)</f>
        <v>9471</v>
      </c>
      <c r="J128" s="16">
        <f t="shared" si="46"/>
        <v>9941.4079999999994</v>
      </c>
      <c r="K128" s="16">
        <f t="shared" si="46"/>
        <v>0</v>
      </c>
      <c r="L128" s="16">
        <f t="shared" si="46"/>
        <v>19412.407999999999</v>
      </c>
      <c r="M128" s="16">
        <f t="shared" si="46"/>
        <v>310587.592</v>
      </c>
      <c r="N128" s="16">
        <f t="shared" si="46"/>
        <v>37448.984916666668</v>
      </c>
      <c r="O128" s="16">
        <f t="shared" si="46"/>
        <v>0</v>
      </c>
      <c r="P128" s="16">
        <f t="shared" si="46"/>
        <v>10100</v>
      </c>
      <c r="Q128" s="16">
        <f t="shared" si="46"/>
        <v>66961.392916666679</v>
      </c>
      <c r="R128" s="16">
        <f t="shared" si="46"/>
        <v>263038.60708333331</v>
      </c>
      <c r="S128" s="70"/>
    </row>
    <row r="129" spans="1:19" s="2" customFormat="1" ht="27" customHeight="1" thickBot="1" x14ac:dyDescent="0.25">
      <c r="A129" s="64"/>
      <c r="B129" s="64"/>
      <c r="C129" s="64"/>
      <c r="D129" s="64"/>
      <c r="E129" s="64"/>
      <c r="F129" s="64"/>
      <c r="G129" s="64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70"/>
    </row>
    <row r="130" spans="1:19" s="2" customFormat="1" ht="27" customHeight="1" thickBot="1" x14ac:dyDescent="0.25">
      <c r="A130" s="247" t="s">
        <v>521</v>
      </c>
      <c r="B130" s="248"/>
      <c r="C130" s="248"/>
      <c r="D130" s="248"/>
      <c r="E130" s="248"/>
      <c r="F130" s="248"/>
      <c r="G130" s="248"/>
      <c r="H130" s="248"/>
      <c r="I130" s="248"/>
      <c r="J130" s="248"/>
      <c r="K130" s="248"/>
      <c r="L130" s="248"/>
      <c r="M130" s="248"/>
      <c r="N130" s="248"/>
      <c r="O130" s="248"/>
      <c r="P130" s="248"/>
      <c r="Q130" s="248"/>
      <c r="R130" s="248"/>
      <c r="S130" s="70"/>
    </row>
    <row r="131" spans="1:19" s="2" customFormat="1" ht="27" customHeight="1" x14ac:dyDescent="0.2">
      <c r="A131" s="104">
        <f>+A127+1</f>
        <v>48</v>
      </c>
      <c r="B131" s="26" t="s">
        <v>519</v>
      </c>
      <c r="C131" s="12" t="s">
        <v>429</v>
      </c>
      <c r="D131" s="125" t="s">
        <v>520</v>
      </c>
      <c r="E131" s="125" t="s">
        <v>217</v>
      </c>
      <c r="F131" s="199" t="s">
        <v>560</v>
      </c>
      <c r="G131" s="127" t="s">
        <v>663</v>
      </c>
      <c r="H131" s="8">
        <v>170000</v>
      </c>
      <c r="I131" s="108">
        <f>H131*2.87%</f>
        <v>4879</v>
      </c>
      <c r="J131" s="5">
        <f>+H131*3.04%</f>
        <v>5168</v>
      </c>
      <c r="K131" s="5"/>
      <c r="L131" s="8">
        <f t="shared" si="25"/>
        <v>10047</v>
      </c>
      <c r="M131" s="8">
        <f t="shared" si="26"/>
        <v>159953</v>
      </c>
      <c r="N131" s="8">
        <f>+IF(M131*12&lt;=416220.01,0,IF(M131*12&lt;=624329.01,(((M131*12-416220.01)*0.15)/12),IF((M131*12&lt;=867123.01),(31216+0.2*(M131*12-624329.01))/12,((79776+0.25*(M131*12-867123.01))/12))))-O131</f>
        <v>5737.0372916666638</v>
      </c>
      <c r="O131" s="8">
        <v>22834.15</v>
      </c>
      <c r="P131" s="107">
        <v>25</v>
      </c>
      <c r="Q131" s="8">
        <f>+P131+N131+L131</f>
        <v>15809.037291666664</v>
      </c>
      <c r="R131" s="107">
        <f>+H131-Q131</f>
        <v>154190.96270833333</v>
      </c>
      <c r="S131" s="70"/>
    </row>
    <row r="132" spans="1:19" s="2" customFormat="1" ht="27" customHeight="1" x14ac:dyDescent="0.2">
      <c r="A132" s="129">
        <f>+A131+1</f>
        <v>49</v>
      </c>
      <c r="B132" s="130" t="s">
        <v>546</v>
      </c>
      <c r="C132" s="129" t="s">
        <v>430</v>
      </c>
      <c r="D132" s="128" t="s">
        <v>133</v>
      </c>
      <c r="E132" s="125" t="s">
        <v>217</v>
      </c>
      <c r="F132" s="127" t="s">
        <v>548</v>
      </c>
      <c r="G132" s="127" t="s">
        <v>651</v>
      </c>
      <c r="H132" s="5">
        <v>50000</v>
      </c>
      <c r="I132" s="5">
        <f>H132*2.87%</f>
        <v>1435</v>
      </c>
      <c r="J132" s="5">
        <f>+H132*3.04%</f>
        <v>1520</v>
      </c>
      <c r="K132" s="5"/>
      <c r="L132" s="8">
        <f t="shared" si="25"/>
        <v>2955</v>
      </c>
      <c r="M132" s="8">
        <f t="shared" si="26"/>
        <v>47045</v>
      </c>
      <c r="N132" s="8">
        <f>+IF(M132*12&lt;=416220.01,0,IF(M132*12&lt;=624329.01,(((M132*12-416220.01)*0.15)/12),IF((M132*12&lt;=867123.01),(31216+0.2*(M132*12-624329.01))/12,((79776+0.25*(M132*12-867123.01))/12))))-O132</f>
        <v>-1.2500000025283953E-4</v>
      </c>
      <c r="O132" s="8">
        <v>1854</v>
      </c>
      <c r="P132" s="69">
        <v>25</v>
      </c>
      <c r="Q132" s="8">
        <f>+P132+N132+L132</f>
        <v>2979.9998749999995</v>
      </c>
      <c r="R132" s="107">
        <f>+H132-Q132</f>
        <v>47020.000124999999</v>
      </c>
      <c r="S132" s="70"/>
    </row>
    <row r="133" spans="1:19" s="2" customFormat="1" ht="27" customHeight="1" thickBot="1" x14ac:dyDescent="0.25">
      <c r="A133" s="272" t="s">
        <v>126</v>
      </c>
      <c r="B133" s="273"/>
      <c r="C133" s="250"/>
      <c r="D133" s="250"/>
      <c r="E133" s="250"/>
      <c r="F133" s="250"/>
      <c r="G133" s="254"/>
      <c r="H133" s="78">
        <f>SUM(H131:H132)</f>
        <v>220000</v>
      </c>
      <c r="I133" s="78">
        <f t="shared" ref="I133:R133" si="47">SUM(I131:I132)</f>
        <v>6314</v>
      </c>
      <c r="J133" s="78">
        <f t="shared" si="47"/>
        <v>6688</v>
      </c>
      <c r="K133" s="78">
        <f t="shared" si="47"/>
        <v>0</v>
      </c>
      <c r="L133" s="78">
        <f t="shared" si="47"/>
        <v>13002</v>
      </c>
      <c r="M133" s="78">
        <f t="shared" si="47"/>
        <v>206998</v>
      </c>
      <c r="N133" s="78">
        <f t="shared" si="47"/>
        <v>5737.0371666666633</v>
      </c>
      <c r="O133" s="78">
        <f t="shared" si="47"/>
        <v>24688.15</v>
      </c>
      <c r="P133" s="78">
        <f t="shared" si="47"/>
        <v>50</v>
      </c>
      <c r="Q133" s="78">
        <f t="shared" si="47"/>
        <v>18789.037166666662</v>
      </c>
      <c r="R133" s="78">
        <f t="shared" si="47"/>
        <v>201210.96283333332</v>
      </c>
      <c r="S133" s="70"/>
    </row>
    <row r="134" spans="1:19" s="2" customFormat="1" ht="24.95" customHeight="1" thickBot="1" x14ac:dyDescent="0.25">
      <c r="C134" s="157"/>
      <c r="S134" s="70"/>
    </row>
    <row r="135" spans="1:19" s="70" customFormat="1" ht="27.75" customHeight="1" thickBot="1" x14ac:dyDescent="0.25">
      <c r="A135" s="247" t="s">
        <v>676</v>
      </c>
      <c r="B135" s="248"/>
      <c r="C135" s="248"/>
      <c r="D135" s="248"/>
      <c r="E135" s="248"/>
      <c r="F135" s="248"/>
      <c r="G135" s="248"/>
      <c r="H135" s="248"/>
      <c r="I135" s="248"/>
      <c r="J135" s="248"/>
      <c r="K135" s="248"/>
      <c r="L135" s="248"/>
      <c r="M135" s="248"/>
      <c r="N135" s="248"/>
      <c r="O135" s="248"/>
      <c r="P135" s="248"/>
      <c r="Q135" s="248"/>
      <c r="R135" s="248"/>
    </row>
    <row r="136" spans="1:19" s="28" customFormat="1" ht="25.5" customHeight="1" x14ac:dyDescent="0.2">
      <c r="A136" s="68">
        <f>+A132+1</f>
        <v>50</v>
      </c>
      <c r="B136" s="127" t="s">
        <v>674</v>
      </c>
      <c r="C136" s="129" t="s">
        <v>430</v>
      </c>
      <c r="D136" s="126" t="s">
        <v>675</v>
      </c>
      <c r="E136" s="125" t="s">
        <v>217</v>
      </c>
      <c r="F136" s="26" t="s">
        <v>588</v>
      </c>
      <c r="G136" s="26" t="s">
        <v>660</v>
      </c>
      <c r="H136" s="176">
        <v>70000</v>
      </c>
      <c r="I136" s="108">
        <f>H136*2.87%</f>
        <v>2009</v>
      </c>
      <c r="J136" s="108">
        <f>+H136*3.04%</f>
        <v>2128</v>
      </c>
      <c r="K136" s="108">
        <v>1577.45</v>
      </c>
      <c r="L136" s="8">
        <f t="shared" ref="L136" si="48">+J136+I136+K136</f>
        <v>5714.45</v>
      </c>
      <c r="M136" s="8">
        <f t="shared" ref="M136" si="49">+H136-L136</f>
        <v>64285.55</v>
      </c>
      <c r="N136" s="8">
        <f>+IF(M136*12&lt;=416220.01,0,IF(M136*12&lt;=624329.01,(((M136*12-416220.01)*0.15)/12),IF((M136*12&lt;=867123.01),(31216+0.2*(M136*12-624329.01))/12,((79776+0.25*(M136*12-867123.01))/12))))-O136</f>
        <v>5052.9598333333352</v>
      </c>
      <c r="O136" s="8">
        <v>0</v>
      </c>
      <c r="P136" s="107">
        <v>25</v>
      </c>
      <c r="Q136" s="8">
        <f>+P136+N136+L136</f>
        <v>10792.409833333335</v>
      </c>
      <c r="R136" s="107">
        <f>+H136-Q136</f>
        <v>59207.590166666661</v>
      </c>
      <c r="S136" s="79"/>
    </row>
    <row r="137" spans="1:19" s="28" customFormat="1" ht="22.15" customHeight="1" x14ac:dyDescent="0.2">
      <c r="A137" s="272" t="s">
        <v>126</v>
      </c>
      <c r="B137" s="273"/>
      <c r="C137" s="249"/>
      <c r="D137" s="249"/>
      <c r="E137" s="249"/>
      <c r="F137" s="249"/>
      <c r="G137" s="249"/>
      <c r="H137" s="16">
        <f>SUM(H136:H136)</f>
        <v>70000</v>
      </c>
      <c r="I137" s="16">
        <f>SUM(I136:I136)</f>
        <v>2009</v>
      </c>
      <c r="J137" s="16">
        <f>SUM(J136:J136)</f>
        <v>2128</v>
      </c>
      <c r="K137" s="16">
        <f>SUM(K136:K136)</f>
        <v>1577.45</v>
      </c>
      <c r="L137" s="16">
        <f>SUM(L136:L136)</f>
        <v>5714.45</v>
      </c>
      <c r="M137" s="16">
        <f>SUM(M136:M136)</f>
        <v>64285.55</v>
      </c>
      <c r="N137" s="16">
        <f>SUM(N136:N136)</f>
        <v>5052.9598333333352</v>
      </c>
      <c r="O137" s="16">
        <f>SUM(O136:O136)</f>
        <v>0</v>
      </c>
      <c r="P137" s="16">
        <f>SUM(P136:P136)</f>
        <v>25</v>
      </c>
      <c r="Q137" s="16">
        <f>SUM(Q136:Q136)</f>
        <v>10792.409833333335</v>
      </c>
      <c r="R137" s="16">
        <f>SUM(R136:R136)</f>
        <v>59207.590166666661</v>
      </c>
      <c r="S137" s="79"/>
    </row>
    <row r="138" spans="1:19" s="28" customFormat="1" ht="22.15" customHeight="1" thickBot="1" x14ac:dyDescent="0.25">
      <c r="A138" s="296"/>
      <c r="B138" s="296"/>
      <c r="C138" s="297"/>
      <c r="D138" s="297"/>
      <c r="E138" s="297"/>
      <c r="F138" s="297"/>
      <c r="G138" s="297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79"/>
    </row>
    <row r="139" spans="1:19" s="70" customFormat="1" ht="27.75" customHeight="1" thickBot="1" x14ac:dyDescent="0.25">
      <c r="A139" s="247" t="s">
        <v>389</v>
      </c>
      <c r="B139" s="248"/>
      <c r="C139" s="248"/>
      <c r="D139" s="248"/>
      <c r="E139" s="248"/>
      <c r="F139" s="248"/>
      <c r="G139" s="248"/>
      <c r="H139" s="248"/>
      <c r="I139" s="248"/>
      <c r="J139" s="248"/>
      <c r="K139" s="248"/>
      <c r="L139" s="248"/>
      <c r="M139" s="248"/>
      <c r="N139" s="248"/>
      <c r="O139" s="248"/>
      <c r="P139" s="248"/>
      <c r="Q139" s="248"/>
      <c r="R139" s="248"/>
    </row>
    <row r="140" spans="1:19" s="28" customFormat="1" ht="25.5" customHeight="1" x14ac:dyDescent="0.2">
      <c r="A140" s="68">
        <f>+A136+1</f>
        <v>51</v>
      </c>
      <c r="B140" s="127" t="s">
        <v>132</v>
      </c>
      <c r="C140" s="129" t="s">
        <v>429</v>
      </c>
      <c r="D140" s="126" t="s">
        <v>543</v>
      </c>
      <c r="E140" s="125" t="s">
        <v>217</v>
      </c>
      <c r="F140" s="26" t="s">
        <v>575</v>
      </c>
      <c r="G140" s="26" t="s">
        <v>649</v>
      </c>
      <c r="H140" s="176">
        <v>135000</v>
      </c>
      <c r="I140" s="108">
        <f>H140*2.87%</f>
        <v>3874.5</v>
      </c>
      <c r="J140" s="108">
        <f>+H140*3.04%</f>
        <v>4104</v>
      </c>
      <c r="K140" s="108"/>
      <c r="L140" s="8">
        <f t="shared" si="25"/>
        <v>7978.5</v>
      </c>
      <c r="M140" s="8">
        <f t="shared" si="26"/>
        <v>127021.5</v>
      </c>
      <c r="N140" s="8">
        <f>+IF(M140*12&lt;=416220.01,0,IF(M140*12&lt;=624329.01,(((M140*12-416220.01)*0.15)/12),IF((M140*12&lt;=867123.01),(31216+0.2*(M140*12-624329.01))/12,((79776+0.25*(M140*12-867123.01))/12))))-O140</f>
        <v>2.2916666639503092E-3</v>
      </c>
      <c r="O140" s="8">
        <v>20338.310000000001</v>
      </c>
      <c r="P140" s="107">
        <v>25</v>
      </c>
      <c r="Q140" s="8">
        <f>+P140+N140+L140</f>
        <v>8003.502291666664</v>
      </c>
      <c r="R140" s="107">
        <f>+H140-Q140</f>
        <v>126996.49770833334</v>
      </c>
      <c r="S140" s="79"/>
    </row>
    <row r="141" spans="1:19" s="28" customFormat="1" ht="25.5" customHeight="1" x14ac:dyDescent="0.2">
      <c r="A141" s="68">
        <f>+A140+1</f>
        <v>52</v>
      </c>
      <c r="B141" s="199" t="s">
        <v>534</v>
      </c>
      <c r="C141" s="68"/>
      <c r="D141" s="203" t="s">
        <v>537</v>
      </c>
      <c r="E141" s="105" t="s">
        <v>217</v>
      </c>
      <c r="F141" s="26" t="s">
        <v>589</v>
      </c>
      <c r="G141" s="26" t="s">
        <v>664</v>
      </c>
      <c r="H141" s="10">
        <v>70000</v>
      </c>
      <c r="I141" s="5">
        <f>H141*2.87%</f>
        <v>2009</v>
      </c>
      <c r="J141" s="5">
        <f>+H141*3.04%</f>
        <v>2128</v>
      </c>
      <c r="K141" s="5"/>
      <c r="L141" s="8">
        <f t="shared" si="25"/>
        <v>4137</v>
      </c>
      <c r="M141" s="8">
        <f t="shared" si="26"/>
        <v>65863</v>
      </c>
      <c r="N141" s="8">
        <f>+IF(M141*12&lt;=416220.01,0,IF(M141*12&lt;=624329.01,(((M141*12-416220.01)*0.15)/12),IF((M141*12&lt;=867123.01),(31216+0.2*(M141*12-624329.01))/12,((79776+0.25*(M141*12-867123.01))/12))))-O141</f>
        <v>-1.6666666670062114E-4</v>
      </c>
      <c r="O141" s="8">
        <v>5368.45</v>
      </c>
      <c r="P141" s="107">
        <f>100+25</f>
        <v>125</v>
      </c>
      <c r="Q141" s="8">
        <f>+P141+N141+L141</f>
        <v>4261.9998333333333</v>
      </c>
      <c r="R141" s="107">
        <f>H141-Q141</f>
        <v>65738.000166666665</v>
      </c>
      <c r="S141" s="79"/>
    </row>
    <row r="142" spans="1:19" s="28" customFormat="1" ht="22.15" customHeight="1" x14ac:dyDescent="0.2">
      <c r="A142" s="272" t="s">
        <v>126</v>
      </c>
      <c r="B142" s="273"/>
      <c r="C142" s="249"/>
      <c r="D142" s="249"/>
      <c r="E142" s="249"/>
      <c r="F142" s="249"/>
      <c r="G142" s="249"/>
      <c r="H142" s="16">
        <f>SUM(H140:H141)</f>
        <v>205000</v>
      </c>
      <c r="I142" s="16">
        <f t="shared" ref="I142:R142" si="50">SUM(I140:I141)</f>
        <v>5883.5</v>
      </c>
      <c r="J142" s="16">
        <f t="shared" si="50"/>
        <v>6232</v>
      </c>
      <c r="K142" s="16">
        <f t="shared" si="50"/>
        <v>0</v>
      </c>
      <c r="L142" s="16">
        <f t="shared" si="50"/>
        <v>12115.5</v>
      </c>
      <c r="M142" s="16">
        <f t="shared" si="50"/>
        <v>192884.5</v>
      </c>
      <c r="N142" s="16">
        <f t="shared" si="50"/>
        <v>2.124999997249688E-3</v>
      </c>
      <c r="O142" s="16">
        <f t="shared" si="50"/>
        <v>25706.760000000002</v>
      </c>
      <c r="P142" s="16">
        <f t="shared" si="50"/>
        <v>150</v>
      </c>
      <c r="Q142" s="16">
        <f t="shared" si="50"/>
        <v>12265.502124999997</v>
      </c>
      <c r="R142" s="16">
        <f t="shared" si="50"/>
        <v>192734.497875</v>
      </c>
      <c r="S142" s="79"/>
    </row>
    <row r="143" spans="1:19" s="2" customFormat="1" ht="24.95" customHeight="1" thickBot="1" x14ac:dyDescent="0.25">
      <c r="A143" s="64"/>
      <c r="B143" s="64"/>
      <c r="C143" s="64"/>
      <c r="D143" s="64"/>
      <c r="E143" s="64"/>
      <c r="F143" s="64"/>
      <c r="G143" s="64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70"/>
    </row>
    <row r="144" spans="1:19" s="79" customFormat="1" ht="23.25" customHeight="1" thickBot="1" x14ac:dyDescent="0.25">
      <c r="A144" s="247" t="s">
        <v>222</v>
      </c>
      <c r="B144" s="248"/>
      <c r="C144" s="248"/>
      <c r="D144" s="248"/>
      <c r="E144" s="248"/>
      <c r="F144" s="248"/>
      <c r="G144" s="248"/>
      <c r="H144" s="248"/>
      <c r="I144" s="248"/>
      <c r="J144" s="248"/>
      <c r="K144" s="248"/>
      <c r="L144" s="248"/>
      <c r="M144" s="248"/>
      <c r="N144" s="248"/>
      <c r="O144" s="248"/>
      <c r="P144" s="248"/>
      <c r="Q144" s="248"/>
      <c r="R144" s="248"/>
    </row>
    <row r="145" spans="1:19" s="28" customFormat="1" ht="25.5" customHeight="1" x14ac:dyDescent="0.2">
      <c r="A145" s="68">
        <f>+A141+1</f>
        <v>53</v>
      </c>
      <c r="B145" s="5" t="s">
        <v>391</v>
      </c>
      <c r="C145" s="155" t="s">
        <v>430</v>
      </c>
      <c r="D145" s="130" t="s">
        <v>221</v>
      </c>
      <c r="E145" s="125" t="s">
        <v>217</v>
      </c>
      <c r="F145" s="26" t="s">
        <v>590</v>
      </c>
      <c r="G145" s="26" t="s">
        <v>656</v>
      </c>
      <c r="H145" s="124">
        <v>70000</v>
      </c>
      <c r="I145" s="8">
        <f>H145*2.87%</f>
        <v>2009</v>
      </c>
      <c r="J145" s="108">
        <f>+H145*3.04%</f>
        <v>2128</v>
      </c>
      <c r="K145" s="108">
        <v>1577.45</v>
      </c>
      <c r="L145" s="8">
        <f t="shared" si="25"/>
        <v>5714.45</v>
      </c>
      <c r="M145" s="8">
        <f t="shared" si="26"/>
        <v>64285.55</v>
      </c>
      <c r="N145" s="8">
        <f>+IF(M145*12&lt;=416220.01,0,IF(M145*12&lt;=624329.01,(((M145*12-416220.01)*0.15)/12),IF((M145*12&lt;=867123.01),(31216+0.2*(M145*12-624329.01))/12,((79776+0.25*(M145*12-867123.01))/12))))-O145</f>
        <v>997.63983333333499</v>
      </c>
      <c r="O145" s="8">
        <v>4055.32</v>
      </c>
      <c r="P145" s="107">
        <v>25</v>
      </c>
      <c r="Q145" s="8">
        <f>+P145+N145+L145</f>
        <v>6737.0898333333353</v>
      </c>
      <c r="R145" s="107">
        <f>+H145-Q145</f>
        <v>63262.910166666668</v>
      </c>
      <c r="S145" s="79"/>
    </row>
    <row r="146" spans="1:19" s="70" customFormat="1" ht="23.25" customHeight="1" x14ac:dyDescent="0.2">
      <c r="A146" s="272" t="s">
        <v>126</v>
      </c>
      <c r="B146" s="276"/>
      <c r="C146" s="252"/>
      <c r="D146" s="252"/>
      <c r="E146" s="252"/>
      <c r="F146" s="252"/>
      <c r="G146" s="253"/>
      <c r="H146" s="16">
        <f>SUM(H145:H145)</f>
        <v>70000</v>
      </c>
      <c r="I146" s="16">
        <f t="shared" ref="I146:R146" si="51">SUM(I145:I145)</f>
        <v>2009</v>
      </c>
      <c r="J146" s="16">
        <f t="shared" si="51"/>
        <v>2128</v>
      </c>
      <c r="K146" s="16">
        <f t="shared" si="51"/>
        <v>1577.45</v>
      </c>
      <c r="L146" s="16">
        <f t="shared" si="51"/>
        <v>5714.45</v>
      </c>
      <c r="M146" s="16">
        <f t="shared" si="51"/>
        <v>64285.55</v>
      </c>
      <c r="N146" s="16">
        <f t="shared" si="51"/>
        <v>997.63983333333499</v>
      </c>
      <c r="O146" s="16">
        <f t="shared" si="51"/>
        <v>4055.32</v>
      </c>
      <c r="P146" s="16">
        <f t="shared" si="51"/>
        <v>25</v>
      </c>
      <c r="Q146" s="16">
        <f t="shared" si="51"/>
        <v>6737.0898333333353</v>
      </c>
      <c r="R146" s="16">
        <f t="shared" si="51"/>
        <v>63262.910166666668</v>
      </c>
    </row>
    <row r="147" spans="1:19" s="2" customFormat="1" ht="24.95" customHeight="1" thickBot="1" x14ac:dyDescent="0.25">
      <c r="A147" s="138"/>
      <c r="B147" s="1"/>
      <c r="C147" s="4"/>
      <c r="D147" s="139"/>
      <c r="E147" s="140"/>
      <c r="F147" s="25"/>
      <c r="G147" s="25"/>
      <c r="H147" s="141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</row>
    <row r="148" spans="1:19" s="2" customFormat="1" ht="24.95" customHeight="1" thickBot="1" x14ac:dyDescent="0.25">
      <c r="A148" s="247" t="s">
        <v>209</v>
      </c>
      <c r="B148" s="248"/>
      <c r="C148" s="248"/>
      <c r="D148" s="248"/>
      <c r="E148" s="248"/>
      <c r="F148" s="248"/>
      <c r="G148" s="248"/>
      <c r="H148" s="248"/>
      <c r="I148" s="248"/>
      <c r="J148" s="248"/>
      <c r="K148" s="248"/>
      <c r="L148" s="248"/>
      <c r="M148" s="248"/>
      <c r="N148" s="248"/>
      <c r="O148" s="248"/>
      <c r="P148" s="248"/>
      <c r="Q148" s="248"/>
      <c r="R148" s="248"/>
      <c r="S148" s="70"/>
    </row>
    <row r="149" spans="1:19" s="80" customFormat="1" ht="24.95" customHeight="1" x14ac:dyDescent="0.2">
      <c r="A149" s="129">
        <f>+A145+1</f>
        <v>54</v>
      </c>
      <c r="B149" s="127" t="s">
        <v>392</v>
      </c>
      <c r="C149" s="129" t="s">
        <v>430</v>
      </c>
      <c r="D149" s="128" t="s">
        <v>223</v>
      </c>
      <c r="E149" s="125" t="s">
        <v>217</v>
      </c>
      <c r="F149" s="127" t="s">
        <v>548</v>
      </c>
      <c r="G149" s="127" t="s">
        <v>651</v>
      </c>
      <c r="H149" s="176">
        <v>135000</v>
      </c>
      <c r="I149" s="8">
        <f>H149*2.87%</f>
        <v>3874.5</v>
      </c>
      <c r="J149" s="8">
        <f>+H149*3.04%</f>
        <v>4104</v>
      </c>
      <c r="K149" s="8"/>
      <c r="L149" s="8">
        <f t="shared" ref="L149:L209" si="52">+J149+I149+K149</f>
        <v>7978.5</v>
      </c>
      <c r="M149" s="8">
        <f t="shared" ref="M149:M209" si="53">+H149-L149</f>
        <v>127021.5</v>
      </c>
      <c r="N149" s="8">
        <f>+IF(M149*12&lt;=416220.01,0,IF(M149*12&lt;=624329.01,(((M149*12-416220.01)*0.15)/12),IF((M149*12&lt;=867123.01),(31216+0.2*(M149*12-624329.01))/12,((79776+0.25*(M149*12-867123.01))/12))))-O149</f>
        <v>20338.312291666665</v>
      </c>
      <c r="O149" s="8"/>
      <c r="P149" s="9">
        <v>3025</v>
      </c>
      <c r="Q149" s="8">
        <f t="shared" ref="Q149:Q154" si="54">+P149+N149+L149</f>
        <v>31341.812291666665</v>
      </c>
      <c r="R149" s="9">
        <f t="shared" ref="R149:R154" si="55">+H149-Q149</f>
        <v>103658.18770833334</v>
      </c>
    </row>
    <row r="150" spans="1:19" s="80" customFormat="1" ht="24.95" customHeight="1" x14ac:dyDescent="0.2">
      <c r="A150" s="104">
        <f>+A149+1</f>
        <v>55</v>
      </c>
      <c r="B150" s="199" t="s">
        <v>388</v>
      </c>
      <c r="C150" s="68" t="s">
        <v>429</v>
      </c>
      <c r="D150" s="199" t="s">
        <v>541</v>
      </c>
      <c r="E150" s="105" t="s">
        <v>217</v>
      </c>
      <c r="F150" s="26" t="s">
        <v>590</v>
      </c>
      <c r="G150" s="26" t="s">
        <v>656</v>
      </c>
      <c r="H150" s="107">
        <v>80000</v>
      </c>
      <c r="I150" s="108">
        <f>H150*2.87%</f>
        <v>2296</v>
      </c>
      <c r="J150" s="108">
        <f>+H150*3.04%</f>
        <v>2432</v>
      </c>
      <c r="K150" s="108"/>
      <c r="L150" s="8">
        <f t="shared" si="52"/>
        <v>4728</v>
      </c>
      <c r="M150" s="8">
        <f t="shared" si="53"/>
        <v>75272</v>
      </c>
      <c r="N150" s="8">
        <f t="shared" ref="N150:N154" si="56">+IF(M150*12&lt;=416220.01,0,IF(M150*12&lt;=624329.01,(((M150*12-416220.01)*0.15)/12),IF((M150*12&lt;=867123.01),(31216+0.2*(M150*12-624329.01))/12,((79776+0.25*(M150*12-867123.01))/12))))-O150</f>
        <v>-2.7083333334303461E-3</v>
      </c>
      <c r="O150" s="8">
        <v>7400.94</v>
      </c>
      <c r="P150" s="107">
        <v>25</v>
      </c>
      <c r="Q150" s="8">
        <f t="shared" si="54"/>
        <v>4752.9972916666666</v>
      </c>
      <c r="R150" s="107">
        <f t="shared" si="55"/>
        <v>75247.002708333341</v>
      </c>
    </row>
    <row r="151" spans="1:19" s="80" customFormat="1" ht="24.95" customHeight="1" x14ac:dyDescent="0.2">
      <c r="A151" s="129">
        <f>+A150+1</f>
        <v>56</v>
      </c>
      <c r="B151" s="127" t="s">
        <v>104</v>
      </c>
      <c r="C151" s="129" t="s">
        <v>430</v>
      </c>
      <c r="D151" s="130" t="s">
        <v>542</v>
      </c>
      <c r="E151" s="125" t="s">
        <v>217</v>
      </c>
      <c r="F151" s="26" t="s">
        <v>567</v>
      </c>
      <c r="G151" s="26" t="s">
        <v>665</v>
      </c>
      <c r="H151" s="197">
        <v>70000</v>
      </c>
      <c r="I151" s="5">
        <f>H151*2.87%</f>
        <v>2009</v>
      </c>
      <c r="J151" s="5">
        <f>+H151*3.04%</f>
        <v>2128</v>
      </c>
      <c r="K151" s="8">
        <v>1577.45</v>
      </c>
      <c r="L151" s="8">
        <f t="shared" si="52"/>
        <v>5714.45</v>
      </c>
      <c r="M151" s="8">
        <f t="shared" si="53"/>
        <v>64285.55</v>
      </c>
      <c r="N151" s="8">
        <f t="shared" si="56"/>
        <v>1267.679833333335</v>
      </c>
      <c r="O151" s="8">
        <v>3785.28</v>
      </c>
      <c r="P151" s="5">
        <v>2460.35</v>
      </c>
      <c r="Q151" s="8">
        <f t="shared" si="54"/>
        <v>9442.4798333333347</v>
      </c>
      <c r="R151" s="9">
        <f t="shared" si="55"/>
        <v>60557.520166666669</v>
      </c>
    </row>
    <row r="152" spans="1:19" s="70" customFormat="1" ht="24.95" customHeight="1" x14ac:dyDescent="0.2">
      <c r="A152" s="129">
        <f>+A151+1</f>
        <v>57</v>
      </c>
      <c r="B152" s="127" t="s">
        <v>390</v>
      </c>
      <c r="C152" s="155" t="s">
        <v>430</v>
      </c>
      <c r="D152" s="130" t="s">
        <v>221</v>
      </c>
      <c r="E152" s="125" t="s">
        <v>217</v>
      </c>
      <c r="F152" s="26" t="s">
        <v>561</v>
      </c>
      <c r="G152" s="26" t="s">
        <v>653</v>
      </c>
      <c r="H152" s="8">
        <v>70000</v>
      </c>
      <c r="I152" s="8">
        <f>H152*2.87%</f>
        <v>2009</v>
      </c>
      <c r="J152" s="8">
        <f>+H152*3.04%</f>
        <v>2128</v>
      </c>
      <c r="K152" s="8"/>
      <c r="L152" s="8">
        <f t="shared" si="52"/>
        <v>4137</v>
      </c>
      <c r="M152" s="8">
        <f t="shared" si="53"/>
        <v>65863</v>
      </c>
      <c r="N152" s="8">
        <f t="shared" si="56"/>
        <v>1549.6798333333331</v>
      </c>
      <c r="O152" s="8">
        <v>3818.77</v>
      </c>
      <c r="P152" s="9">
        <v>25</v>
      </c>
      <c r="Q152" s="8">
        <f t="shared" si="54"/>
        <v>5711.6798333333336</v>
      </c>
      <c r="R152" s="9">
        <f t="shared" si="55"/>
        <v>64288.320166666665</v>
      </c>
    </row>
    <row r="153" spans="1:19" s="70" customFormat="1" ht="24.95" customHeight="1" x14ac:dyDescent="0.2">
      <c r="A153" s="104">
        <f t="shared" ref="A153:A154" si="57">+A152+1</f>
        <v>58</v>
      </c>
      <c r="B153" s="127" t="s">
        <v>394</v>
      </c>
      <c r="C153" s="155" t="s">
        <v>430</v>
      </c>
      <c r="D153" s="130" t="s">
        <v>150</v>
      </c>
      <c r="E153" s="125" t="s">
        <v>217</v>
      </c>
      <c r="F153" s="26" t="s">
        <v>575</v>
      </c>
      <c r="G153" s="26" t="s">
        <v>649</v>
      </c>
      <c r="H153" s="124">
        <v>60000</v>
      </c>
      <c r="I153" s="5">
        <f>H153*2.87%</f>
        <v>1722</v>
      </c>
      <c r="J153" s="5">
        <f>+H153*3.04%</f>
        <v>1824</v>
      </c>
      <c r="K153" s="5"/>
      <c r="L153" s="8">
        <f t="shared" si="52"/>
        <v>3546</v>
      </c>
      <c r="M153" s="8">
        <f t="shared" si="53"/>
        <v>56454</v>
      </c>
      <c r="N153" s="8">
        <f t="shared" si="56"/>
        <v>-1.6666666715536849E-4</v>
      </c>
      <c r="O153" s="8">
        <v>3486.65</v>
      </c>
      <c r="P153" s="9">
        <v>13708.22</v>
      </c>
      <c r="Q153" s="8">
        <f t="shared" si="54"/>
        <v>17254.219833333333</v>
      </c>
      <c r="R153" s="9">
        <f t="shared" si="55"/>
        <v>42745.780166666664</v>
      </c>
    </row>
    <row r="154" spans="1:19" s="6" customFormat="1" ht="24.95" customHeight="1" x14ac:dyDescent="0.2">
      <c r="A154" s="129">
        <f t="shared" si="57"/>
        <v>59</v>
      </c>
      <c r="B154" s="127" t="s">
        <v>395</v>
      </c>
      <c r="C154" s="155" t="s">
        <v>430</v>
      </c>
      <c r="D154" s="130" t="s">
        <v>396</v>
      </c>
      <c r="E154" s="125" t="s">
        <v>217</v>
      </c>
      <c r="F154" s="130" t="s">
        <v>575</v>
      </c>
      <c r="G154" s="130" t="s">
        <v>649</v>
      </c>
      <c r="H154" s="124">
        <v>55000</v>
      </c>
      <c r="I154" s="5">
        <f t="shared" ref="I154" si="58">H154*2.87%</f>
        <v>1578.5</v>
      </c>
      <c r="J154" s="5">
        <f t="shared" ref="J154" si="59">+H154*3.04%</f>
        <v>1672</v>
      </c>
      <c r="K154" s="5"/>
      <c r="L154" s="8">
        <f t="shared" si="52"/>
        <v>3250.5</v>
      </c>
      <c r="M154" s="8">
        <f t="shared" si="53"/>
        <v>51749.5</v>
      </c>
      <c r="N154" s="8">
        <f t="shared" si="56"/>
        <v>4.8749999996289262E-3</v>
      </c>
      <c r="O154" s="8">
        <v>2559.67</v>
      </c>
      <c r="P154" s="9">
        <v>1125</v>
      </c>
      <c r="Q154" s="8">
        <f t="shared" si="54"/>
        <v>4375.5048749999996</v>
      </c>
      <c r="R154" s="9">
        <f t="shared" si="55"/>
        <v>50624.495125000001</v>
      </c>
      <c r="S154" s="80"/>
    </row>
    <row r="155" spans="1:19" s="6" customFormat="1" ht="24.95" customHeight="1" x14ac:dyDescent="0.2">
      <c r="A155" s="272" t="s">
        <v>126</v>
      </c>
      <c r="B155" s="273"/>
      <c r="C155" s="249"/>
      <c r="D155" s="249"/>
      <c r="E155" s="249"/>
      <c r="F155" s="249"/>
      <c r="G155" s="249"/>
      <c r="H155" s="16">
        <f t="shared" ref="H155:R155" si="60">SUM(H149:H154)</f>
        <v>470000</v>
      </c>
      <c r="I155" s="16">
        <f t="shared" si="60"/>
        <v>13489</v>
      </c>
      <c r="J155" s="16">
        <f t="shared" si="60"/>
        <v>14288</v>
      </c>
      <c r="K155" s="16">
        <f t="shared" si="60"/>
        <v>1577.45</v>
      </c>
      <c r="L155" s="16">
        <f t="shared" si="60"/>
        <v>29354.45</v>
      </c>
      <c r="M155" s="16">
        <f t="shared" si="60"/>
        <v>440645.55</v>
      </c>
      <c r="N155" s="16">
        <f t="shared" si="60"/>
        <v>23155.673958333329</v>
      </c>
      <c r="O155" s="16">
        <f t="shared" si="60"/>
        <v>21051.309999999998</v>
      </c>
      <c r="P155" s="16">
        <f t="shared" si="60"/>
        <v>20368.57</v>
      </c>
      <c r="Q155" s="16">
        <f t="shared" si="60"/>
        <v>72878.69395833333</v>
      </c>
      <c r="R155" s="16">
        <f t="shared" si="60"/>
        <v>397121.30604166666</v>
      </c>
      <c r="S155" s="80"/>
    </row>
    <row r="156" spans="1:19" s="6" customFormat="1" ht="24.95" customHeight="1" thickBot="1" x14ac:dyDescent="0.25">
      <c r="A156" s="64"/>
      <c r="B156" s="64"/>
      <c r="C156" s="64"/>
      <c r="D156" s="64"/>
      <c r="E156" s="64"/>
      <c r="F156" s="64"/>
      <c r="G156" s="64"/>
      <c r="S156" s="80"/>
    </row>
    <row r="157" spans="1:19" s="6" customFormat="1" ht="24.95" customHeight="1" thickBot="1" x14ac:dyDescent="0.25">
      <c r="A157" s="247" t="s">
        <v>476</v>
      </c>
      <c r="B157" s="248"/>
      <c r="C157" s="248"/>
      <c r="D157" s="248"/>
      <c r="E157" s="248"/>
      <c r="F157" s="248"/>
      <c r="G157" s="248"/>
      <c r="H157" s="248"/>
      <c r="I157" s="248"/>
      <c r="J157" s="248"/>
      <c r="K157" s="248"/>
      <c r="L157" s="248"/>
      <c r="M157" s="248"/>
      <c r="N157" s="248"/>
      <c r="O157" s="248"/>
      <c r="P157" s="248"/>
      <c r="Q157" s="248"/>
      <c r="R157" s="248"/>
      <c r="S157" s="80"/>
    </row>
    <row r="158" spans="1:19" s="6" customFormat="1" ht="24.95" customHeight="1" x14ac:dyDescent="0.2">
      <c r="A158" s="68">
        <f>+A154+1</f>
        <v>60</v>
      </c>
      <c r="B158" s="130" t="s">
        <v>224</v>
      </c>
      <c r="C158" s="129" t="s">
        <v>430</v>
      </c>
      <c r="D158" s="128" t="s">
        <v>477</v>
      </c>
      <c r="E158" s="125" t="s">
        <v>217</v>
      </c>
      <c r="F158" s="127" t="s">
        <v>548</v>
      </c>
      <c r="G158" s="127" t="s">
        <v>651</v>
      </c>
      <c r="H158" s="197">
        <v>170000</v>
      </c>
      <c r="I158" s="63">
        <f>H158*2.87%</f>
        <v>4879</v>
      </c>
      <c r="J158" s="108">
        <f>+H158*3.04%</f>
        <v>5168</v>
      </c>
      <c r="K158" s="108"/>
      <c r="L158" s="8">
        <f t="shared" si="52"/>
        <v>10047</v>
      </c>
      <c r="M158" s="8">
        <f t="shared" si="53"/>
        <v>159953</v>
      </c>
      <c r="N158" s="8">
        <f>+IF(M158*12&lt;=416220.01,0,IF(M158*12&lt;=624329.01,(((M158*12-416220.01)*0.15)/12),IF((M158*12&lt;=867123.01),(31216+0.2*(M158*12-624329.01))/12,((79776+0.25*(M158*12-867123.01))/12))))</f>
        <v>28571.187291666665</v>
      </c>
      <c r="O158" s="8"/>
      <c r="P158" s="69">
        <v>5025</v>
      </c>
      <c r="Q158" s="8">
        <f>+P158+N158+L158</f>
        <v>43643.187291666662</v>
      </c>
      <c r="R158" s="69">
        <f>+H158-Q158</f>
        <v>126356.81270833334</v>
      </c>
      <c r="S158" s="80"/>
    </row>
    <row r="159" spans="1:19" s="6" customFormat="1" ht="24.95" customHeight="1" x14ac:dyDescent="0.2">
      <c r="A159" s="272" t="s">
        <v>126</v>
      </c>
      <c r="B159" s="273"/>
      <c r="C159" s="249"/>
      <c r="D159" s="249"/>
      <c r="E159" s="249"/>
      <c r="F159" s="249"/>
      <c r="G159" s="249"/>
      <c r="H159" s="16">
        <f>SUM(H158:H158)</f>
        <v>170000</v>
      </c>
      <c r="I159" s="16">
        <f t="shared" ref="I159:R159" si="61">SUM(I158:I158)</f>
        <v>4879</v>
      </c>
      <c r="J159" s="16">
        <f t="shared" si="61"/>
        <v>5168</v>
      </c>
      <c r="K159" s="16">
        <f t="shared" si="61"/>
        <v>0</v>
      </c>
      <c r="L159" s="16">
        <f t="shared" si="61"/>
        <v>10047</v>
      </c>
      <c r="M159" s="16">
        <f t="shared" si="61"/>
        <v>159953</v>
      </c>
      <c r="N159" s="16">
        <f t="shared" si="61"/>
        <v>28571.187291666665</v>
      </c>
      <c r="O159" s="16"/>
      <c r="P159" s="16">
        <f t="shared" si="61"/>
        <v>5025</v>
      </c>
      <c r="Q159" s="16">
        <f t="shared" si="61"/>
        <v>43643.187291666662</v>
      </c>
      <c r="R159" s="16">
        <f t="shared" si="61"/>
        <v>126356.81270833334</v>
      </c>
      <c r="S159" s="80"/>
    </row>
    <row r="160" spans="1:19" s="28" customFormat="1" ht="27" customHeight="1" thickBot="1" x14ac:dyDescent="0.25">
      <c r="A160" s="64"/>
      <c r="B160" s="64"/>
      <c r="C160" s="64"/>
      <c r="D160" s="64"/>
      <c r="E160" s="64"/>
      <c r="F160" s="64"/>
      <c r="G160" s="64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79"/>
    </row>
    <row r="161" spans="1:19" s="79" customFormat="1" ht="24.95" customHeight="1" thickBot="1" x14ac:dyDescent="0.25">
      <c r="A161" s="247" t="s">
        <v>177</v>
      </c>
      <c r="B161" s="248"/>
      <c r="C161" s="248"/>
      <c r="D161" s="248"/>
      <c r="E161" s="248"/>
      <c r="F161" s="248"/>
      <c r="G161" s="248"/>
      <c r="H161" s="248"/>
      <c r="I161" s="248"/>
      <c r="J161" s="248"/>
      <c r="K161" s="248"/>
      <c r="L161" s="248"/>
      <c r="M161" s="248"/>
      <c r="N161" s="248"/>
      <c r="O161" s="248"/>
      <c r="P161" s="248"/>
      <c r="Q161" s="248"/>
      <c r="R161" s="248"/>
    </row>
    <row r="162" spans="1:19" s="79" customFormat="1" ht="27.6" customHeight="1" x14ac:dyDescent="0.2">
      <c r="A162" s="104">
        <f>+A158+1</f>
        <v>61</v>
      </c>
      <c r="B162" s="143" t="s">
        <v>503</v>
      </c>
      <c r="C162" s="12" t="s">
        <v>430</v>
      </c>
      <c r="D162" s="125" t="s">
        <v>504</v>
      </c>
      <c r="E162" s="125" t="s">
        <v>217</v>
      </c>
      <c r="F162" s="26" t="s">
        <v>562</v>
      </c>
      <c r="G162" s="26" t="s">
        <v>654</v>
      </c>
      <c r="H162" s="176">
        <v>135000</v>
      </c>
      <c r="I162" s="108">
        <f>H162*2.87%</f>
        <v>3874.5</v>
      </c>
      <c r="J162" s="108">
        <f>+H162*3.04%</f>
        <v>4104</v>
      </c>
      <c r="K162" s="108"/>
      <c r="L162" s="8">
        <f t="shared" si="52"/>
        <v>7978.5</v>
      </c>
      <c r="M162" s="8">
        <f t="shared" si="53"/>
        <v>127021.5</v>
      </c>
      <c r="N162" s="8">
        <f>+IF(M162*12&lt;=416220.01,0,IF(M162*12&lt;=624329.01,(((M162*12-416220.01)*0.15)/12),IF((M162*12&lt;=867123.01),(31216+0.2*(M162*12-624329.01))/12,((79776+0.25*(M162*12-867123.01))/12))))-O162</f>
        <v>20338.312291666665</v>
      </c>
      <c r="O162" s="8"/>
      <c r="P162" s="107">
        <v>3025</v>
      </c>
      <c r="Q162" s="8">
        <f>+P162+N162+L162</f>
        <v>31341.812291666665</v>
      </c>
      <c r="R162" s="107">
        <f>+H162-Q162</f>
        <v>103658.18770833334</v>
      </c>
    </row>
    <row r="163" spans="1:19" s="28" customFormat="1" ht="26.25" customHeight="1" x14ac:dyDescent="0.2">
      <c r="A163" s="68">
        <f>+A162+1</f>
        <v>62</v>
      </c>
      <c r="B163" s="130" t="s">
        <v>370</v>
      </c>
      <c r="C163" s="129" t="s">
        <v>430</v>
      </c>
      <c r="D163" s="128" t="s">
        <v>397</v>
      </c>
      <c r="E163" s="125" t="s">
        <v>217</v>
      </c>
      <c r="F163" s="130" t="s">
        <v>575</v>
      </c>
      <c r="G163" s="130" t="s">
        <v>649</v>
      </c>
      <c r="H163" s="197">
        <v>60000</v>
      </c>
      <c r="I163" s="63">
        <f>H163*2.87%</f>
        <v>1722</v>
      </c>
      <c r="J163" s="108">
        <f t="shared" ref="J163" si="62">+H163*3.04%</f>
        <v>1824</v>
      </c>
      <c r="K163" s="108"/>
      <c r="L163" s="8">
        <f t="shared" si="52"/>
        <v>3546</v>
      </c>
      <c r="M163" s="8">
        <f t="shared" si="53"/>
        <v>56454</v>
      </c>
      <c r="N163" s="8">
        <f t="shared" ref="N163:N164" si="63">+IF(M163*12&lt;=416220.01,0,IF(M163*12&lt;=624329.01,(((M163*12-416220.01)*0.15)/12),IF((M163*12&lt;=867123.01),(31216+0.2*(M163*12-624329.01))/12,((79776+0.25*(M163*12-867123.01))/12))))-O163</f>
        <v>-1.6666666715536849E-4</v>
      </c>
      <c r="O163" s="8">
        <v>3486.65</v>
      </c>
      <c r="P163" s="69">
        <v>3775</v>
      </c>
      <c r="Q163" s="8">
        <f t="shared" ref="Q163:Q164" si="64">+P163+N163+L163</f>
        <v>7320.9998333333333</v>
      </c>
      <c r="R163" s="69">
        <f>+H163-Q163</f>
        <v>52679.000166666665</v>
      </c>
      <c r="S163" s="79"/>
    </row>
    <row r="164" spans="1:19" s="28" customFormat="1" ht="26.25" customHeight="1" x14ac:dyDescent="0.2">
      <c r="A164" s="68">
        <f>+A163+1</f>
        <v>63</v>
      </c>
      <c r="B164" s="130" t="s">
        <v>583</v>
      </c>
      <c r="C164" s="129" t="s">
        <v>430</v>
      </c>
      <c r="D164" s="128" t="s">
        <v>584</v>
      </c>
      <c r="E164" s="125" t="s">
        <v>217</v>
      </c>
      <c r="F164" s="130" t="s">
        <v>579</v>
      </c>
      <c r="G164" s="130" t="s">
        <v>652</v>
      </c>
      <c r="H164" s="197">
        <v>50000</v>
      </c>
      <c r="I164" s="63">
        <f>H164*2.87%</f>
        <v>1435</v>
      </c>
      <c r="J164" s="108">
        <f t="shared" ref="J164" si="65">+H164*3.04%</f>
        <v>1520</v>
      </c>
      <c r="K164" s="108"/>
      <c r="L164" s="8">
        <f t="shared" si="52"/>
        <v>2955</v>
      </c>
      <c r="M164" s="8">
        <f t="shared" si="53"/>
        <v>47045</v>
      </c>
      <c r="N164" s="8">
        <f t="shared" si="63"/>
        <v>-1.2500000025283953E-4</v>
      </c>
      <c r="O164" s="8">
        <v>1854</v>
      </c>
      <c r="P164" s="69">
        <v>25</v>
      </c>
      <c r="Q164" s="8">
        <f t="shared" si="64"/>
        <v>2979.9998749999995</v>
      </c>
      <c r="R164" s="69">
        <f>+H164-Q164</f>
        <v>47020.000124999999</v>
      </c>
      <c r="S164" s="79"/>
    </row>
    <row r="165" spans="1:19" s="28" customFormat="1" ht="22.5" customHeight="1" x14ac:dyDescent="0.2">
      <c r="A165" s="272" t="s">
        <v>126</v>
      </c>
      <c r="B165" s="273"/>
      <c r="C165" s="249"/>
      <c r="D165" s="249"/>
      <c r="E165" s="249"/>
      <c r="F165" s="249"/>
      <c r="G165" s="249"/>
      <c r="H165" s="16">
        <f>SUM(H162:H164)</f>
        <v>245000</v>
      </c>
      <c r="I165" s="16">
        <f>SUM(I162:I164)</f>
        <v>7031.5</v>
      </c>
      <c r="J165" s="16">
        <f t="shared" ref="J165:R165" si="66">SUM(J162:J164)</f>
        <v>7448</v>
      </c>
      <c r="K165" s="16">
        <f t="shared" si="66"/>
        <v>0</v>
      </c>
      <c r="L165" s="16">
        <f t="shared" si="66"/>
        <v>14479.5</v>
      </c>
      <c r="M165" s="16">
        <f t="shared" si="66"/>
        <v>230520.5</v>
      </c>
      <c r="N165" s="16">
        <f t="shared" si="66"/>
        <v>20338.311999999998</v>
      </c>
      <c r="O165" s="16">
        <f t="shared" si="66"/>
        <v>5340.65</v>
      </c>
      <c r="P165" s="16">
        <f t="shared" si="66"/>
        <v>6825</v>
      </c>
      <c r="Q165" s="16">
        <f t="shared" si="66"/>
        <v>41642.811999999998</v>
      </c>
      <c r="R165" s="16">
        <f t="shared" si="66"/>
        <v>203357.18799999999</v>
      </c>
      <c r="S165" s="79"/>
    </row>
    <row r="166" spans="1:19" s="28" customFormat="1" ht="15" customHeight="1" thickBot="1" x14ac:dyDescent="0.25">
      <c r="A166" s="64"/>
      <c r="B166" s="64"/>
      <c r="C166" s="64"/>
      <c r="D166" s="64"/>
      <c r="E166" s="64"/>
      <c r="F166" s="64"/>
      <c r="G166" s="64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79"/>
    </row>
    <row r="167" spans="1:19" s="28" customFormat="1" ht="22.5" customHeight="1" thickBot="1" x14ac:dyDescent="0.25">
      <c r="A167" s="247" t="s">
        <v>178</v>
      </c>
      <c r="B167" s="248"/>
      <c r="C167" s="248"/>
      <c r="D167" s="248"/>
      <c r="E167" s="248"/>
      <c r="F167" s="248"/>
      <c r="G167" s="248"/>
      <c r="H167" s="248"/>
      <c r="I167" s="248"/>
      <c r="J167" s="248"/>
      <c r="K167" s="248"/>
      <c r="L167" s="248"/>
      <c r="M167" s="248"/>
      <c r="N167" s="248"/>
      <c r="O167" s="248"/>
      <c r="P167" s="248"/>
      <c r="Q167" s="248"/>
      <c r="R167" s="248"/>
      <c r="S167" s="79"/>
    </row>
    <row r="168" spans="1:19" s="79" customFormat="1" ht="24.95" customHeight="1" x14ac:dyDescent="0.2">
      <c r="A168" s="104">
        <f>+A164+1</f>
        <v>64</v>
      </c>
      <c r="B168" s="26" t="s">
        <v>454</v>
      </c>
      <c r="C168" s="12" t="s">
        <v>429</v>
      </c>
      <c r="D168" s="26" t="s">
        <v>446</v>
      </c>
      <c r="E168" s="125" t="s">
        <v>217</v>
      </c>
      <c r="F168" s="26" t="s">
        <v>588</v>
      </c>
      <c r="G168" s="26" t="s">
        <v>660</v>
      </c>
      <c r="H168" s="9">
        <v>70000</v>
      </c>
      <c r="I168" s="108">
        <f t="shared" ref="I168" si="67">H168*2.87%</f>
        <v>2009</v>
      </c>
      <c r="J168" s="108">
        <f>+H168*3.04%</f>
        <v>2128</v>
      </c>
      <c r="K168" s="108"/>
      <c r="L168" s="8">
        <f t="shared" si="52"/>
        <v>4137</v>
      </c>
      <c r="M168" s="8">
        <f t="shared" si="53"/>
        <v>65863</v>
      </c>
      <c r="N168" s="8">
        <f>+IF(M168*12&lt;=416220.01,0,IF(M168*12&lt;=624329.01,(((M168*12-416220.01)*0.15)/12),IF((M168*12&lt;=867123.01),(31216+0.2*(M168*12-624329.01))/12,((79776+0.25*(M168*12-867123.01))/12))))-O168</f>
        <v>731.60983333333297</v>
      </c>
      <c r="O168" s="8">
        <v>4636.84</v>
      </c>
      <c r="P168" s="107">
        <v>25</v>
      </c>
      <c r="Q168" s="8">
        <f>+P168+N168+L168</f>
        <v>4893.609833333333</v>
      </c>
      <c r="R168" s="107">
        <f>+H168-Q168</f>
        <v>65106.390166666664</v>
      </c>
    </row>
    <row r="169" spans="1:19" s="28" customFormat="1" ht="22.5" customHeight="1" x14ac:dyDescent="0.2">
      <c r="A169" s="104">
        <f>+A168+1</f>
        <v>65</v>
      </c>
      <c r="B169" s="26" t="s">
        <v>226</v>
      </c>
      <c r="C169" s="12" t="s">
        <v>429</v>
      </c>
      <c r="D169" s="26" t="s">
        <v>225</v>
      </c>
      <c r="E169" s="125" t="s">
        <v>217</v>
      </c>
      <c r="F169" s="127" t="s">
        <v>548</v>
      </c>
      <c r="G169" s="127" t="s">
        <v>651</v>
      </c>
      <c r="H169" s="9">
        <v>60000</v>
      </c>
      <c r="I169" s="108">
        <f t="shared" ref="I169" si="68">H169*2.87%</f>
        <v>1722</v>
      </c>
      <c r="J169" s="108">
        <f t="shared" ref="J169" si="69">+H169*3.04%</f>
        <v>1824</v>
      </c>
      <c r="K169" s="108"/>
      <c r="L169" s="8">
        <f t="shared" si="52"/>
        <v>3546</v>
      </c>
      <c r="M169" s="8">
        <f t="shared" si="53"/>
        <v>56454</v>
      </c>
      <c r="N169" s="8">
        <f>+IF(M169*12&lt;=416220.01,0,IF(M169*12&lt;=624329.01,(((M169*12-416220.01)*0.15)/12),IF((M169*12&lt;=867123.01),(31216+0.2*(M169*12-624329.01))/12,((79776+0.25*(M169*12-867123.01))/12))))-O169</f>
        <v>-1.6666666715536849E-4</v>
      </c>
      <c r="O169" s="8">
        <v>3486.65</v>
      </c>
      <c r="P169" s="107">
        <v>25</v>
      </c>
      <c r="Q169" s="8">
        <f>+P169+N169+L169</f>
        <v>3570.9998333333328</v>
      </c>
      <c r="R169" s="107">
        <f>+H169-Q169</f>
        <v>56429.000166666665</v>
      </c>
      <c r="S169" s="79"/>
    </row>
    <row r="170" spans="1:19" s="2" customFormat="1" ht="22.5" customHeight="1" x14ac:dyDescent="0.2">
      <c r="A170" s="272" t="s">
        <v>126</v>
      </c>
      <c r="B170" s="273"/>
      <c r="C170" s="249"/>
      <c r="D170" s="249"/>
      <c r="E170" s="249"/>
      <c r="F170" s="249"/>
      <c r="G170" s="249"/>
      <c r="H170" s="16">
        <f>SUM(H168:H169)</f>
        <v>130000</v>
      </c>
      <c r="I170" s="16">
        <f t="shared" ref="I170:R170" si="70">SUM(I168:I169)</f>
        <v>3731</v>
      </c>
      <c r="J170" s="16">
        <f t="shared" si="70"/>
        <v>3952</v>
      </c>
      <c r="K170" s="16">
        <f t="shared" si="70"/>
        <v>0</v>
      </c>
      <c r="L170" s="16">
        <f t="shared" si="70"/>
        <v>7683</v>
      </c>
      <c r="M170" s="16">
        <f t="shared" si="70"/>
        <v>122317</v>
      </c>
      <c r="N170" s="16">
        <f t="shared" si="70"/>
        <v>731.60966666666582</v>
      </c>
      <c r="O170" s="16">
        <f t="shared" si="70"/>
        <v>8123.49</v>
      </c>
      <c r="P170" s="16">
        <f t="shared" si="70"/>
        <v>50</v>
      </c>
      <c r="Q170" s="16">
        <f t="shared" si="70"/>
        <v>8464.6096666666654</v>
      </c>
      <c r="R170" s="16">
        <f t="shared" si="70"/>
        <v>121535.39033333333</v>
      </c>
      <c r="S170" s="70"/>
    </row>
    <row r="171" spans="1:19" s="70" customFormat="1" ht="20.100000000000001" customHeight="1" thickBot="1" x14ac:dyDescent="0.25">
      <c r="A171" s="4"/>
      <c r="B171" s="25"/>
      <c r="C171" s="4"/>
      <c r="D171" s="27"/>
      <c r="E171" s="27"/>
      <c r="F171" s="27"/>
      <c r="G171" s="27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9" s="70" customFormat="1" ht="24.95" customHeight="1" thickBot="1" x14ac:dyDescent="0.25">
      <c r="A172" s="247" t="s">
        <v>313</v>
      </c>
      <c r="B172" s="248"/>
      <c r="C172" s="248"/>
      <c r="D172" s="248"/>
      <c r="E172" s="248"/>
      <c r="F172" s="248"/>
      <c r="G172" s="248"/>
      <c r="H172" s="248"/>
      <c r="I172" s="248"/>
      <c r="J172" s="248"/>
      <c r="K172" s="248"/>
      <c r="L172" s="248"/>
      <c r="M172" s="248"/>
      <c r="N172" s="248"/>
      <c r="O172" s="248"/>
      <c r="P172" s="248"/>
      <c r="Q172" s="248"/>
      <c r="R172" s="248"/>
    </row>
    <row r="173" spans="1:19" s="2" customFormat="1" ht="24.95" customHeight="1" x14ac:dyDescent="0.2">
      <c r="A173" s="104">
        <f>+A169+1</f>
        <v>66</v>
      </c>
      <c r="B173" s="26" t="s">
        <v>398</v>
      </c>
      <c r="C173" s="12" t="s">
        <v>429</v>
      </c>
      <c r="D173" s="125" t="s">
        <v>399</v>
      </c>
      <c r="E173" s="125" t="s">
        <v>217</v>
      </c>
      <c r="F173" s="106" t="s">
        <v>568</v>
      </c>
      <c r="G173" s="106" t="s">
        <v>666</v>
      </c>
      <c r="H173" s="8">
        <v>190000</v>
      </c>
      <c r="I173" s="108">
        <f>H173*2.87%</f>
        <v>5453</v>
      </c>
      <c r="J173" s="5">
        <f>187020*3.04%</f>
        <v>5685.4080000000004</v>
      </c>
      <c r="K173" s="5"/>
      <c r="L173" s="8">
        <f t="shared" si="52"/>
        <v>11138.407999999999</v>
      </c>
      <c r="M173" s="8">
        <f t="shared" si="53"/>
        <v>178861.592</v>
      </c>
      <c r="N173" s="8">
        <f>+IF(M173*12&lt;=416220.01,0,IF(M173*12&lt;=624329.01,(((M173*12-416220.01)*0.15)/12),IF((M173*12&lt;=867123.01),(31216+0.2*(M173*12-624329.01))/12,((79776+0.25*(M173*12-867123.01))/12))))</f>
        <v>33298.33529166667</v>
      </c>
      <c r="O173" s="8"/>
      <c r="P173" s="107">
        <v>25</v>
      </c>
      <c r="Q173" s="8">
        <f>+P173+N173+L173</f>
        <v>44461.743291666673</v>
      </c>
      <c r="R173" s="107">
        <f>+H173-Q173</f>
        <v>145538.25670833333</v>
      </c>
      <c r="S173" s="70"/>
    </row>
    <row r="174" spans="1:19" s="70" customFormat="1" ht="24.75" customHeight="1" thickBot="1" x14ac:dyDescent="0.25">
      <c r="A174" s="272" t="s">
        <v>126</v>
      </c>
      <c r="B174" s="273"/>
      <c r="C174" s="249"/>
      <c r="D174" s="249"/>
      <c r="E174" s="250"/>
      <c r="F174" s="250"/>
      <c r="G174" s="254"/>
      <c r="H174" s="78">
        <f>SUM(H173:H173)</f>
        <v>190000</v>
      </c>
      <c r="I174" s="78">
        <f t="shared" ref="I174:R174" si="71">SUM(I173:I173)</f>
        <v>5453</v>
      </c>
      <c r="J174" s="78">
        <f t="shared" si="71"/>
        <v>5685.4080000000004</v>
      </c>
      <c r="K174" s="78">
        <f t="shared" si="71"/>
        <v>0</v>
      </c>
      <c r="L174" s="78">
        <f t="shared" si="71"/>
        <v>11138.407999999999</v>
      </c>
      <c r="M174" s="78">
        <f t="shared" si="71"/>
        <v>178861.592</v>
      </c>
      <c r="N174" s="78">
        <f t="shared" si="71"/>
        <v>33298.33529166667</v>
      </c>
      <c r="O174" s="78"/>
      <c r="P174" s="78">
        <f t="shared" si="71"/>
        <v>25</v>
      </c>
      <c r="Q174" s="78">
        <f t="shared" si="71"/>
        <v>44461.743291666673</v>
      </c>
      <c r="R174" s="78">
        <f t="shared" si="71"/>
        <v>145538.25670833333</v>
      </c>
    </row>
    <row r="175" spans="1:19" s="70" customFormat="1" ht="24.75" customHeight="1" thickBot="1" x14ac:dyDescent="0.25">
      <c r="A175" s="213"/>
      <c r="B175" s="213"/>
      <c r="C175" s="213"/>
      <c r="D175" s="213"/>
      <c r="E175" s="213"/>
      <c r="F175" s="213"/>
      <c r="G175" s="213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</row>
    <row r="176" spans="1:19" s="70" customFormat="1" ht="24.75" customHeight="1" thickBot="1" x14ac:dyDescent="0.25">
      <c r="A176" s="247" t="s">
        <v>400</v>
      </c>
      <c r="B176" s="248"/>
      <c r="C176" s="248"/>
      <c r="D176" s="248"/>
      <c r="E176" s="248"/>
      <c r="F176" s="248"/>
      <c r="G176" s="248"/>
      <c r="H176" s="248"/>
      <c r="I176" s="248"/>
      <c r="J176" s="248"/>
      <c r="K176" s="248"/>
      <c r="L176" s="248"/>
      <c r="M176" s="248"/>
      <c r="N176" s="248"/>
      <c r="O176" s="248"/>
      <c r="P176" s="248"/>
      <c r="Q176" s="248"/>
      <c r="R176" s="248"/>
    </row>
    <row r="177" spans="1:19" s="28" customFormat="1" ht="24.95" customHeight="1" x14ac:dyDescent="0.2">
      <c r="A177" s="68">
        <f>+A173+1</f>
        <v>67</v>
      </c>
      <c r="B177" s="130" t="s">
        <v>88</v>
      </c>
      <c r="C177" s="129" t="s">
        <v>429</v>
      </c>
      <c r="D177" s="130" t="s">
        <v>101</v>
      </c>
      <c r="E177" s="125" t="s">
        <v>217</v>
      </c>
      <c r="F177" s="26" t="s">
        <v>588</v>
      </c>
      <c r="G177" s="26" t="s">
        <v>660</v>
      </c>
      <c r="H177" s="63">
        <v>90000</v>
      </c>
      <c r="I177" s="63">
        <f t="shared" ref="I177" si="72">H177*2.87%</f>
        <v>2583</v>
      </c>
      <c r="J177" s="63">
        <f t="shared" ref="J177" si="73">+H177*3.04%</f>
        <v>2736</v>
      </c>
      <c r="K177" s="63"/>
      <c r="L177" s="8">
        <f t="shared" si="52"/>
        <v>5319</v>
      </c>
      <c r="M177" s="8">
        <f t="shared" si="53"/>
        <v>84681</v>
      </c>
      <c r="N177" s="8">
        <f>+IF(M177*12&lt;=416220.01,0,IF(M177*12&lt;=624329.01,(((M177*12-416220.01)*0.15)/12),IF((M177*12&lt;=867123.01),(31216+0.2*(M177*12-624329.01))/12,((79776+0.25*(M177*12-867123.01))/12))))-O177</f>
        <v>9753.1872916666671</v>
      </c>
      <c r="O177" s="8"/>
      <c r="P177" s="107">
        <v>25</v>
      </c>
      <c r="Q177" s="8">
        <f>+P177+N177+L177</f>
        <v>15097.187291666667</v>
      </c>
      <c r="R177" s="107">
        <f>+H177-Q177</f>
        <v>74902.812708333338</v>
      </c>
      <c r="S177" s="79"/>
    </row>
    <row r="178" spans="1:19" s="28" customFormat="1" ht="24.95" customHeight="1" thickBot="1" x14ac:dyDescent="0.25">
      <c r="A178" s="68">
        <f>+A177+1</f>
        <v>68</v>
      </c>
      <c r="B178" s="130" t="s">
        <v>585</v>
      </c>
      <c r="C178" s="129" t="s">
        <v>429</v>
      </c>
      <c r="D178" s="130" t="s">
        <v>83</v>
      </c>
      <c r="E178" s="125" t="s">
        <v>217</v>
      </c>
      <c r="F178" s="26" t="s">
        <v>579</v>
      </c>
      <c r="G178" s="26" t="s">
        <v>652</v>
      </c>
      <c r="H178" s="63">
        <v>70000</v>
      </c>
      <c r="I178" s="63">
        <f t="shared" ref="I178" si="74">H178*2.87%</f>
        <v>2009</v>
      </c>
      <c r="J178" s="63">
        <f t="shared" ref="J178" si="75">+H178*3.04%</f>
        <v>2128</v>
      </c>
      <c r="K178" s="63"/>
      <c r="L178" s="8">
        <f t="shared" si="52"/>
        <v>4137</v>
      </c>
      <c r="M178" s="8">
        <f t="shared" si="53"/>
        <v>65863</v>
      </c>
      <c r="N178" s="8">
        <f>+IF(M178*12&lt;=416220.01,0,IF(M178*12&lt;=624329.01,(((M178*12-416220.01)*0.15)/12),IF((M178*12&lt;=867123.01),(31216+0.2*(M178*12-624329.01))/12,((79776+0.25*(M178*12-867123.01))/12))))-O178</f>
        <v>-1.6666666670062114E-4</v>
      </c>
      <c r="O178" s="8">
        <v>5368.45</v>
      </c>
      <c r="P178" s="107">
        <v>125</v>
      </c>
      <c r="Q178" s="8">
        <f>+P178+N178+L178</f>
        <v>4261.9998333333333</v>
      </c>
      <c r="R178" s="107">
        <f>+H178-Q178</f>
        <v>65738.000166666665</v>
      </c>
      <c r="S178" s="79"/>
    </row>
    <row r="179" spans="1:19" s="2" customFormat="1" ht="21.75" customHeight="1" thickBot="1" x14ac:dyDescent="0.25">
      <c r="A179" s="272" t="s">
        <v>126</v>
      </c>
      <c r="B179" s="273"/>
      <c r="C179" s="249"/>
      <c r="D179" s="249"/>
      <c r="E179" s="249"/>
      <c r="F179" s="249"/>
      <c r="G179" s="251"/>
      <c r="H179" s="65">
        <f>SUM(H177:H178)</f>
        <v>160000</v>
      </c>
      <c r="I179" s="65">
        <f t="shared" ref="I179:R179" si="76">SUM(I177:I178)</f>
        <v>4592</v>
      </c>
      <c r="J179" s="65">
        <f t="shared" si="76"/>
        <v>4864</v>
      </c>
      <c r="K179" s="65">
        <f t="shared" si="76"/>
        <v>0</v>
      </c>
      <c r="L179" s="65">
        <f t="shared" si="76"/>
        <v>9456</v>
      </c>
      <c r="M179" s="65">
        <f t="shared" si="76"/>
        <v>150544</v>
      </c>
      <c r="N179" s="65">
        <f t="shared" si="76"/>
        <v>9753.1871250000004</v>
      </c>
      <c r="O179" s="65">
        <f t="shared" si="76"/>
        <v>5368.45</v>
      </c>
      <c r="P179" s="65">
        <f t="shared" si="76"/>
        <v>150</v>
      </c>
      <c r="Q179" s="65">
        <f t="shared" si="76"/>
        <v>19359.187125</v>
      </c>
      <c r="R179" s="65">
        <f t="shared" si="76"/>
        <v>140640.812875</v>
      </c>
      <c r="S179" s="70"/>
    </row>
    <row r="180" spans="1:19" s="70" customFormat="1" ht="13.5" customHeight="1" thickBot="1" x14ac:dyDescent="0.25">
      <c r="A180" s="64"/>
      <c r="B180" s="64"/>
      <c r="C180" s="64"/>
      <c r="D180" s="64"/>
      <c r="E180" s="64"/>
      <c r="F180" s="64"/>
      <c r="G180" s="64"/>
      <c r="H180"/>
      <c r="I180"/>
      <c r="J180"/>
      <c r="K180"/>
      <c r="L180"/>
      <c r="M180"/>
      <c r="N180"/>
      <c r="O180"/>
      <c r="P180"/>
      <c r="Q180"/>
      <c r="R180"/>
    </row>
    <row r="181" spans="1:19" s="70" customFormat="1" ht="24.95" customHeight="1" thickBot="1" x14ac:dyDescent="0.25">
      <c r="A181" s="247" t="s">
        <v>318</v>
      </c>
      <c r="B181" s="248"/>
      <c r="C181" s="248"/>
      <c r="D181" s="248"/>
      <c r="E181" s="248"/>
      <c r="F181" s="248"/>
      <c r="G181" s="248"/>
      <c r="H181" s="248"/>
      <c r="I181" s="248"/>
      <c r="J181" s="248"/>
      <c r="K181" s="248"/>
      <c r="L181" s="248"/>
      <c r="M181" s="248"/>
      <c r="N181" s="248"/>
      <c r="O181" s="248"/>
      <c r="P181" s="248"/>
      <c r="Q181" s="248"/>
      <c r="R181" s="248"/>
    </row>
    <row r="182" spans="1:19" s="79" customFormat="1" ht="27" customHeight="1" x14ac:dyDescent="0.2">
      <c r="A182" s="104">
        <f>+A178+1</f>
        <v>69</v>
      </c>
      <c r="B182" s="26" t="s">
        <v>464</v>
      </c>
      <c r="C182" s="12" t="s">
        <v>429</v>
      </c>
      <c r="D182" s="125" t="s">
        <v>465</v>
      </c>
      <c r="E182" s="125" t="s">
        <v>217</v>
      </c>
      <c r="F182" s="26" t="s">
        <v>587</v>
      </c>
      <c r="G182" s="26" t="s">
        <v>658</v>
      </c>
      <c r="H182" s="108">
        <v>135000</v>
      </c>
      <c r="I182" s="108">
        <f>H182*2.87%</f>
        <v>3874.5</v>
      </c>
      <c r="J182" s="108">
        <f>+H182*3.04%</f>
        <v>4104</v>
      </c>
      <c r="K182" s="108"/>
      <c r="L182" s="8">
        <f t="shared" si="52"/>
        <v>7978.5</v>
      </c>
      <c r="M182" s="8">
        <f t="shared" si="53"/>
        <v>127021.5</v>
      </c>
      <c r="N182" s="8">
        <f>+IF(M182*12&lt;=416220.01,0,IF(M182*12&lt;=624329.01,(((M182*12-416220.01)*0.15)/12),IF((M182*12&lt;=867123.01),(31216+0.2*(M182*12-624329.01))/12,((79776+0.25*(M182*12-867123.01))/12))))-O182</f>
        <v>12862.482291666665</v>
      </c>
      <c r="O182" s="8">
        <v>7475.83</v>
      </c>
      <c r="P182" s="107">
        <v>25</v>
      </c>
      <c r="Q182" s="8">
        <f t="shared" ref="Q182:Q187" si="77">+P182+N182+L182</f>
        <v>20865.982291666667</v>
      </c>
      <c r="R182" s="107">
        <f t="shared" ref="R182:R187" si="78">+H182-Q182</f>
        <v>114134.01770833333</v>
      </c>
    </row>
    <row r="183" spans="1:19" s="79" customFormat="1" ht="25.5" customHeight="1" x14ac:dyDescent="0.2">
      <c r="A183" s="104">
        <f>+A182+1</f>
        <v>70</v>
      </c>
      <c r="B183" s="26" t="s">
        <v>522</v>
      </c>
      <c r="C183" s="12" t="s">
        <v>429</v>
      </c>
      <c r="D183" s="125" t="s">
        <v>523</v>
      </c>
      <c r="E183" s="125" t="s">
        <v>217</v>
      </c>
      <c r="F183" s="26" t="s">
        <v>566</v>
      </c>
      <c r="G183" s="26" t="s">
        <v>566</v>
      </c>
      <c r="H183" s="108">
        <v>110000</v>
      </c>
      <c r="I183" s="108">
        <f>H183*2.87%</f>
        <v>3157</v>
      </c>
      <c r="J183" s="108">
        <f>+H183*3.04%</f>
        <v>3344</v>
      </c>
      <c r="K183" s="108">
        <v>1577.45</v>
      </c>
      <c r="L183" s="8">
        <f t="shared" si="52"/>
        <v>8078.45</v>
      </c>
      <c r="M183" s="8">
        <f t="shared" si="53"/>
        <v>101921.55</v>
      </c>
      <c r="N183" s="8">
        <f t="shared" ref="N183:N187" si="79">+IF(M183*12&lt;=416220.01,0,IF(M183*12&lt;=624329.01,(((M183*12-416220.01)*0.15)/12),IF((M183*12&lt;=867123.01),(31216+0.2*(M183*12-624329.01))/12,((79776+0.25*(M183*12-867123.01))/12))))-O183</f>
        <v>14063.324791666668</v>
      </c>
      <c r="O183" s="8"/>
      <c r="P183" s="107">
        <v>25</v>
      </c>
      <c r="Q183" s="8">
        <f t="shared" si="77"/>
        <v>22166.774791666667</v>
      </c>
      <c r="R183" s="107">
        <f t="shared" si="78"/>
        <v>87833.22520833333</v>
      </c>
    </row>
    <row r="184" spans="1:19" s="79" customFormat="1" ht="25.5" customHeight="1" x14ac:dyDescent="0.2">
      <c r="A184" s="104">
        <f>+A183+1</f>
        <v>71</v>
      </c>
      <c r="B184" s="106" t="s">
        <v>529</v>
      </c>
      <c r="C184" s="104" t="s">
        <v>429</v>
      </c>
      <c r="D184" s="105" t="s">
        <v>523</v>
      </c>
      <c r="E184" s="105" t="s">
        <v>217</v>
      </c>
      <c r="F184" s="26" t="s">
        <v>588</v>
      </c>
      <c r="G184" s="26" t="s">
        <v>660</v>
      </c>
      <c r="H184" s="108">
        <v>100000</v>
      </c>
      <c r="I184" s="108">
        <f>H184*2.87%</f>
        <v>2870</v>
      </c>
      <c r="J184" s="108">
        <f>+H184*3.04%</f>
        <v>3040</v>
      </c>
      <c r="K184" s="108">
        <v>4732.3500000000004</v>
      </c>
      <c r="L184" s="8">
        <f t="shared" si="52"/>
        <v>10642.35</v>
      </c>
      <c r="M184" s="8">
        <f t="shared" si="53"/>
        <v>89357.65</v>
      </c>
      <c r="N184" s="8">
        <f t="shared" si="79"/>
        <v>10922.349791666662</v>
      </c>
      <c r="O184" s="8"/>
      <c r="P184" s="107">
        <v>4661.4799999999996</v>
      </c>
      <c r="Q184" s="8">
        <f t="shared" si="77"/>
        <v>26226.179791666662</v>
      </c>
      <c r="R184" s="107">
        <f t="shared" si="78"/>
        <v>73773.820208333345</v>
      </c>
    </row>
    <row r="185" spans="1:19" s="2" customFormat="1" ht="24.95" customHeight="1" x14ac:dyDescent="0.2">
      <c r="A185" s="104">
        <f>+A184+1</f>
        <v>72</v>
      </c>
      <c r="B185" s="26" t="s">
        <v>455</v>
      </c>
      <c r="C185" s="12" t="s">
        <v>429</v>
      </c>
      <c r="D185" s="105" t="s">
        <v>428</v>
      </c>
      <c r="E185" s="125" t="s">
        <v>217</v>
      </c>
      <c r="F185" s="26" t="s">
        <v>588</v>
      </c>
      <c r="G185" s="26" t="s">
        <v>660</v>
      </c>
      <c r="H185" s="112">
        <v>60000</v>
      </c>
      <c r="I185" s="108">
        <f>H185*2.87%</f>
        <v>1722</v>
      </c>
      <c r="J185" s="108">
        <f>+H185*3.04%</f>
        <v>1824</v>
      </c>
      <c r="K185" s="108"/>
      <c r="L185" s="8">
        <f t="shared" si="52"/>
        <v>3546</v>
      </c>
      <c r="M185" s="8">
        <f t="shared" si="53"/>
        <v>56454</v>
      </c>
      <c r="N185" s="8">
        <f t="shared" si="79"/>
        <v>-1.6666666715536849E-4</v>
      </c>
      <c r="O185" s="8">
        <v>3486.65</v>
      </c>
      <c r="P185" s="107">
        <v>125</v>
      </c>
      <c r="Q185" s="8">
        <f t="shared" si="77"/>
        <v>3670.9998333333328</v>
      </c>
      <c r="R185" s="107">
        <f t="shared" si="78"/>
        <v>56329.000166666665</v>
      </c>
      <c r="S185" s="70"/>
    </row>
    <row r="186" spans="1:19" s="2" customFormat="1" ht="24.95" customHeight="1" x14ac:dyDescent="0.2">
      <c r="A186" s="104">
        <f>+A185+1</f>
        <v>73</v>
      </c>
      <c r="B186" s="130" t="s">
        <v>228</v>
      </c>
      <c r="C186" s="129" t="s">
        <v>429</v>
      </c>
      <c r="D186" s="130" t="s">
        <v>401</v>
      </c>
      <c r="E186" s="128" t="s">
        <v>217</v>
      </c>
      <c r="F186" s="127" t="s">
        <v>548</v>
      </c>
      <c r="G186" s="127" t="s">
        <v>651</v>
      </c>
      <c r="H186" s="113">
        <v>50000</v>
      </c>
      <c r="I186" s="63">
        <f t="shared" ref="I186" si="80">H186*2.87%</f>
        <v>1435</v>
      </c>
      <c r="J186" s="63">
        <f t="shared" ref="J186:J187" si="81">+H186*3.04%</f>
        <v>1520</v>
      </c>
      <c r="K186" s="63"/>
      <c r="L186" s="8">
        <f t="shared" si="52"/>
        <v>2955</v>
      </c>
      <c r="M186" s="8">
        <f t="shared" si="53"/>
        <v>47045</v>
      </c>
      <c r="N186" s="8">
        <f t="shared" si="79"/>
        <v>-1.2500000025283953E-4</v>
      </c>
      <c r="O186" s="8">
        <v>1854</v>
      </c>
      <c r="P186" s="69">
        <v>2230.33</v>
      </c>
      <c r="Q186" s="8">
        <f t="shared" si="77"/>
        <v>5185.3298749999994</v>
      </c>
      <c r="R186" s="69">
        <f t="shared" si="78"/>
        <v>44814.670125000004</v>
      </c>
      <c r="S186" s="70"/>
    </row>
    <row r="187" spans="1:19" s="2" customFormat="1" ht="24.95" customHeight="1" x14ac:dyDescent="0.2">
      <c r="A187" s="104">
        <f>+A186+1</f>
        <v>74</v>
      </c>
      <c r="B187" s="130" t="s">
        <v>447</v>
      </c>
      <c r="C187" s="129" t="s">
        <v>429</v>
      </c>
      <c r="D187" s="130" t="s">
        <v>401</v>
      </c>
      <c r="E187" s="128" t="s">
        <v>217</v>
      </c>
      <c r="F187" s="26" t="s">
        <v>575</v>
      </c>
      <c r="G187" s="26" t="s">
        <v>649</v>
      </c>
      <c r="H187" s="113">
        <v>60000</v>
      </c>
      <c r="I187" s="63">
        <f>H187*2.87%</f>
        <v>1722</v>
      </c>
      <c r="J187" s="63">
        <f t="shared" si="81"/>
        <v>1824</v>
      </c>
      <c r="K187" s="63">
        <v>1577.45</v>
      </c>
      <c r="L187" s="8">
        <f t="shared" si="52"/>
        <v>5123.45</v>
      </c>
      <c r="M187" s="8">
        <f t="shared" si="53"/>
        <v>54876.55</v>
      </c>
      <c r="N187" s="8">
        <f t="shared" si="79"/>
        <v>-1.6666666488163173E-4</v>
      </c>
      <c r="O187" s="8">
        <v>3171.16</v>
      </c>
      <c r="P187" s="69">
        <v>25</v>
      </c>
      <c r="Q187" s="8">
        <f t="shared" si="77"/>
        <v>5148.4498333333349</v>
      </c>
      <c r="R187" s="69">
        <f t="shared" si="78"/>
        <v>54851.550166666668</v>
      </c>
      <c r="S187" s="70"/>
    </row>
    <row r="188" spans="1:19" s="2" customFormat="1" ht="26.25" customHeight="1" thickBot="1" x14ac:dyDescent="0.25">
      <c r="A188" s="272" t="s">
        <v>126</v>
      </c>
      <c r="B188" s="273"/>
      <c r="C188" s="250"/>
      <c r="D188" s="250"/>
      <c r="E188" s="250"/>
      <c r="F188" s="250"/>
      <c r="G188" s="250"/>
      <c r="H188" s="159">
        <f>SUM(H182:H187)</f>
        <v>515000</v>
      </c>
      <c r="I188" s="159">
        <f t="shared" ref="I188:R188" si="82">SUM(I182:I187)</f>
        <v>14780.5</v>
      </c>
      <c r="J188" s="159">
        <f t="shared" si="82"/>
        <v>15656</v>
      </c>
      <c r="K188" s="159">
        <f t="shared" si="82"/>
        <v>7887.25</v>
      </c>
      <c r="L188" s="159">
        <f t="shared" si="82"/>
        <v>38323.75</v>
      </c>
      <c r="M188" s="159">
        <f t="shared" si="82"/>
        <v>476676.24999999994</v>
      </c>
      <c r="N188" s="159">
        <f t="shared" si="82"/>
        <v>37848.156416666665</v>
      </c>
      <c r="O188" s="159">
        <f t="shared" si="82"/>
        <v>15987.64</v>
      </c>
      <c r="P188" s="159">
        <f t="shared" si="82"/>
        <v>7091.8099999999995</v>
      </c>
      <c r="Q188" s="159">
        <f t="shared" si="82"/>
        <v>83263.716416666648</v>
      </c>
      <c r="R188" s="159">
        <f t="shared" si="82"/>
        <v>431736.28358333337</v>
      </c>
      <c r="S188" s="70"/>
    </row>
    <row r="189" spans="1:19" s="2" customFormat="1" ht="20.100000000000001" customHeight="1" thickBot="1" x14ac:dyDescent="0.25">
      <c r="A189" s="64"/>
      <c r="B189" s="64"/>
      <c r="C189" s="64"/>
      <c r="D189" s="64"/>
      <c r="E189" s="64"/>
      <c r="F189" s="64"/>
      <c r="G189" s="64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70"/>
    </row>
    <row r="190" spans="1:19" s="2" customFormat="1" ht="24.95" customHeight="1" thickBot="1" x14ac:dyDescent="0.25">
      <c r="A190" s="247" t="s">
        <v>234</v>
      </c>
      <c r="B190" s="248"/>
      <c r="C190" s="248"/>
      <c r="D190" s="248"/>
      <c r="E190" s="248"/>
      <c r="F190" s="248"/>
      <c r="G190" s="248"/>
      <c r="H190" s="248"/>
      <c r="I190" s="248"/>
      <c r="J190" s="248"/>
      <c r="K190" s="248"/>
      <c r="L190" s="248"/>
      <c r="M190" s="248"/>
      <c r="N190" s="248"/>
      <c r="O190" s="248"/>
      <c r="P190" s="248"/>
      <c r="Q190" s="248"/>
      <c r="R190" s="248"/>
      <c r="S190" s="70"/>
    </row>
    <row r="191" spans="1:19" s="2" customFormat="1" ht="24.95" customHeight="1" x14ac:dyDescent="0.2">
      <c r="A191" s="104">
        <f>+A187+1</f>
        <v>75</v>
      </c>
      <c r="B191" s="26" t="s">
        <v>535</v>
      </c>
      <c r="C191" s="12" t="s">
        <v>429</v>
      </c>
      <c r="D191" s="26" t="s">
        <v>401</v>
      </c>
      <c r="E191" s="125" t="s">
        <v>217</v>
      </c>
      <c r="F191" s="26" t="s">
        <v>613</v>
      </c>
      <c r="G191" s="26" t="s">
        <v>612</v>
      </c>
      <c r="H191" s="113">
        <v>55000</v>
      </c>
      <c r="I191" s="5">
        <f>H191*2.87%</f>
        <v>1578.5</v>
      </c>
      <c r="J191" s="5">
        <f>+H191*3.04%</f>
        <v>1672</v>
      </c>
      <c r="K191" s="5"/>
      <c r="L191" s="8">
        <f t="shared" si="52"/>
        <v>3250.5</v>
      </c>
      <c r="M191" s="8">
        <f t="shared" si="53"/>
        <v>51749.5</v>
      </c>
      <c r="N191" s="8">
        <f>+IF(M191*12&lt;=416220.01,0,IF(M191*12&lt;=624329.01,(((M191*12-416220.01)*0.15)/12),IF((M191*12&lt;=867123.01),(31216+0.2*(M191*12-624329.01))/12,((79776+0.25*(M191*12-867123.01))/12))))-O191</f>
        <v>4.8749999996289262E-3</v>
      </c>
      <c r="O191" s="8">
        <v>2559.67</v>
      </c>
      <c r="P191" s="5">
        <v>25</v>
      </c>
      <c r="Q191" s="8">
        <f>+P191+N191+L191</f>
        <v>3275.5048749999996</v>
      </c>
      <c r="R191" s="69">
        <f>H191-Q191</f>
        <v>51724.495125000001</v>
      </c>
      <c r="S191" s="70"/>
    </row>
    <row r="192" spans="1:19" s="2" customFormat="1" ht="24.95" customHeight="1" x14ac:dyDescent="0.2">
      <c r="A192" s="104">
        <f>+A191+1</f>
        <v>76</v>
      </c>
      <c r="B192" s="26" t="s">
        <v>677</v>
      </c>
      <c r="C192" s="12" t="s">
        <v>429</v>
      </c>
      <c r="D192" s="26" t="s">
        <v>401</v>
      </c>
      <c r="E192" s="125" t="s">
        <v>217</v>
      </c>
      <c r="F192" s="26" t="s">
        <v>588</v>
      </c>
      <c r="G192" s="26" t="s">
        <v>660</v>
      </c>
      <c r="H192" s="113">
        <v>50000</v>
      </c>
      <c r="I192" s="5">
        <f>H192*2.87%</f>
        <v>1435</v>
      </c>
      <c r="J192" s="5">
        <f>+H192*3.04%</f>
        <v>1520</v>
      </c>
      <c r="K192" s="5"/>
      <c r="L192" s="8">
        <f t="shared" si="52"/>
        <v>2955</v>
      </c>
      <c r="M192" s="8">
        <f t="shared" si="53"/>
        <v>47045</v>
      </c>
      <c r="N192" s="8">
        <f>+IF(M192*12&lt;=416220.01,0,IF(M192*12&lt;=624329.01,(((M192*12-416220.01)*0.15)/12),IF((M192*12&lt;=867123.01),(31216+0.2*(M192*12-624329.01))/12,((79776+0.25*(M192*12-867123.01))/12))))-O192</f>
        <v>1853.9998749999997</v>
      </c>
      <c r="O192" s="8"/>
      <c r="P192" s="5">
        <v>25</v>
      </c>
      <c r="Q192" s="8">
        <f>+P192+N192+L192</f>
        <v>4833.9998749999995</v>
      </c>
      <c r="R192" s="69">
        <f>H192-Q192</f>
        <v>45166.000124999999</v>
      </c>
      <c r="S192" s="70"/>
    </row>
    <row r="193" spans="1:19" s="2" customFormat="1" ht="24.95" customHeight="1" thickBot="1" x14ac:dyDescent="0.25">
      <c r="A193" s="272" t="s">
        <v>126</v>
      </c>
      <c r="B193" s="273"/>
      <c r="C193" s="250"/>
      <c r="D193" s="5"/>
      <c r="E193" s="250"/>
      <c r="F193" s="250"/>
      <c r="G193" s="254"/>
      <c r="H193" s="78">
        <f>SUM(H191:H192)</f>
        <v>105000</v>
      </c>
      <c r="I193" s="78">
        <f t="shared" ref="I193:R193" si="83">SUM(I191:I192)</f>
        <v>3013.5</v>
      </c>
      <c r="J193" s="78">
        <f t="shared" si="83"/>
        <v>3192</v>
      </c>
      <c r="K193" s="78">
        <f t="shared" si="83"/>
        <v>0</v>
      </c>
      <c r="L193" s="78">
        <f t="shared" si="83"/>
        <v>6205.5</v>
      </c>
      <c r="M193" s="78">
        <f t="shared" si="83"/>
        <v>98794.5</v>
      </c>
      <c r="N193" s="78">
        <f t="shared" si="83"/>
        <v>1854.0047499999994</v>
      </c>
      <c r="O193" s="78">
        <f t="shared" si="83"/>
        <v>2559.67</v>
      </c>
      <c r="P193" s="78">
        <f t="shared" si="83"/>
        <v>50</v>
      </c>
      <c r="Q193" s="78">
        <f t="shared" si="83"/>
        <v>8109.5047499999991</v>
      </c>
      <c r="R193" s="78">
        <f t="shared" si="83"/>
        <v>96890.495250000007</v>
      </c>
      <c r="S193" s="70"/>
    </row>
    <row r="194" spans="1:19" s="2" customFormat="1" ht="13.5" customHeight="1" thickBot="1" x14ac:dyDescent="0.25">
      <c r="A194" s="64"/>
      <c r="B194" s="64"/>
      <c r="C194" s="64"/>
      <c r="D194" s="64"/>
      <c r="E194" s="64"/>
      <c r="F194" s="64"/>
      <c r="G194" s="64"/>
      <c r="H194" s="142"/>
      <c r="I194" s="142"/>
      <c r="J194" s="142"/>
      <c r="K194" s="142"/>
      <c r="L194" s="142"/>
      <c r="M194" s="142"/>
      <c r="N194" s="142"/>
      <c r="O194" s="142"/>
      <c r="P194" s="142"/>
      <c r="Q194" s="142"/>
      <c r="R194" s="142"/>
      <c r="S194" s="70"/>
    </row>
    <row r="195" spans="1:19" s="2" customFormat="1" ht="24.95" customHeight="1" thickBot="1" x14ac:dyDescent="0.25">
      <c r="A195" s="247" t="s">
        <v>227</v>
      </c>
      <c r="B195" s="248"/>
      <c r="C195" s="248"/>
      <c r="D195" s="248"/>
      <c r="E195" s="248"/>
      <c r="F195" s="248"/>
      <c r="G195" s="248"/>
      <c r="H195" s="248"/>
      <c r="I195" s="248"/>
      <c r="J195" s="248"/>
      <c r="K195" s="248"/>
      <c r="L195" s="248"/>
      <c r="M195" s="248"/>
      <c r="N195" s="248"/>
      <c r="O195" s="248"/>
      <c r="P195" s="248"/>
      <c r="Q195" s="248"/>
      <c r="R195" s="248"/>
      <c r="S195" s="70"/>
    </row>
    <row r="196" spans="1:19" s="2" customFormat="1" ht="24.95" customHeight="1" x14ac:dyDescent="0.2">
      <c r="A196" s="104">
        <f>+A191+1</f>
        <v>76</v>
      </c>
      <c r="B196" s="26" t="s">
        <v>466</v>
      </c>
      <c r="C196" s="12" t="s">
        <v>429</v>
      </c>
      <c r="D196" s="125" t="s">
        <v>467</v>
      </c>
      <c r="E196" s="125" t="s">
        <v>217</v>
      </c>
      <c r="F196" s="26" t="s">
        <v>587</v>
      </c>
      <c r="G196" s="26" t="s">
        <v>658</v>
      </c>
      <c r="H196" s="108">
        <v>135000</v>
      </c>
      <c r="I196" s="108">
        <f>H196*2.87%</f>
        <v>3874.5</v>
      </c>
      <c r="J196" s="108">
        <f>+H196*3.04%</f>
        <v>4104</v>
      </c>
      <c r="K196" s="108"/>
      <c r="L196" s="8">
        <f t="shared" si="52"/>
        <v>7978.5</v>
      </c>
      <c r="M196" s="8">
        <f t="shared" si="53"/>
        <v>127021.5</v>
      </c>
      <c r="N196" s="8">
        <f>+IF(M196*12&lt;=416220.01,0,IF(M196*12&lt;=624329.01,(((M196*12-416220.01)*0.15)/12),IF((M196*12&lt;=867123.01),(31216+0.2*(M196*12-624329.01))/12,((79776+0.25*(M196*12-867123.01))/12))))</f>
        <v>20338.312291666665</v>
      </c>
      <c r="O196" s="8"/>
      <c r="P196" s="107">
        <v>5125</v>
      </c>
      <c r="Q196" s="8">
        <f>+P196+N196+L196</f>
        <v>33441.812291666662</v>
      </c>
      <c r="R196" s="107">
        <f>+H196-Q196</f>
        <v>101558.18770833334</v>
      </c>
      <c r="S196" s="70"/>
    </row>
    <row r="197" spans="1:19" s="2" customFormat="1" ht="24.95" customHeight="1" x14ac:dyDescent="0.2">
      <c r="A197" s="68">
        <f>+A196+1</f>
        <v>77</v>
      </c>
      <c r="B197" s="130" t="s">
        <v>448</v>
      </c>
      <c r="C197" s="129" t="s">
        <v>429</v>
      </c>
      <c r="D197" s="128" t="s">
        <v>449</v>
      </c>
      <c r="E197" s="125" t="s">
        <v>217</v>
      </c>
      <c r="F197" s="26" t="s">
        <v>575</v>
      </c>
      <c r="G197" s="26" t="s">
        <v>649</v>
      </c>
      <c r="H197" s="63">
        <v>90000</v>
      </c>
      <c r="I197" s="63">
        <f>H197*2.87%</f>
        <v>2583</v>
      </c>
      <c r="J197" s="63">
        <f>+H197*3.04%</f>
        <v>2736</v>
      </c>
      <c r="K197" s="63"/>
      <c r="L197" s="8">
        <f t="shared" si="52"/>
        <v>5319</v>
      </c>
      <c r="M197" s="8">
        <f t="shared" si="53"/>
        <v>84681</v>
      </c>
      <c r="N197" s="8">
        <f>+IF(M197*12&lt;=416220.01,0,IF(M197*12&lt;=624329.01,(((M197*12-416220.01)*0.15)/12),IF((M197*12&lt;=867123.01),(31216+0.2*(M197*12-624329.01))/12,((79776+0.25*(M197*12-867123.01))/12))))</f>
        <v>9753.1872916666671</v>
      </c>
      <c r="O197" s="8"/>
      <c r="P197" s="69">
        <v>125</v>
      </c>
      <c r="Q197" s="8">
        <f>+P197+N197+L197</f>
        <v>15197.187291666667</v>
      </c>
      <c r="R197" s="69">
        <f>+H197-Q197</f>
        <v>74802.812708333338</v>
      </c>
      <c r="S197" s="70"/>
    </row>
    <row r="198" spans="1:19" s="2" customFormat="1" ht="24.95" customHeight="1" thickBot="1" x14ac:dyDescent="0.25">
      <c r="A198" s="272" t="s">
        <v>126</v>
      </c>
      <c r="B198" s="273"/>
      <c r="C198" s="250"/>
      <c r="D198" s="250"/>
      <c r="E198" s="250"/>
      <c r="F198" s="250"/>
      <c r="G198" s="254"/>
      <c r="H198" s="78">
        <f>SUM(H196:H197)</f>
        <v>225000</v>
      </c>
      <c r="I198" s="78">
        <f>SUM(I196:I197)</f>
        <v>6457.5</v>
      </c>
      <c r="J198" s="78">
        <f>SUM(J196:J197)</f>
        <v>6840</v>
      </c>
      <c r="K198" s="78">
        <f>SUM(K196:K197)</f>
        <v>0</v>
      </c>
      <c r="L198" s="78">
        <f>SUM(L196:L197)</f>
        <v>13297.5</v>
      </c>
      <c r="M198" s="78">
        <f>SUM(M196:M197)</f>
        <v>211702.5</v>
      </c>
      <c r="N198" s="78">
        <f>SUM(N196:N197)</f>
        <v>30091.499583333331</v>
      </c>
      <c r="O198" s="78"/>
      <c r="P198" s="78">
        <f>SUM(P196:P197)</f>
        <v>5250</v>
      </c>
      <c r="Q198" s="78">
        <f>SUM(Q196:Q197)</f>
        <v>48638.999583333331</v>
      </c>
      <c r="R198" s="78">
        <f>SUM(R196:R197)</f>
        <v>176361.00041666668</v>
      </c>
      <c r="S198" s="70"/>
    </row>
    <row r="199" spans="1:19" s="2" customFormat="1" ht="11.25" customHeight="1" thickBot="1" x14ac:dyDescent="0.25">
      <c r="A199" s="207"/>
      <c r="B199" s="207"/>
      <c r="C199" s="207"/>
      <c r="D199" s="207"/>
      <c r="E199" s="207"/>
      <c r="F199" s="207"/>
      <c r="G199" s="20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0"/>
    </row>
    <row r="200" spans="1:19" s="70" customFormat="1" ht="26.25" customHeight="1" thickBot="1" x14ac:dyDescent="0.25">
      <c r="A200" s="247" t="s">
        <v>21</v>
      </c>
      <c r="B200" s="248"/>
      <c r="C200" s="248"/>
      <c r="D200" s="248"/>
      <c r="E200" s="248"/>
      <c r="F200" s="248"/>
      <c r="G200" s="248"/>
      <c r="H200" s="248"/>
      <c r="I200" s="248"/>
      <c r="J200" s="248"/>
      <c r="K200" s="248"/>
      <c r="L200" s="248"/>
      <c r="M200" s="248"/>
      <c r="N200" s="248"/>
      <c r="O200" s="248"/>
      <c r="P200" s="248"/>
      <c r="Q200" s="248"/>
      <c r="R200" s="248"/>
    </row>
    <row r="201" spans="1:19" s="70" customFormat="1" ht="29.25" customHeight="1" x14ac:dyDescent="0.2">
      <c r="A201" s="160">
        <f>+A197+1</f>
        <v>78</v>
      </c>
      <c r="B201" s="161" t="s">
        <v>621</v>
      </c>
      <c r="C201" s="162" t="s">
        <v>429</v>
      </c>
      <c r="D201" s="161" t="s">
        <v>622</v>
      </c>
      <c r="E201" s="105" t="s">
        <v>217</v>
      </c>
      <c r="F201" s="106" t="s">
        <v>624</v>
      </c>
      <c r="G201" s="106" t="s">
        <v>623</v>
      </c>
      <c r="H201" s="108">
        <v>170000</v>
      </c>
      <c r="I201" s="108">
        <f>H201*2.87%</f>
        <v>4879</v>
      </c>
      <c r="J201" s="108">
        <f>+H201*3.04%</f>
        <v>5168</v>
      </c>
      <c r="K201" s="108"/>
      <c r="L201" s="8">
        <f t="shared" si="52"/>
        <v>10047</v>
      </c>
      <c r="M201" s="8">
        <f t="shared" si="53"/>
        <v>159953</v>
      </c>
      <c r="N201" s="8">
        <f>+IF(M201*12&lt;=416220.01,0,IF(M201*12&lt;=624329.01,(((M201*12-416220.01)*0.15)/12),IF((M201*12&lt;=867123.01),(31216+0.2*(M201*12-624329.01))/12,((79776+0.25*(M201*12-867123.01))/12))))</f>
        <v>28571.187291666665</v>
      </c>
      <c r="O201" s="8"/>
      <c r="P201" s="107">
        <v>25</v>
      </c>
      <c r="Q201" s="8">
        <f>+P201+N201+L201</f>
        <v>38643.187291666662</v>
      </c>
      <c r="R201" s="107">
        <f>+H201-Q201</f>
        <v>131356.81270833334</v>
      </c>
    </row>
    <row r="202" spans="1:19" ht="18" customHeight="1" x14ac:dyDescent="0.2">
      <c r="A202" s="272" t="s">
        <v>126</v>
      </c>
      <c r="B202" s="273"/>
      <c r="C202" s="250"/>
      <c r="D202" s="250"/>
      <c r="E202" s="250"/>
      <c r="F202" s="250"/>
      <c r="G202" s="249"/>
      <c r="H202" s="16">
        <f>SUM(H201:H201)</f>
        <v>170000</v>
      </c>
      <c r="I202" s="16">
        <f t="shared" ref="I202:R202" si="84">SUM(I201:I201)</f>
        <v>4879</v>
      </c>
      <c r="J202" s="16">
        <f t="shared" si="84"/>
        <v>5168</v>
      </c>
      <c r="K202" s="16">
        <f t="shared" si="84"/>
        <v>0</v>
      </c>
      <c r="L202" s="16">
        <f t="shared" si="84"/>
        <v>10047</v>
      </c>
      <c r="M202" s="16">
        <f t="shared" si="84"/>
        <v>159953</v>
      </c>
      <c r="N202" s="16">
        <f t="shared" si="84"/>
        <v>28571.187291666665</v>
      </c>
      <c r="O202" s="16"/>
      <c r="P202" s="16">
        <f t="shared" si="84"/>
        <v>25</v>
      </c>
      <c r="Q202" s="16">
        <f t="shared" si="84"/>
        <v>38643.187291666662</v>
      </c>
      <c r="R202" s="16">
        <f t="shared" si="84"/>
        <v>131356.81270833334</v>
      </c>
    </row>
    <row r="203" spans="1:19" s="70" customFormat="1" ht="26.25" customHeight="1" thickBot="1" x14ac:dyDescent="0.25">
      <c r="A203" s="64"/>
      <c r="B203" s="64"/>
      <c r="C203" s="64"/>
      <c r="D203" s="64"/>
      <c r="E203" s="64"/>
      <c r="F203" s="64"/>
      <c r="G203" s="64"/>
      <c r="H203"/>
      <c r="I203"/>
      <c r="J203"/>
      <c r="K203"/>
      <c r="L203"/>
      <c r="M203"/>
      <c r="N203"/>
      <c r="O203"/>
      <c r="P203"/>
      <c r="Q203"/>
      <c r="R203"/>
    </row>
    <row r="204" spans="1:19" s="70" customFormat="1" ht="26.25" customHeight="1" thickBot="1" x14ac:dyDescent="0.25">
      <c r="A204" s="247" t="s">
        <v>402</v>
      </c>
      <c r="B204" s="248"/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</row>
    <row r="205" spans="1:19" s="70" customFormat="1" ht="29.25" customHeight="1" x14ac:dyDescent="0.2">
      <c r="A205" s="160">
        <f>+A201+1</f>
        <v>79</v>
      </c>
      <c r="B205" s="161" t="s">
        <v>403</v>
      </c>
      <c r="C205" s="162" t="s">
        <v>429</v>
      </c>
      <c r="D205" s="161" t="s">
        <v>153</v>
      </c>
      <c r="E205" s="105" t="s">
        <v>217</v>
      </c>
      <c r="F205" s="106" t="s">
        <v>580</v>
      </c>
      <c r="G205" s="106" t="s">
        <v>667</v>
      </c>
      <c r="H205" s="108">
        <v>155000</v>
      </c>
      <c r="I205" s="108">
        <f>H205*2.87%</f>
        <v>4448.5</v>
      </c>
      <c r="J205" s="108">
        <f>+H205*3.04%</f>
        <v>4712</v>
      </c>
      <c r="K205" s="108">
        <v>1577.45</v>
      </c>
      <c r="L205" s="8">
        <f t="shared" si="52"/>
        <v>10737.95</v>
      </c>
      <c r="M205" s="8">
        <f t="shared" si="53"/>
        <v>144262.04999999999</v>
      </c>
      <c r="N205" s="8">
        <f>+IF(M205*12&lt;=416220.01,0,IF(M205*12&lt;=624329.01,(((M205*12-416220.01)*0.15)/12),IF((M205*12&lt;=867123.01),(31216+0.2*(M205*12-624329.01))/12,((79776+0.25*(M205*12-867123.01))/12))))</f>
        <v>24648.449791666662</v>
      </c>
      <c r="O205" s="8"/>
      <c r="P205" s="107">
        <v>25</v>
      </c>
      <c r="Q205" s="8">
        <f>+P205+N205+L205</f>
        <v>35411.399791666663</v>
      </c>
      <c r="R205" s="107">
        <f>+H205-Q205</f>
        <v>119588.60020833334</v>
      </c>
    </row>
    <row r="206" spans="1:19" ht="18" customHeight="1" x14ac:dyDescent="0.2">
      <c r="A206" s="272" t="s">
        <v>126</v>
      </c>
      <c r="B206" s="273"/>
      <c r="C206" s="250"/>
      <c r="D206" s="250"/>
      <c r="E206" s="250"/>
      <c r="F206" s="250"/>
      <c r="G206" s="249"/>
      <c r="H206" s="16">
        <f>SUM(H205:H205)</f>
        <v>155000</v>
      </c>
      <c r="I206" s="16">
        <f t="shared" ref="I206:R206" si="85">SUM(I205:I205)</f>
        <v>4448.5</v>
      </c>
      <c r="J206" s="16">
        <f t="shared" si="85"/>
        <v>4712</v>
      </c>
      <c r="K206" s="16">
        <f t="shared" si="85"/>
        <v>1577.45</v>
      </c>
      <c r="L206" s="16">
        <f t="shared" si="85"/>
        <v>10737.95</v>
      </c>
      <c r="M206" s="16">
        <f t="shared" si="85"/>
        <v>144262.04999999999</v>
      </c>
      <c r="N206" s="16">
        <f t="shared" si="85"/>
        <v>24648.449791666662</v>
      </c>
      <c r="O206" s="16"/>
      <c r="P206" s="16">
        <f t="shared" si="85"/>
        <v>25</v>
      </c>
      <c r="Q206" s="16">
        <f t="shared" si="85"/>
        <v>35411.399791666663</v>
      </c>
      <c r="R206" s="16">
        <f t="shared" si="85"/>
        <v>119588.60020833334</v>
      </c>
    </row>
    <row r="207" spans="1:19" s="70" customFormat="1" ht="26.25" customHeight="1" thickBot="1" x14ac:dyDescent="0.25">
      <c r="A207" s="64"/>
      <c r="B207" s="64"/>
      <c r="C207" s="64"/>
      <c r="D207" s="64"/>
      <c r="E207" s="64"/>
      <c r="F207" s="64"/>
      <c r="G207" s="64"/>
      <c r="H207"/>
      <c r="I207"/>
      <c r="J207"/>
      <c r="K207"/>
      <c r="L207"/>
      <c r="M207"/>
      <c r="N207"/>
      <c r="O207"/>
      <c r="P207"/>
      <c r="Q207"/>
      <c r="R207"/>
    </row>
    <row r="208" spans="1:19" s="2" customFormat="1" ht="27.75" customHeight="1" thickBot="1" x14ac:dyDescent="0.25">
      <c r="A208" s="221" t="s">
        <v>456</v>
      </c>
      <c r="B208" s="222"/>
      <c r="C208" s="222"/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70"/>
    </row>
    <row r="209" spans="1:19" s="2" customFormat="1" ht="24.95" customHeight="1" x14ac:dyDescent="0.2">
      <c r="A209" s="12">
        <f>+A205+1</f>
        <v>80</v>
      </c>
      <c r="B209" s="61" t="s">
        <v>450</v>
      </c>
      <c r="C209" s="156" t="s">
        <v>429</v>
      </c>
      <c r="D209" s="126" t="s">
        <v>451</v>
      </c>
      <c r="E209" s="125" t="s">
        <v>217</v>
      </c>
      <c r="F209" s="26" t="s">
        <v>575</v>
      </c>
      <c r="G209" s="26" t="s">
        <v>649</v>
      </c>
      <c r="H209" s="63">
        <v>70000</v>
      </c>
      <c r="I209" s="108">
        <f>H209*2.87%</f>
        <v>2009</v>
      </c>
      <c r="J209" s="108">
        <f>+H209*3.04%</f>
        <v>2128</v>
      </c>
      <c r="K209" s="108"/>
      <c r="L209" s="8">
        <f t="shared" si="52"/>
        <v>4137</v>
      </c>
      <c r="M209" s="8">
        <f t="shared" si="53"/>
        <v>65863</v>
      </c>
      <c r="N209" s="8">
        <f>+IF(M209*12&lt;=416220.01,0,IF(M209*12&lt;=624329.01,(((M209*12-416220.01)*0.15)/12),IF((M209*12&lt;=867123.01),(31216+0.2*(M209*12-624329.01))/12,((79776+0.25*(M209*12-867123.01))/12))))-O209</f>
        <v>-1.6666666670062114E-4</v>
      </c>
      <c r="O209" s="8">
        <v>5368.45</v>
      </c>
      <c r="P209" s="107">
        <v>25</v>
      </c>
      <c r="Q209" s="8">
        <f>+P209+N209+L209</f>
        <v>4161.9998333333333</v>
      </c>
      <c r="R209" s="107">
        <f>+H209-Q209</f>
        <v>65838.000166666665</v>
      </c>
      <c r="S209" s="70"/>
    </row>
    <row r="210" spans="1:19" s="110" customFormat="1" ht="24.95" customHeight="1" x14ac:dyDescent="0.2">
      <c r="A210" s="272" t="s">
        <v>126</v>
      </c>
      <c r="B210" s="273"/>
      <c r="C210" s="249"/>
      <c r="D210" s="249"/>
      <c r="E210" s="249"/>
      <c r="F210" s="249"/>
      <c r="G210" s="249"/>
      <c r="H210" s="16">
        <f>SUM(H209:H209)</f>
        <v>70000</v>
      </c>
      <c r="I210" s="16">
        <f t="shared" ref="I210:R210" si="86">SUM(I209:I209)</f>
        <v>2009</v>
      </c>
      <c r="J210" s="16">
        <f t="shared" si="86"/>
        <v>2128</v>
      </c>
      <c r="K210" s="16">
        <f t="shared" si="86"/>
        <v>0</v>
      </c>
      <c r="L210" s="16">
        <f t="shared" si="86"/>
        <v>4137</v>
      </c>
      <c r="M210" s="16">
        <f t="shared" si="86"/>
        <v>65863</v>
      </c>
      <c r="N210" s="16">
        <f t="shared" si="86"/>
        <v>-1.6666666670062114E-4</v>
      </c>
      <c r="O210" s="16">
        <f t="shared" si="86"/>
        <v>5368.45</v>
      </c>
      <c r="P210" s="16">
        <f t="shared" si="86"/>
        <v>25</v>
      </c>
      <c r="Q210" s="16">
        <f t="shared" si="86"/>
        <v>4161.9998333333333</v>
      </c>
      <c r="R210" s="16">
        <f t="shared" si="86"/>
        <v>65838.000166666665</v>
      </c>
      <c r="S210" s="298"/>
    </row>
    <row r="211" spans="1:19" s="110" customFormat="1" ht="24.95" customHeight="1" thickBot="1" x14ac:dyDescent="0.25">
      <c r="A211" s="213"/>
      <c r="B211" s="213"/>
      <c r="C211" s="213"/>
      <c r="D211" s="213"/>
      <c r="E211" s="213"/>
      <c r="F211" s="213"/>
      <c r="G211" s="213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298"/>
    </row>
    <row r="212" spans="1:19" s="2" customFormat="1" ht="24.95" customHeight="1" thickBot="1" x14ac:dyDescent="0.25">
      <c r="A212" s="247" t="s">
        <v>457</v>
      </c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70"/>
    </row>
    <row r="213" spans="1:19" s="2" customFormat="1" ht="24.95" customHeight="1" x14ac:dyDescent="0.2">
      <c r="A213" s="12">
        <f>+A209+1</f>
        <v>81</v>
      </c>
      <c r="B213" s="61" t="s">
        <v>483</v>
      </c>
      <c r="C213" s="156" t="s">
        <v>429</v>
      </c>
      <c r="D213" s="177" t="s">
        <v>407</v>
      </c>
      <c r="E213" s="125" t="s">
        <v>217</v>
      </c>
      <c r="F213" s="26" t="s">
        <v>548</v>
      </c>
      <c r="G213" s="125" t="s">
        <v>651</v>
      </c>
      <c r="H213" s="108">
        <v>155000</v>
      </c>
      <c r="I213" s="108">
        <f>H213*2.87%</f>
        <v>4448.5</v>
      </c>
      <c r="J213" s="108">
        <f>+H213*3.04%</f>
        <v>4712</v>
      </c>
      <c r="K213" s="108"/>
      <c r="L213" s="8">
        <f t="shared" ref="L213:L233" si="87">+J213+I213+K213</f>
        <v>9160.5</v>
      </c>
      <c r="M213" s="8">
        <f t="shared" ref="M213:M233" si="88">+H213-L213</f>
        <v>145839.5</v>
      </c>
      <c r="N213" s="8">
        <f>+IF(M213*12&lt;=416220.01,0,IF(M213*12&lt;=624329.01,(((M213*12-416220.01)*0.15)/12),IF((M213*12&lt;=867123.01),(31216+0.2*(M213*12-624329.01))/12,((79776+0.25*(M213*12-867123.01))/12))))</f>
        <v>25042.812291666665</v>
      </c>
      <c r="O213" s="8"/>
      <c r="P213" s="107">
        <v>25</v>
      </c>
      <c r="Q213" s="8">
        <f>+P213+N213+L213</f>
        <v>34228.312291666662</v>
      </c>
      <c r="R213" s="107">
        <f>+H213-Q213</f>
        <v>120771.68770833334</v>
      </c>
      <c r="S213" s="70"/>
    </row>
    <row r="214" spans="1:19" s="2" customFormat="1" ht="24.95" customHeight="1" x14ac:dyDescent="0.2">
      <c r="A214" s="104">
        <f>+A213+1</f>
        <v>82</v>
      </c>
      <c r="B214" s="61" t="s">
        <v>578</v>
      </c>
      <c r="C214" s="156" t="s">
        <v>429</v>
      </c>
      <c r="D214" s="126" t="s">
        <v>229</v>
      </c>
      <c r="E214" s="125" t="s">
        <v>217</v>
      </c>
      <c r="F214" s="130" t="s">
        <v>562</v>
      </c>
      <c r="G214" s="128" t="s">
        <v>654</v>
      </c>
      <c r="H214" s="108">
        <v>70000</v>
      </c>
      <c r="I214" s="108">
        <f>H214*2.87%</f>
        <v>2009</v>
      </c>
      <c r="J214" s="108">
        <f>+H214*3.04%</f>
        <v>2128</v>
      </c>
      <c r="K214" s="108"/>
      <c r="L214" s="8">
        <f t="shared" si="87"/>
        <v>4137</v>
      </c>
      <c r="M214" s="8">
        <f t="shared" si="88"/>
        <v>65863</v>
      </c>
      <c r="N214" s="8">
        <f>+IF(M214*12&lt;=416220.01,0,IF(M214*12&lt;=624329.01,(((M214*12-416220.01)*0.15)/12),IF((M214*12&lt;=867123.01),(31216+0.2*(M214*12-624329.01))/12,((79776+0.25*(M214*12-867123.01))/12))))</f>
        <v>5368.4498333333331</v>
      </c>
      <c r="O214" s="8"/>
      <c r="P214" s="107">
        <v>25</v>
      </c>
      <c r="Q214" s="8">
        <f>+P214+N214+L214</f>
        <v>9530.4498333333322</v>
      </c>
      <c r="R214" s="107">
        <f>H214-Q214</f>
        <v>60469.550166666668</v>
      </c>
      <c r="S214" s="70"/>
    </row>
    <row r="215" spans="1:19" s="2" customFormat="1" ht="26.25" customHeight="1" x14ac:dyDescent="0.2">
      <c r="A215" s="272" t="s">
        <v>126</v>
      </c>
      <c r="B215" s="273"/>
      <c r="C215" s="249"/>
      <c r="D215" s="249"/>
      <c r="E215" s="249"/>
      <c r="F215" s="249"/>
      <c r="G215" s="249"/>
      <c r="H215" s="16">
        <f t="shared" ref="H215:R215" si="89">SUM(H213:H214)</f>
        <v>225000</v>
      </c>
      <c r="I215" s="16">
        <f t="shared" si="89"/>
        <v>6457.5</v>
      </c>
      <c r="J215" s="16">
        <f t="shared" si="89"/>
        <v>6840</v>
      </c>
      <c r="K215" s="16">
        <f t="shared" si="89"/>
        <v>0</v>
      </c>
      <c r="L215" s="16">
        <f t="shared" si="89"/>
        <v>13297.5</v>
      </c>
      <c r="M215" s="16">
        <f t="shared" si="89"/>
        <v>211702.5</v>
      </c>
      <c r="N215" s="16">
        <f t="shared" si="89"/>
        <v>30411.262124999997</v>
      </c>
      <c r="O215" s="16"/>
      <c r="P215" s="16">
        <f t="shared" si="89"/>
        <v>50</v>
      </c>
      <c r="Q215" s="16">
        <f t="shared" si="89"/>
        <v>43758.762124999994</v>
      </c>
      <c r="R215" s="16">
        <f t="shared" si="89"/>
        <v>181241.23787499999</v>
      </c>
      <c r="S215" s="70"/>
    </row>
    <row r="216" spans="1:19" s="2" customFormat="1" ht="20.25" customHeight="1" thickBot="1" x14ac:dyDescent="0.25">
      <c r="A216" s="64"/>
      <c r="B216" s="64"/>
      <c r="C216" s="64"/>
      <c r="D216" s="64"/>
      <c r="E216" s="64"/>
      <c r="F216" s="64"/>
      <c r="G216" s="64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70"/>
    </row>
    <row r="217" spans="1:19" s="2" customFormat="1" ht="23.25" customHeight="1" thickBot="1" x14ac:dyDescent="0.25">
      <c r="A217" s="221" t="s">
        <v>345</v>
      </c>
      <c r="B217" s="222"/>
      <c r="C217" s="222"/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70"/>
    </row>
    <row r="218" spans="1:19" s="2" customFormat="1" ht="24.95" customHeight="1" x14ac:dyDescent="0.2">
      <c r="A218" s="104">
        <f>A214+1</f>
        <v>83</v>
      </c>
      <c r="B218" s="61" t="s">
        <v>410</v>
      </c>
      <c r="C218" s="156" t="s">
        <v>429</v>
      </c>
      <c r="D218" s="126" t="s">
        <v>372</v>
      </c>
      <c r="E218" s="125" t="s">
        <v>217</v>
      </c>
      <c r="F218" s="106" t="s">
        <v>575</v>
      </c>
      <c r="G218" s="106" t="s">
        <v>649</v>
      </c>
      <c r="H218" s="63">
        <v>70000</v>
      </c>
      <c r="I218" s="108">
        <f>H218*2.87%</f>
        <v>2009</v>
      </c>
      <c r="J218" s="108">
        <f>+H218*3.04%</f>
        <v>2128</v>
      </c>
      <c r="K218" s="108"/>
      <c r="L218" s="8">
        <f t="shared" si="87"/>
        <v>4137</v>
      </c>
      <c r="M218" s="8">
        <f t="shared" si="88"/>
        <v>65863</v>
      </c>
      <c r="N218" s="8">
        <f>+IF(M218*12&lt;=416220.01,0,IF(M218*12&lt;=624329.01,(((M218*12-416220.01)*0.15)/12),IF((M218*12&lt;=867123.01),(31216+0.2*(M218*12-624329.01))/12,((79776+0.25*(M218*12-867123.01))/12))))-O218</f>
        <v>1549.6798333333331</v>
      </c>
      <c r="O218" s="8">
        <v>3818.77</v>
      </c>
      <c r="P218" s="107">
        <v>125</v>
      </c>
      <c r="Q218" s="8">
        <f>+P218+N218+L218</f>
        <v>5811.6798333333336</v>
      </c>
      <c r="R218" s="107">
        <f>+H218-Q218</f>
        <v>64188.320166666665</v>
      </c>
      <c r="S218" s="70"/>
    </row>
    <row r="219" spans="1:19" s="2" customFormat="1" ht="24" customHeight="1" x14ac:dyDescent="0.2">
      <c r="A219" s="272" t="s">
        <v>126</v>
      </c>
      <c r="B219" s="273"/>
      <c r="C219" s="249"/>
      <c r="D219" s="249"/>
      <c r="E219" s="249"/>
      <c r="F219" s="249"/>
      <c r="G219" s="249"/>
      <c r="H219" s="16">
        <f>SUM(H218:H218)</f>
        <v>70000</v>
      </c>
      <c r="I219" s="16">
        <f t="shared" ref="I219:R219" si="90">SUM(I218:I218)</f>
        <v>2009</v>
      </c>
      <c r="J219" s="16">
        <f t="shared" si="90"/>
        <v>2128</v>
      </c>
      <c r="K219" s="16">
        <f t="shared" si="90"/>
        <v>0</v>
      </c>
      <c r="L219" s="16">
        <f t="shared" si="90"/>
        <v>4137</v>
      </c>
      <c r="M219" s="16">
        <f t="shared" si="90"/>
        <v>65863</v>
      </c>
      <c r="N219" s="16">
        <f t="shared" si="90"/>
        <v>1549.6798333333331</v>
      </c>
      <c r="O219" s="16">
        <f t="shared" si="90"/>
        <v>3818.77</v>
      </c>
      <c r="P219" s="16">
        <f t="shared" si="90"/>
        <v>125</v>
      </c>
      <c r="Q219" s="16">
        <f t="shared" si="90"/>
        <v>5811.6798333333336</v>
      </c>
      <c r="R219" s="16">
        <f t="shared" si="90"/>
        <v>64188.320166666665</v>
      </c>
      <c r="S219" s="70"/>
    </row>
    <row r="220" spans="1:19" s="2" customFormat="1" ht="24.75" customHeight="1" thickBot="1" x14ac:dyDescent="0.25">
      <c r="A220" s="64"/>
      <c r="B220" s="64"/>
      <c r="C220" s="64"/>
      <c r="D220" s="64"/>
      <c r="E220" s="64"/>
      <c r="F220" s="64"/>
      <c r="G220" s="64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70"/>
    </row>
    <row r="221" spans="1:19" s="2" customFormat="1" ht="23.25" customHeight="1" thickBot="1" x14ac:dyDescent="0.25">
      <c r="A221" s="221" t="s">
        <v>371</v>
      </c>
      <c r="B221" s="222"/>
      <c r="C221" s="222"/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70"/>
    </row>
    <row r="222" spans="1:19" s="2" customFormat="1" ht="33" customHeight="1" x14ac:dyDescent="0.2">
      <c r="A222" s="104">
        <f>+A218+1</f>
        <v>84</v>
      </c>
      <c r="B222" s="61" t="s">
        <v>411</v>
      </c>
      <c r="C222" s="156" t="s">
        <v>429</v>
      </c>
      <c r="D222" s="126" t="s">
        <v>373</v>
      </c>
      <c r="E222" s="125" t="s">
        <v>217</v>
      </c>
      <c r="F222" s="106" t="s">
        <v>575</v>
      </c>
      <c r="G222" s="106" t="s">
        <v>649</v>
      </c>
      <c r="H222" s="63">
        <v>90000</v>
      </c>
      <c r="I222" s="108">
        <f>H222*2.87%</f>
        <v>2583</v>
      </c>
      <c r="J222" s="108">
        <f>+H222*3.04%</f>
        <v>2736</v>
      </c>
      <c r="K222" s="108"/>
      <c r="L222" s="8">
        <f t="shared" si="87"/>
        <v>5319</v>
      </c>
      <c r="M222" s="8">
        <f t="shared" si="88"/>
        <v>84681</v>
      </c>
      <c r="N222" s="8">
        <f>+IF(M222*12&lt;=416220.01,0,IF(M222*12&lt;=624329.01,(((M222*12-416220.01)*0.15)/12),IF((M222*12&lt;=867123.01),(31216+0.2*(M222*12-624329.01))/12,((79776+0.25*(M222*12-867123.01))/12))))</f>
        <v>9753.1872916666671</v>
      </c>
      <c r="O222" s="8"/>
      <c r="P222" s="107">
        <v>125</v>
      </c>
      <c r="Q222" s="8">
        <f>+P222+N222+L222</f>
        <v>15197.187291666667</v>
      </c>
      <c r="R222" s="107">
        <f>+H222-Q222</f>
        <v>74802.812708333338</v>
      </c>
      <c r="S222" s="70"/>
    </row>
    <row r="223" spans="1:19" s="2" customFormat="1" ht="23.25" customHeight="1" x14ac:dyDescent="0.2">
      <c r="A223" s="272" t="s">
        <v>126</v>
      </c>
      <c r="B223" s="273"/>
      <c r="C223" s="249"/>
      <c r="D223" s="249"/>
      <c r="E223" s="249"/>
      <c r="F223" s="249"/>
      <c r="G223" s="249"/>
      <c r="H223" s="16">
        <f>SUM(H222:H222)</f>
        <v>90000</v>
      </c>
      <c r="I223" s="16">
        <f t="shared" ref="I223:R223" si="91">SUM(I222:I222)</f>
        <v>2583</v>
      </c>
      <c r="J223" s="16">
        <f t="shared" si="91"/>
        <v>2736</v>
      </c>
      <c r="K223" s="16">
        <f t="shared" si="91"/>
        <v>0</v>
      </c>
      <c r="L223" s="16">
        <f t="shared" si="91"/>
        <v>5319</v>
      </c>
      <c r="M223" s="16">
        <f t="shared" si="91"/>
        <v>84681</v>
      </c>
      <c r="N223" s="16">
        <f t="shared" si="91"/>
        <v>9753.1872916666671</v>
      </c>
      <c r="O223" s="16"/>
      <c r="P223" s="16">
        <f t="shared" si="91"/>
        <v>125</v>
      </c>
      <c r="Q223" s="16">
        <f t="shared" si="91"/>
        <v>15197.187291666667</v>
      </c>
      <c r="R223" s="16">
        <f t="shared" si="91"/>
        <v>74802.812708333338</v>
      </c>
      <c r="S223" s="70"/>
    </row>
    <row r="224" spans="1:19" s="70" customFormat="1" ht="24.95" customHeight="1" thickBot="1" x14ac:dyDescent="0.25">
      <c r="A224" s="64"/>
      <c r="B224" s="64"/>
      <c r="C224" s="64"/>
      <c r="D224" s="64"/>
      <c r="E224" s="64"/>
      <c r="F224" s="64"/>
      <c r="G224" s="64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</row>
    <row r="225" spans="1:19" s="110" customFormat="1" ht="32.25" customHeight="1" thickBot="1" x14ac:dyDescent="0.25">
      <c r="A225" s="247" t="s">
        <v>230</v>
      </c>
      <c r="B225" s="248"/>
      <c r="C225" s="248"/>
      <c r="D225" s="248"/>
      <c r="E225" s="248"/>
      <c r="F225" s="248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98"/>
    </row>
    <row r="226" spans="1:19" s="110" customFormat="1" ht="32.25" customHeight="1" x14ac:dyDescent="0.2">
      <c r="A226" s="104">
        <f>+A222+1</f>
        <v>85</v>
      </c>
      <c r="B226" s="61" t="s">
        <v>412</v>
      </c>
      <c r="C226" s="156" t="s">
        <v>430</v>
      </c>
      <c r="D226" s="61" t="s">
        <v>413</v>
      </c>
      <c r="E226" s="125" t="s">
        <v>217</v>
      </c>
      <c r="F226" s="106" t="s">
        <v>575</v>
      </c>
      <c r="G226" s="106" t="s">
        <v>649</v>
      </c>
      <c r="H226" s="108">
        <v>45000</v>
      </c>
      <c r="I226" s="108">
        <f t="shared" ref="I226:I227" si="92">H226*2.87%</f>
        <v>1291.5</v>
      </c>
      <c r="J226" s="108">
        <f t="shared" ref="J226:J227" si="93">+H226*3.04%</f>
        <v>1368</v>
      </c>
      <c r="K226" s="108">
        <v>1577.45</v>
      </c>
      <c r="L226" s="8">
        <f t="shared" si="87"/>
        <v>4236.95</v>
      </c>
      <c r="M226" s="8">
        <f t="shared" si="88"/>
        <v>40763.050000000003</v>
      </c>
      <c r="N226" s="8">
        <f>+IF(M226*12&lt;=416220.01,0,IF(M226*12&lt;=624329.01,(((M226*12-416220.01)*0.15)/12),IF((M226*12&lt;=867123.01),(31216+0.2*(M226*12-624329.01))/12,((79776+0.25*(M226*12-867123.01))/12))))-O226</f>
        <v>-2.624999999738975E-3</v>
      </c>
      <c r="O226" s="8">
        <v>911.71</v>
      </c>
      <c r="P226" s="107">
        <v>125</v>
      </c>
      <c r="Q226" s="8">
        <f>+P226+N226+L226</f>
        <v>4361.9473749999997</v>
      </c>
      <c r="R226" s="107">
        <f>+H226-Q226</f>
        <v>40638.052624999997</v>
      </c>
      <c r="S226" s="298"/>
    </row>
    <row r="227" spans="1:19" ht="25.15" customHeight="1" x14ac:dyDescent="0.2">
      <c r="A227" s="104">
        <f>+A226+1</f>
        <v>86</v>
      </c>
      <c r="B227" s="61" t="s">
        <v>414</v>
      </c>
      <c r="C227" s="156" t="s">
        <v>430</v>
      </c>
      <c r="D227" s="61" t="s">
        <v>413</v>
      </c>
      <c r="E227" s="125" t="s">
        <v>217</v>
      </c>
      <c r="F227" s="26" t="s">
        <v>561</v>
      </c>
      <c r="G227" s="26" t="s">
        <v>653</v>
      </c>
      <c r="H227" s="108">
        <v>45000</v>
      </c>
      <c r="I227" s="108">
        <f t="shared" si="92"/>
        <v>1291.5</v>
      </c>
      <c r="J227" s="108">
        <f t="shared" si="93"/>
        <v>1368</v>
      </c>
      <c r="K227" s="108">
        <v>1577.45</v>
      </c>
      <c r="L227" s="8">
        <f t="shared" si="87"/>
        <v>4236.95</v>
      </c>
      <c r="M227" s="8">
        <f t="shared" si="88"/>
        <v>40763.050000000003</v>
      </c>
      <c r="N227" s="8">
        <f>+IF(M227*12&lt;=416220.01,0,IF(M227*12&lt;=624329.01,(((M227*12-416220.01)*0.15)/12),IF((M227*12&lt;=867123.01),(31216+0.2*(M227*12-624329.01))/12,((79776+0.25*(M227*12-867123.01))/12))))-O227</f>
        <v>-2.624999999738975E-3</v>
      </c>
      <c r="O227" s="8">
        <v>911.71</v>
      </c>
      <c r="P227" s="107">
        <v>125</v>
      </c>
      <c r="Q227" s="8">
        <f>+P227+N227+L227</f>
        <v>4361.9473749999997</v>
      </c>
      <c r="R227" s="107">
        <f>+H227-Q227</f>
        <v>40638.052624999997</v>
      </c>
    </row>
    <row r="228" spans="1:19" ht="25.15" customHeight="1" x14ac:dyDescent="0.2">
      <c r="A228" s="104">
        <f>+A227+1</f>
        <v>87</v>
      </c>
      <c r="B228" s="61" t="s">
        <v>678</v>
      </c>
      <c r="C228" s="156" t="s">
        <v>430</v>
      </c>
      <c r="D228" s="61" t="s">
        <v>413</v>
      </c>
      <c r="E228" s="125" t="s">
        <v>217</v>
      </c>
      <c r="F228" s="26" t="s">
        <v>588</v>
      </c>
      <c r="G228" s="26" t="s">
        <v>660</v>
      </c>
      <c r="H228" s="108">
        <v>45000</v>
      </c>
      <c r="I228" s="108">
        <f t="shared" ref="I228" si="94">H228*2.87%</f>
        <v>1291.5</v>
      </c>
      <c r="J228" s="108">
        <f t="shared" ref="J228" si="95">+H228*3.04%</f>
        <v>1368</v>
      </c>
      <c r="K228" s="108"/>
      <c r="L228" s="8">
        <f t="shared" ref="L228" si="96">+J228+I228+K228</f>
        <v>2659.5</v>
      </c>
      <c r="M228" s="8">
        <f t="shared" ref="M228" si="97">+H228-L228</f>
        <v>42340.5</v>
      </c>
      <c r="N228" s="8">
        <f>+IF(M228*12&lt;=416220.01,0,IF(M228*12&lt;=624329.01,(((M228*12-416220.01)*0.15)/12),IF((M228*12&lt;=867123.01),(31216+0.2*(M228*12-624329.01))/12,((79776+0.25*(M228*12-867123.01))/12))))-O228</f>
        <v>1148.3248749999998</v>
      </c>
      <c r="O228" s="8"/>
      <c r="P228" s="107">
        <v>25</v>
      </c>
      <c r="Q228" s="8">
        <f>+P228+N228+L228</f>
        <v>3832.8248749999998</v>
      </c>
      <c r="R228" s="107">
        <f>+H228-Q228</f>
        <v>41167.175125000002</v>
      </c>
    </row>
    <row r="229" spans="1:19" ht="24.75" customHeight="1" x14ac:dyDescent="0.2">
      <c r="A229" s="272" t="s">
        <v>126</v>
      </c>
      <c r="B229" s="273"/>
      <c r="C229" s="249"/>
      <c r="D229" s="249"/>
      <c r="E229" s="249"/>
      <c r="F229" s="249"/>
      <c r="G229" s="249"/>
      <c r="H229" s="16">
        <f>SUM(H226:H228)</f>
        <v>135000</v>
      </c>
      <c r="I229" s="16">
        <f t="shared" ref="I229:R229" si="98">SUM(I226:I228)</f>
        <v>3874.5</v>
      </c>
      <c r="J229" s="16">
        <f t="shared" si="98"/>
        <v>4104</v>
      </c>
      <c r="K229" s="16">
        <f t="shared" si="98"/>
        <v>3154.9</v>
      </c>
      <c r="L229" s="16">
        <f t="shared" si="98"/>
        <v>11133.4</v>
      </c>
      <c r="M229" s="16">
        <f t="shared" si="98"/>
        <v>123866.6</v>
      </c>
      <c r="N229" s="16">
        <f t="shared" si="98"/>
        <v>1148.3196250000003</v>
      </c>
      <c r="O229" s="16">
        <f t="shared" si="98"/>
        <v>1823.42</v>
      </c>
      <c r="P229" s="16">
        <f t="shared" si="98"/>
        <v>275</v>
      </c>
      <c r="Q229" s="16">
        <f t="shared" si="98"/>
        <v>12556.719625</v>
      </c>
      <c r="R229" s="16">
        <f t="shared" si="98"/>
        <v>122443.280375</v>
      </c>
    </row>
    <row r="230" spans="1:19" s="70" customFormat="1" ht="24.95" customHeight="1" x14ac:dyDescent="0.2">
      <c r="A230" s="64"/>
      <c r="B230" s="64"/>
      <c r="C230" s="64"/>
      <c r="D230" s="64"/>
      <c r="E230" s="64"/>
      <c r="F230" s="64"/>
      <c r="G230" s="64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</row>
    <row r="231" spans="1:19" ht="25.5" customHeight="1" thickBot="1" x14ac:dyDescent="0.25">
      <c r="A231" s="64"/>
      <c r="B231" s="64"/>
      <c r="C231" s="64"/>
      <c r="D231" s="64"/>
      <c r="E231" s="64"/>
      <c r="F231" s="64"/>
      <c r="G231" s="64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</row>
    <row r="232" spans="1:19" ht="24.75" customHeight="1" thickBot="1" x14ac:dyDescent="0.25">
      <c r="A232" s="247" t="s">
        <v>458</v>
      </c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</row>
    <row r="233" spans="1:19" ht="29.25" customHeight="1" x14ac:dyDescent="0.2">
      <c r="A233" s="104">
        <f>+A227+1</f>
        <v>87</v>
      </c>
      <c r="B233" s="111" t="s">
        <v>146</v>
      </c>
      <c r="C233" s="114" t="s">
        <v>430</v>
      </c>
      <c r="D233" s="111" t="s">
        <v>415</v>
      </c>
      <c r="E233" s="105" t="s">
        <v>217</v>
      </c>
      <c r="F233" s="26" t="s">
        <v>545</v>
      </c>
      <c r="G233" s="26" t="s">
        <v>611</v>
      </c>
      <c r="H233" s="108">
        <v>60000</v>
      </c>
      <c r="I233" s="108">
        <f>H233*2.87%</f>
        <v>1722</v>
      </c>
      <c r="J233" s="108">
        <f>+H233*3.04%</f>
        <v>1824</v>
      </c>
      <c r="K233" s="108">
        <v>1577.45</v>
      </c>
      <c r="L233" s="8">
        <f t="shared" si="87"/>
        <v>5123.45</v>
      </c>
      <c r="M233" s="8">
        <f t="shared" si="88"/>
        <v>54876.55</v>
      </c>
      <c r="N233" s="8">
        <f>+IF(M233*12&lt;=416220.01,0,IF(M233*12&lt;=624329.01,(((M233*12-416220.01)*0.15)/12),IF((M233*12&lt;=867123.01),(31216+0.2*(M233*12-624329.01))/12,((79776+0.25*(M233*12-867123.01))/12))))-O233</f>
        <v>-1.6666666488163173E-4</v>
      </c>
      <c r="O233" s="8">
        <v>3171.16</v>
      </c>
      <c r="P233" s="107">
        <v>125</v>
      </c>
      <c r="Q233" s="8">
        <f>+P233+N233+L233</f>
        <v>5248.4498333333349</v>
      </c>
      <c r="R233" s="107">
        <f>+H233-Q233</f>
        <v>54751.550166666668</v>
      </c>
    </row>
    <row r="234" spans="1:19" ht="26.25" customHeight="1" x14ac:dyDescent="0.2">
      <c r="A234" s="272" t="s">
        <v>126</v>
      </c>
      <c r="B234" s="273"/>
      <c r="C234" s="249"/>
      <c r="D234" s="249"/>
      <c r="E234" s="249"/>
      <c r="F234" s="249"/>
      <c r="G234" s="249"/>
      <c r="H234" s="16">
        <f>SUM(H233:H233)</f>
        <v>60000</v>
      </c>
      <c r="I234" s="16">
        <f t="shared" ref="I234:R234" si="99">SUM(I233:I233)</f>
        <v>1722</v>
      </c>
      <c r="J234" s="16">
        <f t="shared" si="99"/>
        <v>1824</v>
      </c>
      <c r="K234" s="16">
        <f t="shared" si="99"/>
        <v>1577.45</v>
      </c>
      <c r="L234" s="16">
        <f t="shared" si="99"/>
        <v>5123.45</v>
      </c>
      <c r="M234" s="16">
        <f t="shared" si="99"/>
        <v>54876.55</v>
      </c>
      <c r="N234" s="16">
        <f t="shared" si="99"/>
        <v>-1.6666666488163173E-4</v>
      </c>
      <c r="O234" s="16">
        <f t="shared" si="99"/>
        <v>3171.16</v>
      </c>
      <c r="P234" s="16">
        <f t="shared" si="99"/>
        <v>125</v>
      </c>
      <c r="Q234" s="16">
        <f t="shared" si="99"/>
        <v>5248.4498333333349</v>
      </c>
      <c r="R234" s="16">
        <f t="shared" si="99"/>
        <v>54751.550166666668</v>
      </c>
    </row>
    <row r="235" spans="1:19" s="70" customFormat="1" ht="26.25" customHeight="1" thickBot="1" x14ac:dyDescent="0.25">
      <c r="A235" s="64"/>
      <c r="B235" s="64"/>
      <c r="C235" s="64"/>
      <c r="D235" s="64"/>
      <c r="E235" s="64"/>
      <c r="F235" s="64"/>
      <c r="G235" s="64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</row>
    <row r="236" spans="1:19" ht="24.75" customHeight="1" thickBot="1" x14ac:dyDescent="0.25">
      <c r="A236" s="247" t="s">
        <v>208</v>
      </c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</row>
    <row r="237" spans="1:19" ht="29.25" customHeight="1" x14ac:dyDescent="0.2">
      <c r="A237" s="104">
        <f>+A233+1</f>
        <v>88</v>
      </c>
      <c r="B237" s="111" t="s">
        <v>679</v>
      </c>
      <c r="C237" s="114" t="s">
        <v>429</v>
      </c>
      <c r="D237" s="111" t="s">
        <v>680</v>
      </c>
      <c r="E237" s="105" t="s">
        <v>217</v>
      </c>
      <c r="F237" s="26" t="s">
        <v>588</v>
      </c>
      <c r="G237" s="26" t="s">
        <v>660</v>
      </c>
      <c r="H237" s="108">
        <v>100000</v>
      </c>
      <c r="I237" s="108">
        <f>H237*2.87%</f>
        <v>2870</v>
      </c>
      <c r="J237" s="108">
        <f>+H237*3.04%</f>
        <v>3040</v>
      </c>
      <c r="K237" s="108">
        <v>0</v>
      </c>
      <c r="L237" s="8">
        <f t="shared" ref="L237:L238" si="100">+J237+I237+K237</f>
        <v>5910</v>
      </c>
      <c r="M237" s="8">
        <f t="shared" ref="M237:M238" si="101">+H237-L237</f>
        <v>94090</v>
      </c>
      <c r="N237" s="8">
        <f>+IF(M237*12&lt;=416220.01,0,IF(M237*12&lt;=624329.01,(((M237*12-416220.01)*0.15)/12),IF((M237*12&lt;=867123.01),(31216+0.2*(M237*12-624329.01))/12,((79776+0.25*(M237*12-867123.01))/12))))-O237</f>
        <v>12105.437291666667</v>
      </c>
      <c r="O237" s="8">
        <v>0</v>
      </c>
      <c r="P237" s="107">
        <v>125</v>
      </c>
      <c r="Q237" s="8">
        <f>+P237+N237+L237</f>
        <v>18140.437291666669</v>
      </c>
      <c r="R237" s="107">
        <f>+H237-Q237</f>
        <v>81859.562708333338</v>
      </c>
    </row>
    <row r="238" spans="1:19" ht="26.25" customHeight="1" x14ac:dyDescent="0.2">
      <c r="A238" s="272" t="s">
        <v>126</v>
      </c>
      <c r="B238" s="273"/>
      <c r="C238" s="249"/>
      <c r="D238" s="249"/>
      <c r="E238" s="249"/>
      <c r="F238" s="249"/>
      <c r="G238" s="249"/>
      <c r="H238" s="16">
        <f>SUM(H237:H237)</f>
        <v>100000</v>
      </c>
      <c r="I238" s="16">
        <f t="shared" ref="I238:R238" si="102">SUM(I237:I237)</f>
        <v>2870</v>
      </c>
      <c r="J238" s="16">
        <f t="shared" si="102"/>
        <v>3040</v>
      </c>
      <c r="K238" s="16">
        <f t="shared" si="102"/>
        <v>0</v>
      </c>
      <c r="L238" s="16">
        <f t="shared" si="102"/>
        <v>5910</v>
      </c>
      <c r="M238" s="16">
        <f t="shared" si="102"/>
        <v>94090</v>
      </c>
      <c r="N238" s="16">
        <f t="shared" si="102"/>
        <v>12105.437291666667</v>
      </c>
      <c r="O238" s="16">
        <f t="shared" si="102"/>
        <v>0</v>
      </c>
      <c r="P238" s="16">
        <f t="shared" si="102"/>
        <v>125</v>
      </c>
      <c r="Q238" s="16">
        <f t="shared" si="102"/>
        <v>18140.437291666669</v>
      </c>
      <c r="R238" s="16">
        <f t="shared" si="102"/>
        <v>81859.562708333338</v>
      </c>
    </row>
    <row r="239" spans="1:19" ht="26.25" customHeight="1" thickBot="1" x14ac:dyDescent="0.25">
      <c r="D239" s="27"/>
      <c r="E239" s="27"/>
      <c r="F239" s="27"/>
      <c r="G239" s="27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9" ht="26.25" customHeight="1" thickBot="1" x14ac:dyDescent="0.25">
      <c r="A240" s="247" t="s">
        <v>416</v>
      </c>
      <c r="B240" s="248"/>
      <c r="C240" s="248"/>
      <c r="D240" s="248"/>
      <c r="E240" s="131"/>
      <c r="F240" s="62"/>
      <c r="G240" s="62"/>
      <c r="H240" s="15">
        <f>+H12+H18+H24+H35+H40+H44+H49+H64+H70+H84+H92+H111+H128+H142+H146+H155+H165+H170+H174+H179+H188+H198+H206+H215++H234++H229+H223+H219+H193+H210+H28+H79+H54+H159+H121+H103+H133+H116+H58+H107+H87+H75+H202+H238+H137+H96</f>
        <v>7960000</v>
      </c>
      <c r="I240" s="15">
        <f>+I12+I18+I24+I35+I40+I44+I49+I64+I70+I84+I92+I111+I128+I142+I146+I155+I165+I170+I174+I179+I188+I198+I206+I215++I234++I229+I223+I219+I193+I210+I28+I79+I54+I159+I121+I103+I133+I116+I58+I107+I87+I75+I202+I238+I137+I96</f>
        <v>228452</v>
      </c>
      <c r="J240" s="15">
        <f>+J12+J18+J24+J35+J40+J44+J49+J64+J70+J84+J92+J111+J128+J142+J146+J155+J165+J170+J174+J179+J188+J198+J206+J215++J234++J229+J223+J219+J193+J210+J28+J79+J54+J159+J121+J103+J133+J116+J58+J107+J87+J75+J202+J238+J137+J96</f>
        <v>241802.81599999999</v>
      </c>
      <c r="K240" s="15">
        <f>+K12+K18+K24+K35+K40+K44+K49+K64+K70+K84+K92+K111+K128+K142+K146+K155+K165+K170+K174+K179+K188+K198+K206+K215++K234++K229+K223+K219+K193+K210+K28+K79+K54+K159+K121+K103+K133+K116+K58+K107+K87+K75+K202+K238+K137+K96</f>
        <v>26816.650000000005</v>
      </c>
      <c r="L240" s="15">
        <f>+L12+L18+L24+L35+L40+L44+L49+L64+L70+L84+L92+L111+L128+L142+L146+L155+L165+L170+L174+L179+L188+L198+L206+L215++L234++L229+L223+L219+L193+L210+L28+L79+L54+L159+L121+L103+L133+L116+L58+L107+L87+L75+L202+L238+L137+L96</f>
        <v>497071.46600000013</v>
      </c>
      <c r="M240" s="15">
        <f>+M12+M18+M24+M35+M40+M44+M49+M64+M70+M84+M92+M111+M128+M142+M146+M155+M165+M170+M174+M179+M188+M198+M206+M215++M234++M229+M223+M219+M193+M210+M28+M79+M54+M159+M121+M103+M133+M116+M58+M107+M87+M75+M202+M238+M137+M96</f>
        <v>7462928.5339999981</v>
      </c>
      <c r="N240" s="15">
        <f>+N12+N18+N24+N35+N40+N44+N49+N64+N70+N84+N92+N111+N128+N142+N146+N155+N165+N170+N174+N179+N188+N198+N206+N215++N234++N229+N223+N219+N193+N210+N28+N79+N54+N159+N121+N103+N133+N116+N58+N107+N87+N75+N202+N238+N137+N96</f>
        <v>626379.38512500003</v>
      </c>
      <c r="O240" s="15">
        <f>+O12+O18+O24+O35+O40+O44+O49+O64+O70+O84+O92+O111+O128+O142+O146+O155+O165+O170+O174+O179+O188+O198+O206+O215++O234++O229+O223+O219+O193+O210+O28+O79+O54+O159+O121+O103+O133+O116+O58+O107+O87+O75+O202+O238+O137+O96</f>
        <v>235276.92000000007</v>
      </c>
      <c r="P240" s="15">
        <f>+P12+P18+P24+P35+P40+P44+P49+P64+P70+P84+P92+P111+P128+P142+P146+P155+P165+P170+P174+P179+P188+P198+P206+P215++P234++P229+P223+P219+P193+P210+P28+P79+P54+P159+P121+P103+P133+P116+P58+P107+P87+P75+P202+P238+P137+P96</f>
        <v>156717.56000000003</v>
      </c>
      <c r="Q240" s="15">
        <f>+Q12+Q18+Q24+Q35+Q40+Q44+Q49+Q64+Q70+Q84+Q92+Q111+Q128+Q142+Q146+Q155+Q165+Q170+Q174+Q179+Q188+Q198+Q206+Q215++Q234++Q229+Q223+Q219+Q193+Q210+Q28+Q79+Q54+Q159+Q121+Q103+Q133+Q116+Q58+Q107+Q87+Q75+Q202+Q238+Q137+Q96</f>
        <v>1280168.4111249996</v>
      </c>
      <c r="R240" s="15">
        <f>+R12+R18+R24+R35+R40+R44+R49+R64+R70+R84+R92+R111+R128+R142+R146+R155+R165+R170+R174+R179+R188+R198+R206+R215++R234++R229+R223+R219+R193+R210+R28+R79+R54+R159+R121+R103+R133+R116+R58+R107+R87+R75+R202+R238+R137+R96</f>
        <v>6679831.5888749976</v>
      </c>
    </row>
    <row r="241" spans="1:18" ht="26.25" customHeight="1" x14ac:dyDescent="0.2">
      <c r="A241" s="154"/>
      <c r="B241" s="154"/>
      <c r="C241" s="154"/>
      <c r="D241" s="154"/>
      <c r="E241" s="154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</row>
    <row r="242" spans="1:18" x14ac:dyDescent="0.2">
      <c r="A242" s="154"/>
      <c r="B242" s="154"/>
      <c r="C242" s="154"/>
      <c r="D242" s="154"/>
      <c r="E242" s="154"/>
    </row>
    <row r="243" spans="1:18" ht="20.25" customHeight="1" x14ac:dyDescent="0.25">
      <c r="B243" s="23" t="s">
        <v>203</v>
      </c>
      <c r="C243" s="153"/>
      <c r="D243" s="22"/>
      <c r="E243" s="22"/>
      <c r="F243" s="23" t="s">
        <v>499</v>
      </c>
    </row>
    <row r="244" spans="1:18" ht="15.75" customHeight="1" x14ac:dyDescent="0.25">
      <c r="B244" s="23" t="s">
        <v>500</v>
      </c>
      <c r="C244" s="153"/>
      <c r="D244" s="22"/>
      <c r="E244" s="22"/>
      <c r="F244" s="23" t="s">
        <v>501</v>
      </c>
    </row>
    <row r="245" spans="1:18" x14ac:dyDescent="0.2">
      <c r="H245" s="67"/>
    </row>
    <row r="64840" spans="2:19" s="4" customFormat="1" x14ac:dyDescent="0.2">
      <c r="B64840" s="25"/>
      <c r="D64840" s="25"/>
      <c r="E64840" s="25"/>
      <c r="F64840" s="25"/>
      <c r="G64840" s="25"/>
      <c r="H64840" s="2"/>
      <c r="N64840" s="1"/>
      <c r="O64840" s="1"/>
      <c r="P64840" s="1"/>
      <c r="Q64840" s="1"/>
      <c r="R64840" s="1"/>
      <c r="S64840" s="300"/>
    </row>
    <row r="64842" spans="2:19" s="4" customFormat="1" x14ac:dyDescent="0.2">
      <c r="B64842" s="25"/>
      <c r="D64842" s="25"/>
      <c r="E64842" s="25"/>
      <c r="F64842" s="25"/>
      <c r="G64842" s="25"/>
      <c r="H64842" s="2"/>
      <c r="N64842" s="1"/>
      <c r="O64842" s="1"/>
      <c r="P64842" s="1"/>
      <c r="Q64842" s="1"/>
      <c r="R64842" s="1"/>
      <c r="S64842" s="300"/>
    </row>
    <row r="64852" spans="2:18" x14ac:dyDescent="0.2">
      <c r="P64852" s="4"/>
      <c r="Q64852" s="4"/>
      <c r="R64852" s="4"/>
    </row>
    <row r="64853" spans="2:18" x14ac:dyDescent="0.2">
      <c r="B64853" s="25">
        <f>SUM(B7:B64852)</f>
        <v>0</v>
      </c>
    </row>
    <row r="64854" spans="2:18" x14ac:dyDescent="0.2">
      <c r="P64854" s="4"/>
      <c r="Q64854" s="4"/>
      <c r="R64854" s="4"/>
    </row>
    <row r="64855" spans="2:18" x14ac:dyDescent="0.2">
      <c r="B64855" s="25">
        <f>SUM(B64853)</f>
        <v>0</v>
      </c>
      <c r="N64855" s="4"/>
      <c r="O64855" s="4"/>
    </row>
    <row r="64857" spans="2:18" x14ac:dyDescent="0.2">
      <c r="N64857" s="4"/>
      <c r="O64857" s="4"/>
    </row>
    <row r="1048181" spans="17:17" x14ac:dyDescent="0.2">
      <c r="Q1048181" s="11" t="e">
        <f>SUM(#REF!)</f>
        <v>#REF!</v>
      </c>
    </row>
  </sheetData>
  <mergeCells count="49">
    <mergeCell ref="A238:B238"/>
    <mergeCell ref="A121:B121"/>
    <mergeCell ref="A234:B234"/>
    <mergeCell ref="A84:B84"/>
    <mergeCell ref="A87:B87"/>
    <mergeCell ref="A92:B92"/>
    <mergeCell ref="A103:B103"/>
    <mergeCell ref="A107:B107"/>
    <mergeCell ref="A111:B111"/>
    <mergeCell ref="A179:B179"/>
    <mergeCell ref="A188:B188"/>
    <mergeCell ref="A174:B174"/>
    <mergeCell ref="A215:B215"/>
    <mergeCell ref="A219:B219"/>
    <mergeCell ref="A223:B223"/>
    <mergeCell ref="A229:B229"/>
    <mergeCell ref="A146:B146"/>
    <mergeCell ref="A64:B64"/>
    <mergeCell ref="A70:B70"/>
    <mergeCell ref="A75:B75"/>
    <mergeCell ref="A79:B79"/>
    <mergeCell ref="A116:B116"/>
    <mergeCell ref="A96:B96"/>
    <mergeCell ref="A40:B40"/>
    <mergeCell ref="A44:B44"/>
    <mergeCell ref="A49:B49"/>
    <mergeCell ref="A54:B54"/>
    <mergeCell ref="A58:B58"/>
    <mergeCell ref="A12:B12"/>
    <mergeCell ref="A35:B35"/>
    <mergeCell ref="A2:R2"/>
    <mergeCell ref="A3:R3"/>
    <mergeCell ref="A4:R4"/>
    <mergeCell ref="A28:B28"/>
    <mergeCell ref="A24:B24"/>
    <mergeCell ref="A18:B18"/>
    <mergeCell ref="A202:B202"/>
    <mergeCell ref="A206:B206"/>
    <mergeCell ref="A210:B210"/>
    <mergeCell ref="A128:B128"/>
    <mergeCell ref="A133:B133"/>
    <mergeCell ref="A142:B142"/>
    <mergeCell ref="A193:B193"/>
    <mergeCell ref="A198:B198"/>
    <mergeCell ref="A159:B159"/>
    <mergeCell ref="A165:B165"/>
    <mergeCell ref="A170:B170"/>
    <mergeCell ref="A155:B155"/>
    <mergeCell ref="A137:B137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53" fitToHeight="0" orientation="landscape" r:id="rId1"/>
  <rowBreaks count="8" manualBreakCount="8">
    <brk id="45" max="17" man="1"/>
    <brk id="80" max="17" man="1"/>
    <brk id="116" max="17" man="1"/>
    <brk id="155" max="17" man="1"/>
    <brk id="197" max="17" man="1"/>
    <brk id="234" max="17" man="1"/>
    <brk id="246" max="12" man="1"/>
    <brk id="251" max="12" man="1"/>
  </rowBreaks>
  <ignoredErrors>
    <ignoredError sqref="R21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5"/>
  <sheetViews>
    <sheetView showGridLines="0" view="pageBreakPreview" zoomScale="40" zoomScaleNormal="97" zoomScaleSheetLayoutView="40" workbookViewId="0">
      <pane xSplit="3" ySplit="6" topLeftCell="D51" activePane="bottomRight" state="frozen"/>
      <selection pane="topRight" activeCell="C1" sqref="C1"/>
      <selection pane="bottomLeft" activeCell="A9" sqref="A9"/>
      <selection pane="bottomRight" activeCell="G126" sqref="G126:L126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5" customWidth="1"/>
    <col min="4" max="4" width="9.85546875" style="4" customWidth="1"/>
    <col min="5" max="5" width="48.140625" style="25" customWidth="1"/>
    <col min="6" max="6" width="27.28515625" style="2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69" t="s">
        <v>417</v>
      </c>
      <c r="C1" s="269"/>
      <c r="D1" s="269"/>
      <c r="E1" s="269"/>
      <c r="F1" s="269"/>
      <c r="G1" s="269"/>
      <c r="H1" s="269"/>
      <c r="I1" s="269"/>
      <c r="J1" s="269"/>
      <c r="K1" s="269"/>
      <c r="L1" s="269"/>
    </row>
    <row r="2" spans="2:13" ht="21" x14ac:dyDescent="0.35">
      <c r="B2" s="270" t="s">
        <v>436</v>
      </c>
      <c r="C2" s="270"/>
      <c r="D2" s="270"/>
      <c r="E2" s="270"/>
      <c r="F2" s="270"/>
      <c r="G2" s="270"/>
      <c r="H2" s="270"/>
      <c r="I2" s="270"/>
      <c r="J2" s="270"/>
      <c r="K2" s="270"/>
      <c r="L2" s="270"/>
    </row>
    <row r="3" spans="2:13" ht="18.75" x14ac:dyDescent="0.3">
      <c r="B3" s="271" t="s">
        <v>631</v>
      </c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17"/>
    </row>
    <row r="4" spans="2:13" ht="19.5" thickBot="1" x14ac:dyDescent="0.35">
      <c r="B4" s="271"/>
      <c r="C4" s="271"/>
      <c r="D4" s="17"/>
      <c r="E4" s="24"/>
      <c r="F4" s="24"/>
      <c r="G4" s="17"/>
    </row>
    <row r="5" spans="2:13" ht="25.5" customHeight="1" thickBot="1" x14ac:dyDescent="0.3">
      <c r="B5" s="31"/>
      <c r="C5" s="32"/>
      <c r="D5" s="31"/>
      <c r="E5" s="32"/>
      <c r="F5" s="32"/>
      <c r="G5" s="33"/>
      <c r="H5" s="289" t="s">
        <v>121</v>
      </c>
      <c r="I5" s="290"/>
      <c r="J5" s="34"/>
      <c r="K5" s="34"/>
      <c r="L5" s="34"/>
    </row>
    <row r="6" spans="2:13" s="18" customFormat="1" ht="30" customHeight="1" x14ac:dyDescent="0.25">
      <c r="B6" s="35" t="s">
        <v>0</v>
      </c>
      <c r="C6" s="35" t="s">
        <v>368</v>
      </c>
      <c r="D6" s="35" t="s">
        <v>431</v>
      </c>
      <c r="E6" s="35" t="s">
        <v>128</v>
      </c>
      <c r="F6" s="35" t="s">
        <v>115</v>
      </c>
      <c r="G6" s="35" t="s">
        <v>125</v>
      </c>
      <c r="H6" s="36" t="s">
        <v>1</v>
      </c>
      <c r="I6" s="36" t="s">
        <v>2</v>
      </c>
      <c r="J6" s="37" t="s">
        <v>116</v>
      </c>
      <c r="K6" s="37" t="s">
        <v>3</v>
      </c>
      <c r="L6" s="37" t="s">
        <v>117</v>
      </c>
    </row>
    <row r="7" spans="2:13" s="42" customFormat="1" ht="16.5" customHeight="1" x14ac:dyDescent="0.25">
      <c r="B7" s="52"/>
      <c r="C7" s="52"/>
      <c r="D7" s="52"/>
      <c r="E7" s="52"/>
      <c r="F7" s="52"/>
      <c r="M7" s="40"/>
    </row>
    <row r="8" spans="2:13" s="41" customFormat="1" ht="22.5" customHeight="1" thickBot="1" x14ac:dyDescent="0.3">
      <c r="B8" s="52"/>
      <c r="C8" s="52"/>
      <c r="D8" s="52"/>
      <c r="E8" s="52"/>
      <c r="F8" s="52"/>
      <c r="G8" s="42"/>
      <c r="H8" s="42"/>
      <c r="I8" s="42"/>
      <c r="J8" s="42"/>
      <c r="K8" s="42"/>
      <c r="L8" s="42"/>
    </row>
    <row r="9" spans="2:13" s="41" customFormat="1" ht="30" customHeight="1" thickBot="1" x14ac:dyDescent="0.3">
      <c r="B9" s="277" t="s">
        <v>180</v>
      </c>
      <c r="C9" s="278"/>
      <c r="D9" s="278"/>
      <c r="E9" s="278"/>
      <c r="F9" s="278"/>
      <c r="G9" s="278"/>
      <c r="H9" s="278"/>
      <c r="I9" s="278"/>
      <c r="J9" s="278"/>
      <c r="K9" s="278"/>
      <c r="L9" s="279"/>
    </row>
    <row r="10" spans="2:13" s="41" customFormat="1" ht="30" customHeight="1" x14ac:dyDescent="0.25">
      <c r="B10" s="38">
        <f>1</f>
        <v>1</v>
      </c>
      <c r="C10" s="117" t="s">
        <v>140</v>
      </c>
      <c r="D10" s="38" t="s">
        <v>430</v>
      </c>
      <c r="E10" s="118" t="s">
        <v>473</v>
      </c>
      <c r="F10" s="117" t="s">
        <v>122</v>
      </c>
      <c r="G10" s="119">
        <v>19500</v>
      </c>
      <c r="H10" s="119">
        <v>559.64999999999964</v>
      </c>
      <c r="I10" s="116">
        <v>502.21</v>
      </c>
      <c r="J10" s="119">
        <v>4609.54</v>
      </c>
      <c r="K10" s="116">
        <f>SUM(H10:J10)</f>
        <v>5671.4</v>
      </c>
      <c r="L10" s="120">
        <f>+G10-K10</f>
        <v>13828.6</v>
      </c>
      <c r="M10" s="218"/>
    </row>
    <row r="11" spans="2:13" s="41" customFormat="1" ht="30" customHeight="1" x14ac:dyDescent="0.25">
      <c r="B11" s="280" t="s">
        <v>126</v>
      </c>
      <c r="C11" s="281"/>
      <c r="D11" s="281"/>
      <c r="E11" s="281"/>
      <c r="F11" s="281"/>
      <c r="G11" s="39">
        <f>SUM(G10)</f>
        <v>19500</v>
      </c>
      <c r="H11" s="39">
        <f t="shared" ref="H11:J11" si="0">SUM(H10)</f>
        <v>559.64999999999964</v>
      </c>
      <c r="I11" s="39">
        <f t="shared" si="0"/>
        <v>502.21</v>
      </c>
      <c r="J11" s="39">
        <f t="shared" si="0"/>
        <v>4609.54</v>
      </c>
      <c r="K11" s="39">
        <f>SUM(K10)</f>
        <v>5671.4</v>
      </c>
      <c r="L11" s="39">
        <f>SUM(L10)</f>
        <v>13828.6</v>
      </c>
      <c r="M11" s="218"/>
    </row>
    <row r="12" spans="2:13" s="42" customFormat="1" ht="30" customHeight="1" thickBot="1" x14ac:dyDescent="0.3">
      <c r="B12" s="52"/>
      <c r="C12" s="52"/>
      <c r="D12" s="52"/>
      <c r="E12" s="52"/>
      <c r="F12" s="52"/>
      <c r="M12" s="40"/>
    </row>
    <row r="13" spans="2:13" s="76" customFormat="1" ht="30" customHeight="1" thickBot="1" x14ac:dyDescent="0.3">
      <c r="B13" s="277" t="s">
        <v>155</v>
      </c>
      <c r="C13" s="278"/>
      <c r="D13" s="278"/>
      <c r="E13" s="278"/>
      <c r="F13" s="278"/>
      <c r="G13" s="278"/>
      <c r="H13" s="278"/>
      <c r="I13" s="278"/>
      <c r="J13" s="278"/>
      <c r="K13" s="278"/>
      <c r="L13" s="279"/>
    </row>
    <row r="14" spans="2:13" s="41" customFormat="1" ht="46.5" customHeight="1" x14ac:dyDescent="0.25">
      <c r="B14" s="86">
        <f>+B10+1</f>
        <v>2</v>
      </c>
      <c r="C14" s="117" t="s">
        <v>255</v>
      </c>
      <c r="D14" s="38" t="s">
        <v>430</v>
      </c>
      <c r="E14" s="118" t="s">
        <v>505</v>
      </c>
      <c r="F14" s="117" t="s">
        <v>123</v>
      </c>
      <c r="G14" s="119">
        <v>31000</v>
      </c>
      <c r="H14" s="88">
        <f>G14*2.87%</f>
        <v>889.7</v>
      </c>
      <c r="I14" s="88">
        <f>+G14*3.04%</f>
        <v>942.4</v>
      </c>
      <c r="J14" s="88">
        <v>7291.9699999999993</v>
      </c>
      <c r="K14" s="116">
        <f>SUM(H14:J14)</f>
        <v>9124.07</v>
      </c>
      <c r="L14" s="120">
        <f>+G14-K14</f>
        <v>21875.93</v>
      </c>
      <c r="M14" s="218"/>
    </row>
    <row r="15" spans="2:13" s="41" customFormat="1" ht="27" customHeight="1" x14ac:dyDescent="0.25">
      <c r="B15" s="280" t="s">
        <v>126</v>
      </c>
      <c r="C15" s="281"/>
      <c r="D15" s="281"/>
      <c r="E15" s="281"/>
      <c r="F15" s="282"/>
      <c r="G15" s="39">
        <f>SUM(G14)</f>
        <v>31000</v>
      </c>
      <c r="H15" s="39">
        <f t="shared" ref="H15:L15" si="1">SUM(H14)</f>
        <v>889.7</v>
      </c>
      <c r="I15" s="39">
        <f t="shared" si="1"/>
        <v>942.4</v>
      </c>
      <c r="J15" s="39">
        <f t="shared" si="1"/>
        <v>7291.9699999999993</v>
      </c>
      <c r="K15" s="39">
        <f t="shared" si="1"/>
        <v>9124.07</v>
      </c>
      <c r="L15" s="39">
        <f t="shared" si="1"/>
        <v>21875.93</v>
      </c>
    </row>
    <row r="16" spans="2:13" s="41" customFormat="1" ht="27" customHeight="1" thickBot="1" x14ac:dyDescent="0.3">
      <c r="B16" s="52"/>
      <c r="C16" s="52"/>
      <c r="D16" s="52"/>
      <c r="E16" s="52"/>
      <c r="F16" s="52"/>
      <c r="G16" s="92"/>
      <c r="H16" s="92"/>
      <c r="I16" s="92"/>
      <c r="J16" s="92"/>
      <c r="K16" s="92"/>
      <c r="L16" s="92"/>
    </row>
    <row r="17" spans="2:13" s="76" customFormat="1" ht="30" customHeight="1" thickBot="1" x14ac:dyDescent="0.3">
      <c r="B17" s="277" t="s">
        <v>157</v>
      </c>
      <c r="C17" s="278"/>
      <c r="D17" s="278"/>
      <c r="E17" s="278"/>
      <c r="F17" s="278"/>
      <c r="G17" s="278"/>
      <c r="H17" s="278"/>
      <c r="I17" s="278"/>
      <c r="J17" s="278"/>
      <c r="K17" s="278"/>
      <c r="L17" s="279"/>
    </row>
    <row r="18" spans="2:13" s="41" customFormat="1" ht="46.5" customHeight="1" x14ac:dyDescent="0.25">
      <c r="B18" s="86">
        <f>+B14+1</f>
        <v>3</v>
      </c>
      <c r="C18" s="87" t="s">
        <v>258</v>
      </c>
      <c r="D18" s="38" t="s">
        <v>430</v>
      </c>
      <c r="E18" s="91" t="s">
        <v>539</v>
      </c>
      <c r="F18" s="117" t="s">
        <v>200</v>
      </c>
      <c r="G18" s="119">
        <v>25000</v>
      </c>
      <c r="H18" s="88">
        <f>G18*2.87%</f>
        <v>717.5</v>
      </c>
      <c r="I18" s="88">
        <f>+G18*3.04%</f>
        <v>760</v>
      </c>
      <c r="J18" s="88">
        <v>5880.62</v>
      </c>
      <c r="K18" s="116">
        <f>SUM(H18:J18)</f>
        <v>7358.12</v>
      </c>
      <c r="L18" s="120">
        <f>+G18-K18</f>
        <v>17641.88</v>
      </c>
      <c r="M18" s="218"/>
    </row>
    <row r="19" spans="2:13" s="41" customFormat="1" ht="27" customHeight="1" x14ac:dyDescent="0.25">
      <c r="B19" s="280" t="s">
        <v>126</v>
      </c>
      <c r="C19" s="281"/>
      <c r="D19" s="281"/>
      <c r="E19" s="281"/>
      <c r="F19" s="282"/>
      <c r="G19" s="39">
        <f>SUM(G18)</f>
        <v>25000</v>
      </c>
      <c r="H19" s="39">
        <f t="shared" ref="H19:L19" si="2">SUM(H18)</f>
        <v>717.5</v>
      </c>
      <c r="I19" s="39">
        <f t="shared" si="2"/>
        <v>760</v>
      </c>
      <c r="J19" s="39">
        <f t="shared" si="2"/>
        <v>5880.62</v>
      </c>
      <c r="K19" s="39">
        <f>SUM(K18)</f>
        <v>7358.12</v>
      </c>
      <c r="L19" s="39">
        <f t="shared" si="2"/>
        <v>17641.88</v>
      </c>
    </row>
    <row r="20" spans="2:13" s="41" customFormat="1" ht="27" customHeight="1" thickBot="1" x14ac:dyDescent="0.3">
      <c r="B20" s="52"/>
      <c r="C20" s="52"/>
      <c r="D20" s="52"/>
      <c r="E20" s="52"/>
      <c r="F20" s="52"/>
      <c r="G20" s="42"/>
      <c r="H20" s="42"/>
      <c r="I20" s="42"/>
      <c r="J20" s="42"/>
      <c r="K20" s="42"/>
      <c r="L20" s="42"/>
    </row>
    <row r="21" spans="2:13" s="41" customFormat="1" ht="21" customHeight="1" thickBot="1" x14ac:dyDescent="0.3">
      <c r="B21" s="277" t="s">
        <v>248</v>
      </c>
      <c r="C21" s="278"/>
      <c r="D21" s="278"/>
      <c r="E21" s="278"/>
      <c r="F21" s="278"/>
      <c r="G21" s="278"/>
      <c r="H21" s="278"/>
      <c r="I21" s="278"/>
      <c r="J21" s="278"/>
      <c r="K21" s="278"/>
      <c r="L21" s="279"/>
    </row>
    <row r="22" spans="2:13" s="92" customFormat="1" ht="30" customHeight="1" x14ac:dyDescent="0.25">
      <c r="B22" s="81">
        <f>+B18+1</f>
        <v>4</v>
      </c>
      <c r="C22" s="122" t="s">
        <v>56</v>
      </c>
      <c r="D22" s="132" t="s">
        <v>430</v>
      </c>
      <c r="E22" s="133" t="s">
        <v>182</v>
      </c>
      <c r="F22" s="117" t="s">
        <v>123</v>
      </c>
      <c r="G22" s="116">
        <v>63500</v>
      </c>
      <c r="H22" s="83">
        <v>1822.4499999999998</v>
      </c>
      <c r="I22" s="83">
        <v>1839.81</v>
      </c>
      <c r="J22" s="116">
        <v>14959.44</v>
      </c>
      <c r="K22" s="83">
        <f>SUM(H22:J22)</f>
        <v>18621.7</v>
      </c>
      <c r="L22" s="120">
        <f>+G22-K22</f>
        <v>44878.3</v>
      </c>
      <c r="M22" s="42"/>
    </row>
    <row r="23" spans="2:13" s="41" customFormat="1" ht="28.5" customHeight="1" x14ac:dyDescent="0.25">
      <c r="B23" s="280" t="s">
        <v>126</v>
      </c>
      <c r="C23" s="281"/>
      <c r="D23" s="281"/>
      <c r="E23" s="281"/>
      <c r="F23" s="282"/>
      <c r="G23" s="39">
        <f t="shared" ref="G23:L23" si="3">SUM(G22:G22)</f>
        <v>63500</v>
      </c>
      <c r="H23" s="39">
        <f t="shared" si="3"/>
        <v>1822.4499999999998</v>
      </c>
      <c r="I23" s="39">
        <f t="shared" si="3"/>
        <v>1839.81</v>
      </c>
      <c r="J23" s="39">
        <f t="shared" si="3"/>
        <v>14959.44</v>
      </c>
      <c r="K23" s="39">
        <f t="shared" si="3"/>
        <v>18621.7</v>
      </c>
      <c r="L23" s="39">
        <f t="shared" si="3"/>
        <v>44878.3</v>
      </c>
    </row>
    <row r="24" spans="2:13" s="41" customFormat="1" ht="28.5" customHeight="1" thickBot="1" x14ac:dyDescent="0.3">
      <c r="B24" s="52"/>
      <c r="C24" s="52"/>
      <c r="D24" s="52"/>
      <c r="E24" s="52"/>
      <c r="F24" s="52"/>
      <c r="G24" s="42"/>
      <c r="H24" s="42"/>
      <c r="I24" s="42"/>
      <c r="J24" s="42"/>
      <c r="K24" s="42"/>
      <c r="L24" s="42"/>
    </row>
    <row r="25" spans="2:13" s="41" customFormat="1" ht="28.5" customHeight="1" thickBot="1" x14ac:dyDescent="0.3">
      <c r="B25" s="277" t="s">
        <v>159</v>
      </c>
      <c r="C25" s="278"/>
      <c r="D25" s="278"/>
      <c r="E25" s="278"/>
      <c r="F25" s="278"/>
      <c r="G25" s="278"/>
      <c r="H25" s="278"/>
      <c r="I25" s="278"/>
      <c r="J25" s="278"/>
      <c r="K25" s="278"/>
      <c r="L25" s="279"/>
    </row>
    <row r="26" spans="2:13" s="41" customFormat="1" ht="28.5" customHeight="1" x14ac:dyDescent="0.25">
      <c r="B26" s="81">
        <f>+B22+1</f>
        <v>5</v>
      </c>
      <c r="C26" s="122" t="s">
        <v>48</v>
      </c>
      <c r="D26" s="132" t="s">
        <v>430</v>
      </c>
      <c r="E26" s="133" t="s">
        <v>469</v>
      </c>
      <c r="F26" s="117" t="s">
        <v>123</v>
      </c>
      <c r="G26" s="83">
        <v>33000</v>
      </c>
      <c r="H26" s="83">
        <v>947.09999999999991</v>
      </c>
      <c r="I26" s="83">
        <v>1003.1999999999998</v>
      </c>
      <c r="J26" s="116">
        <v>7762.4199999999983</v>
      </c>
      <c r="K26" s="83">
        <f>SUM(H26:J26)</f>
        <v>9712.7199999999975</v>
      </c>
      <c r="L26" s="120">
        <f>+G26-K26</f>
        <v>23287.280000000002</v>
      </c>
    </row>
    <row r="27" spans="2:13" s="41" customFormat="1" ht="28.5" customHeight="1" x14ac:dyDescent="0.25">
      <c r="B27" s="280" t="s">
        <v>126</v>
      </c>
      <c r="C27" s="281"/>
      <c r="D27" s="281"/>
      <c r="E27" s="281"/>
      <c r="F27" s="282"/>
      <c r="G27" s="39">
        <f t="shared" ref="G27:L27" si="4">SUM(G26:G26)</f>
        <v>33000</v>
      </c>
      <c r="H27" s="39">
        <f t="shared" si="4"/>
        <v>947.09999999999991</v>
      </c>
      <c r="I27" s="39">
        <f t="shared" si="4"/>
        <v>1003.1999999999998</v>
      </c>
      <c r="J27" s="39">
        <f t="shared" si="4"/>
        <v>7762.4199999999983</v>
      </c>
      <c r="K27" s="39">
        <f t="shared" si="4"/>
        <v>9712.7199999999975</v>
      </c>
      <c r="L27" s="39">
        <f t="shared" si="4"/>
        <v>23287.280000000002</v>
      </c>
    </row>
    <row r="28" spans="2:13" s="42" customFormat="1" ht="25.5" customHeight="1" thickBot="1" x14ac:dyDescent="0.3">
      <c r="B28" s="46"/>
      <c r="C28" s="44"/>
      <c r="D28" s="46"/>
      <c r="E28" s="45"/>
      <c r="F28" s="44"/>
      <c r="G28" s="41"/>
      <c r="H28" s="41"/>
      <c r="I28" s="41"/>
      <c r="J28" s="41"/>
      <c r="K28" s="41"/>
      <c r="L28" s="40"/>
    </row>
    <row r="29" spans="2:13" s="41" customFormat="1" ht="22.5" customHeight="1" thickBot="1" x14ac:dyDescent="0.3">
      <c r="B29" s="283" t="s">
        <v>186</v>
      </c>
      <c r="C29" s="284"/>
      <c r="D29" s="284"/>
      <c r="E29" s="284"/>
      <c r="F29" s="284"/>
      <c r="G29" s="284"/>
      <c r="H29" s="284"/>
      <c r="I29" s="284"/>
      <c r="J29" s="284"/>
      <c r="K29" s="284"/>
      <c r="L29" s="285"/>
    </row>
    <row r="30" spans="2:13" s="93" customFormat="1" ht="33.75" customHeight="1" x14ac:dyDescent="0.25">
      <c r="B30" s="81">
        <f>+B26+1</f>
        <v>6</v>
      </c>
      <c r="C30" s="122" t="s">
        <v>252</v>
      </c>
      <c r="D30" s="132" t="s">
        <v>430</v>
      </c>
      <c r="E30" s="118" t="s">
        <v>253</v>
      </c>
      <c r="F30" s="117" t="s">
        <v>123</v>
      </c>
      <c r="G30" s="116">
        <v>28500</v>
      </c>
      <c r="H30" s="116">
        <v>817.94999999999982</v>
      </c>
      <c r="I30" s="90">
        <v>866.40000000000009</v>
      </c>
      <c r="J30" s="83">
        <v>0</v>
      </c>
      <c r="K30" s="83">
        <f>SUM(H30:J30)</f>
        <v>1684.35</v>
      </c>
      <c r="L30" s="84">
        <f>+G30-K30</f>
        <v>26815.65</v>
      </c>
      <c r="M30" s="49"/>
    </row>
    <row r="31" spans="2:13" s="41" customFormat="1" ht="25.5" customHeight="1" x14ac:dyDescent="0.25">
      <c r="B31" s="280" t="s">
        <v>126</v>
      </c>
      <c r="C31" s="281"/>
      <c r="D31" s="281"/>
      <c r="E31" s="281"/>
      <c r="F31" s="282"/>
      <c r="G31" s="39">
        <f t="shared" ref="G31:L31" si="5">SUM(G30:G30)</f>
        <v>28500</v>
      </c>
      <c r="H31" s="39">
        <f t="shared" si="5"/>
        <v>817.94999999999982</v>
      </c>
      <c r="I31" s="39">
        <f t="shared" si="5"/>
        <v>866.40000000000009</v>
      </c>
      <c r="J31" s="39">
        <f t="shared" si="5"/>
        <v>0</v>
      </c>
      <c r="K31" s="39">
        <f t="shared" si="5"/>
        <v>1684.35</v>
      </c>
      <c r="L31" s="39">
        <f t="shared" si="5"/>
        <v>26815.65</v>
      </c>
    </row>
    <row r="32" spans="2:13" s="41" customFormat="1" ht="25.5" customHeight="1" thickBot="1" x14ac:dyDescent="0.3">
      <c r="B32" s="52"/>
      <c r="C32" s="52"/>
      <c r="D32" s="52"/>
      <c r="E32" s="52"/>
      <c r="F32" s="52"/>
      <c r="G32" s="42"/>
      <c r="H32" s="42"/>
      <c r="I32" s="42"/>
      <c r="J32" s="42"/>
      <c r="K32" s="42"/>
      <c r="L32" s="42"/>
    </row>
    <row r="33" spans="2:13" s="41" customFormat="1" ht="30" customHeight="1" thickBot="1" x14ac:dyDescent="0.3">
      <c r="B33" s="283" t="s">
        <v>160</v>
      </c>
      <c r="C33" s="284"/>
      <c r="D33" s="284"/>
      <c r="E33" s="284"/>
      <c r="F33" s="284"/>
      <c r="G33" s="284"/>
      <c r="H33" s="284"/>
      <c r="I33" s="284"/>
      <c r="J33" s="284"/>
      <c r="K33" s="284"/>
      <c r="L33" s="285"/>
    </row>
    <row r="34" spans="2:13" s="55" customFormat="1" ht="30" customHeight="1" x14ac:dyDescent="0.25">
      <c r="B34" s="81">
        <f>+B30+1</f>
        <v>7</v>
      </c>
      <c r="C34" s="122" t="s">
        <v>62</v>
      </c>
      <c r="D34" s="132" t="s">
        <v>430</v>
      </c>
      <c r="E34" s="118" t="s">
        <v>187</v>
      </c>
      <c r="F34" s="117" t="s">
        <v>123</v>
      </c>
      <c r="G34" s="116">
        <v>52000</v>
      </c>
      <c r="H34" s="83">
        <v>1492.4</v>
      </c>
      <c r="I34" s="83">
        <v>1490.21</v>
      </c>
      <c r="J34" s="116">
        <v>12254.35</v>
      </c>
      <c r="K34" s="116">
        <f>SUM(H34:J34)</f>
        <v>15236.960000000001</v>
      </c>
      <c r="L34" s="120">
        <f>+G34-K34</f>
        <v>36763.040000000001</v>
      </c>
      <c r="M34" s="41"/>
    </row>
    <row r="35" spans="2:13" s="41" customFormat="1" ht="30" customHeight="1" x14ac:dyDescent="0.25">
      <c r="B35" s="280" t="s">
        <v>126</v>
      </c>
      <c r="C35" s="281"/>
      <c r="D35" s="281"/>
      <c r="E35" s="281"/>
      <c r="F35" s="282"/>
      <c r="G35" s="39">
        <f t="shared" ref="G35:L35" si="6">SUM(G34:G34)</f>
        <v>52000</v>
      </c>
      <c r="H35" s="39">
        <f t="shared" si="6"/>
        <v>1492.4</v>
      </c>
      <c r="I35" s="39">
        <f t="shared" si="6"/>
        <v>1490.21</v>
      </c>
      <c r="J35" s="39">
        <f t="shared" si="6"/>
        <v>12254.35</v>
      </c>
      <c r="K35" s="39">
        <f t="shared" si="6"/>
        <v>15236.960000000001</v>
      </c>
      <c r="L35" s="39">
        <f t="shared" si="6"/>
        <v>36763.040000000001</v>
      </c>
    </row>
    <row r="36" spans="2:13" s="41" customFormat="1" ht="25.5" customHeight="1" thickBot="1" x14ac:dyDescent="0.3">
      <c r="B36" s="46"/>
      <c r="C36" s="44"/>
      <c r="D36" s="46"/>
      <c r="E36" s="45"/>
      <c r="F36" s="44"/>
      <c r="L36" s="40"/>
    </row>
    <row r="37" spans="2:13" ht="30" customHeight="1" thickBot="1" x14ac:dyDescent="0.3">
      <c r="B37" s="283" t="s">
        <v>161</v>
      </c>
      <c r="C37" s="284"/>
      <c r="D37" s="284"/>
      <c r="E37" s="284"/>
      <c r="F37" s="284"/>
      <c r="G37" s="284"/>
      <c r="H37" s="284"/>
      <c r="I37" s="284"/>
      <c r="J37" s="284"/>
      <c r="K37" s="284"/>
      <c r="L37" s="285"/>
    </row>
    <row r="38" spans="2:13" ht="46.5" customHeight="1" x14ac:dyDescent="0.25">
      <c r="B38" s="86">
        <f>+B34+1</f>
        <v>8</v>
      </c>
      <c r="C38" s="190" t="s">
        <v>551</v>
      </c>
      <c r="D38" s="191" t="s">
        <v>430</v>
      </c>
      <c r="E38" s="118" t="s">
        <v>552</v>
      </c>
      <c r="F38" s="190" t="s">
        <v>122</v>
      </c>
      <c r="G38" s="192">
        <v>45000</v>
      </c>
      <c r="H38" s="165">
        <v>1291.5</v>
      </c>
      <c r="I38" s="165">
        <v>1368</v>
      </c>
      <c r="J38" s="165">
        <v>10585.12</v>
      </c>
      <c r="K38" s="166">
        <f>SUM(H38:J38)</f>
        <v>13244.62</v>
      </c>
      <c r="L38" s="167">
        <f>+G38-K38</f>
        <v>31755.379999999997</v>
      </c>
    </row>
    <row r="39" spans="2:13" ht="30" customHeight="1" x14ac:dyDescent="0.25">
      <c r="B39" s="280" t="s">
        <v>126</v>
      </c>
      <c r="C39" s="281"/>
      <c r="D39" s="281"/>
      <c r="E39" s="281"/>
      <c r="F39" s="282"/>
      <c r="G39" s="39">
        <f t="shared" ref="G39:L39" si="7">SUM(G38:G38)</f>
        <v>45000</v>
      </c>
      <c r="H39" s="39">
        <f t="shared" si="7"/>
        <v>1291.5</v>
      </c>
      <c r="I39" s="39">
        <f t="shared" si="7"/>
        <v>1368</v>
      </c>
      <c r="J39" s="39">
        <f t="shared" si="7"/>
        <v>10585.12</v>
      </c>
      <c r="K39" s="39">
        <f>SUM(K38:K38)</f>
        <v>13244.62</v>
      </c>
      <c r="L39" s="39">
        <f t="shared" si="7"/>
        <v>31755.379999999997</v>
      </c>
    </row>
    <row r="40" spans="2:13" s="41" customFormat="1" ht="32.25" customHeight="1" thickBot="1" x14ac:dyDescent="0.3">
      <c r="B40" s="46"/>
      <c r="C40" s="44"/>
      <c r="D40" s="46"/>
      <c r="E40" s="45"/>
      <c r="F40" s="44"/>
      <c r="L40" s="40"/>
    </row>
    <row r="41" spans="2:13" s="41" customFormat="1" ht="32.25" customHeight="1" thickBot="1" x14ac:dyDescent="0.3">
      <c r="B41" s="283" t="s">
        <v>164</v>
      </c>
      <c r="C41" s="284"/>
      <c r="D41" s="284"/>
      <c r="E41" s="284"/>
      <c r="F41" s="284"/>
      <c r="G41" s="284"/>
      <c r="H41" s="284"/>
      <c r="I41" s="284"/>
      <c r="J41" s="284"/>
      <c r="K41" s="284"/>
      <c r="L41" s="285"/>
    </row>
    <row r="42" spans="2:13" s="93" customFormat="1" ht="30" customHeight="1" x14ac:dyDescent="0.25">
      <c r="B42" s="132">
        <f>+B38+1</f>
        <v>9</v>
      </c>
      <c r="C42" s="122" t="s">
        <v>573</v>
      </c>
      <c r="D42" s="132" t="s">
        <v>430</v>
      </c>
      <c r="E42" s="133" t="s">
        <v>188</v>
      </c>
      <c r="F42" s="117" t="s">
        <v>123</v>
      </c>
      <c r="G42" s="116">
        <v>50000</v>
      </c>
      <c r="H42" s="88">
        <v>1435</v>
      </c>
      <c r="I42" s="88">
        <v>1520</v>
      </c>
      <c r="J42" s="88">
        <v>11761.25</v>
      </c>
      <c r="K42" s="83">
        <f>SUM(H42:J42)</f>
        <v>14716.25</v>
      </c>
      <c r="L42" s="84">
        <f>+G42-K42</f>
        <v>35283.75</v>
      </c>
      <c r="M42" s="49"/>
    </row>
    <row r="43" spans="2:13" s="41" customFormat="1" ht="30" customHeight="1" x14ac:dyDescent="0.25">
      <c r="B43" s="280" t="s">
        <v>126</v>
      </c>
      <c r="C43" s="281"/>
      <c r="D43" s="281"/>
      <c r="E43" s="281"/>
      <c r="F43" s="282"/>
      <c r="G43" s="39">
        <f t="shared" ref="G43:L43" si="8">SUM(G42:G42)</f>
        <v>50000</v>
      </c>
      <c r="H43" s="39">
        <f t="shared" si="8"/>
        <v>1435</v>
      </c>
      <c r="I43" s="39">
        <f t="shared" si="8"/>
        <v>1520</v>
      </c>
      <c r="J43" s="39">
        <f t="shared" si="8"/>
        <v>11761.25</v>
      </c>
      <c r="K43" s="39">
        <f t="shared" si="8"/>
        <v>14716.25</v>
      </c>
      <c r="L43" s="39">
        <f t="shared" si="8"/>
        <v>35283.75</v>
      </c>
    </row>
    <row r="44" spans="2:13" ht="26.25" customHeight="1" thickBot="1" x14ac:dyDescent="0.25"/>
    <row r="45" spans="2:13" s="41" customFormat="1" ht="28.5" customHeight="1" thickBot="1" x14ac:dyDescent="0.3">
      <c r="B45" s="283" t="s">
        <v>166</v>
      </c>
      <c r="C45" s="284"/>
      <c r="D45" s="284"/>
      <c r="E45" s="284"/>
      <c r="F45" s="284"/>
      <c r="G45" s="284"/>
      <c r="H45" s="284"/>
      <c r="I45" s="284"/>
      <c r="J45" s="284"/>
      <c r="K45" s="284"/>
      <c r="L45" s="285"/>
    </row>
    <row r="46" spans="2:13" s="55" customFormat="1" ht="30" customHeight="1" x14ac:dyDescent="0.25">
      <c r="B46" s="132">
        <f>+B42+1</f>
        <v>10</v>
      </c>
      <c r="C46" s="122" t="s">
        <v>65</v>
      </c>
      <c r="D46" s="132" t="s">
        <v>430</v>
      </c>
      <c r="E46" s="193" t="s">
        <v>189</v>
      </c>
      <c r="F46" s="117" t="s">
        <v>123</v>
      </c>
      <c r="G46" s="116">
        <v>34750</v>
      </c>
      <c r="H46" s="83">
        <v>997.32499999999982</v>
      </c>
      <c r="I46" s="83">
        <v>965.81</v>
      </c>
      <c r="J46" s="83">
        <v>8196.7199999999993</v>
      </c>
      <c r="K46" s="83">
        <f>SUM(H46:J46)</f>
        <v>10159.855</v>
      </c>
      <c r="L46" s="84">
        <f>+G46-K46</f>
        <v>24590.145</v>
      </c>
      <c r="M46" s="41"/>
    </row>
    <row r="47" spans="2:13" s="41" customFormat="1" ht="30" customHeight="1" x14ac:dyDescent="0.25">
      <c r="B47" s="280" t="s">
        <v>126</v>
      </c>
      <c r="C47" s="281"/>
      <c r="D47" s="281"/>
      <c r="E47" s="281"/>
      <c r="F47" s="282"/>
      <c r="G47" s="39">
        <f t="shared" ref="G47:L47" si="9">SUM(G46:G46)</f>
        <v>34750</v>
      </c>
      <c r="H47" s="39">
        <f t="shared" si="9"/>
        <v>997.32499999999982</v>
      </c>
      <c r="I47" s="39">
        <f t="shared" si="9"/>
        <v>965.81</v>
      </c>
      <c r="J47" s="39">
        <f t="shared" si="9"/>
        <v>8196.7199999999993</v>
      </c>
      <c r="K47" s="39">
        <f t="shared" si="9"/>
        <v>10159.855</v>
      </c>
      <c r="L47" s="39">
        <f t="shared" si="9"/>
        <v>24590.145</v>
      </c>
    </row>
    <row r="48" spans="2:13" customFormat="1" ht="33.75" customHeight="1" thickBot="1" x14ac:dyDescent="0.25">
      <c r="D48" s="147"/>
      <c r="M48" s="218"/>
    </row>
    <row r="49" spans="2:13" customFormat="1" ht="33.75" customHeight="1" thickBot="1" x14ac:dyDescent="0.3">
      <c r="B49" s="283" t="s">
        <v>170</v>
      </c>
      <c r="C49" s="284"/>
      <c r="D49" s="284"/>
      <c r="E49" s="284"/>
      <c r="F49" s="284"/>
      <c r="G49" s="284"/>
      <c r="H49" s="284"/>
      <c r="I49" s="284"/>
      <c r="J49" s="284"/>
      <c r="K49" s="284"/>
      <c r="L49" s="285"/>
      <c r="M49" s="218"/>
    </row>
    <row r="50" spans="2:13" customFormat="1" ht="33.75" customHeight="1" x14ac:dyDescent="0.25">
      <c r="B50" s="38">
        <f>+B46+1</f>
        <v>11</v>
      </c>
      <c r="C50" s="117" t="s">
        <v>493</v>
      </c>
      <c r="D50" s="38" t="s">
        <v>429</v>
      </c>
      <c r="E50" s="118" t="s">
        <v>494</v>
      </c>
      <c r="F50" s="117" t="s">
        <v>200</v>
      </c>
      <c r="G50" s="119">
        <v>55000</v>
      </c>
      <c r="H50" s="88">
        <v>1578.5</v>
      </c>
      <c r="I50" s="88">
        <v>1672</v>
      </c>
      <c r="J50" s="88">
        <v>0</v>
      </c>
      <c r="K50" s="83">
        <f>SUM(H50:J50)</f>
        <v>3250.5</v>
      </c>
      <c r="L50" s="84">
        <f>+G50-K50</f>
        <v>51749.5</v>
      </c>
      <c r="M50" s="218"/>
    </row>
    <row r="51" spans="2:13" customFormat="1" ht="33.75" customHeight="1" x14ac:dyDescent="0.25">
      <c r="B51" s="280" t="s">
        <v>126</v>
      </c>
      <c r="C51" s="281"/>
      <c r="D51" s="281"/>
      <c r="E51" s="281"/>
      <c r="F51" s="282"/>
      <c r="G51" s="39">
        <f t="shared" ref="G51:L51" si="10">SUM(G50:G50)</f>
        <v>55000</v>
      </c>
      <c r="H51" s="39">
        <f t="shared" si="10"/>
        <v>1578.5</v>
      </c>
      <c r="I51" s="39">
        <f t="shared" si="10"/>
        <v>1672</v>
      </c>
      <c r="J51" s="39">
        <f t="shared" si="10"/>
        <v>0</v>
      </c>
      <c r="K51" s="39">
        <f t="shared" si="10"/>
        <v>3250.5</v>
      </c>
      <c r="L51" s="39">
        <f t="shared" si="10"/>
        <v>51749.5</v>
      </c>
      <c r="M51" s="218"/>
    </row>
    <row r="52" spans="2:13" customFormat="1" ht="33.75" customHeight="1" thickBot="1" x14ac:dyDescent="0.25">
      <c r="D52" s="147"/>
      <c r="M52" s="218"/>
    </row>
    <row r="53" spans="2:13" s="41" customFormat="1" ht="30" customHeight="1" thickBot="1" x14ac:dyDescent="0.3">
      <c r="B53" s="283" t="s">
        <v>171</v>
      </c>
      <c r="C53" s="284"/>
      <c r="D53" s="284"/>
      <c r="E53" s="284"/>
      <c r="F53" s="284"/>
      <c r="G53" s="284"/>
      <c r="H53" s="284"/>
      <c r="I53" s="284"/>
      <c r="J53" s="284"/>
      <c r="K53" s="284"/>
      <c r="L53" s="285"/>
    </row>
    <row r="54" spans="2:13" s="55" customFormat="1" ht="30" customHeight="1" x14ac:dyDescent="0.25">
      <c r="B54" s="38">
        <f>+B50+1</f>
        <v>12</v>
      </c>
      <c r="C54" s="117" t="s">
        <v>198</v>
      </c>
      <c r="D54" s="38" t="s">
        <v>429</v>
      </c>
      <c r="E54" s="118" t="s">
        <v>268</v>
      </c>
      <c r="F54" s="117" t="s">
        <v>123</v>
      </c>
      <c r="G54" s="119">
        <v>55000</v>
      </c>
      <c r="H54" s="88">
        <v>1578.5</v>
      </c>
      <c r="I54" s="88">
        <v>1672</v>
      </c>
      <c r="J54" s="88">
        <v>3715.42</v>
      </c>
      <c r="K54" s="83">
        <f>SUM(H54:J54)</f>
        <v>6965.92</v>
      </c>
      <c r="L54" s="84">
        <f>+G54-K54</f>
        <v>48034.080000000002</v>
      </c>
      <c r="M54" s="41"/>
    </row>
    <row r="55" spans="2:13" s="49" customFormat="1" ht="30" customHeight="1" x14ac:dyDescent="0.25">
      <c r="B55" s="280" t="s">
        <v>126</v>
      </c>
      <c r="C55" s="281"/>
      <c r="D55" s="281"/>
      <c r="E55" s="281"/>
      <c r="F55" s="282"/>
      <c r="G55" s="39">
        <f t="shared" ref="G55:L55" si="11">SUM(G54:G54)</f>
        <v>55000</v>
      </c>
      <c r="H55" s="39">
        <f t="shared" si="11"/>
        <v>1578.5</v>
      </c>
      <c r="I55" s="39">
        <f t="shared" si="11"/>
        <v>1672</v>
      </c>
      <c r="J55" s="39">
        <f t="shared" si="11"/>
        <v>3715.42</v>
      </c>
      <c r="K55" s="39">
        <f t="shared" si="11"/>
        <v>6965.92</v>
      </c>
      <c r="L55" s="39">
        <f t="shared" si="11"/>
        <v>48034.080000000002</v>
      </c>
    </row>
    <row r="56" spans="2:13" s="41" customFormat="1" ht="31.5" customHeight="1" thickBot="1" x14ac:dyDescent="0.3">
      <c r="B56" s="4"/>
      <c r="C56" s="25"/>
      <c r="D56" s="4"/>
      <c r="E56" s="25"/>
      <c r="F56" s="25"/>
      <c r="G56" s="2"/>
      <c r="H56" s="1"/>
      <c r="I56" s="1"/>
      <c r="J56" s="1"/>
      <c r="K56" s="1"/>
      <c r="L56" s="1"/>
    </row>
    <row r="57" spans="2:13" s="41" customFormat="1" ht="31.5" customHeight="1" thickBot="1" x14ac:dyDescent="0.3">
      <c r="B57" s="283" t="s">
        <v>553</v>
      </c>
      <c r="C57" s="284"/>
      <c r="D57" s="284"/>
      <c r="E57" s="284"/>
      <c r="F57" s="284"/>
      <c r="G57" s="284"/>
      <c r="H57" s="284"/>
      <c r="I57" s="284"/>
      <c r="J57" s="284"/>
      <c r="K57" s="284"/>
      <c r="L57" s="285"/>
    </row>
    <row r="58" spans="2:13" s="41" customFormat="1" ht="31.5" customHeight="1" x14ac:dyDescent="0.25">
      <c r="B58" s="38">
        <f>+B54+1</f>
        <v>13</v>
      </c>
      <c r="C58" s="117" t="s">
        <v>103</v>
      </c>
      <c r="D58" s="38" t="s">
        <v>430</v>
      </c>
      <c r="E58" s="118" t="s">
        <v>554</v>
      </c>
      <c r="F58" s="87" t="s">
        <v>200</v>
      </c>
      <c r="G58" s="119">
        <v>45000</v>
      </c>
      <c r="H58" s="88">
        <v>1291.5</v>
      </c>
      <c r="I58" s="88">
        <v>1368</v>
      </c>
      <c r="J58" s="88">
        <v>7837.47</v>
      </c>
      <c r="K58" s="83">
        <f>SUM(H58:J58)</f>
        <v>10496.970000000001</v>
      </c>
      <c r="L58" s="84">
        <f>+G58-K58</f>
        <v>34503.03</v>
      </c>
    </row>
    <row r="59" spans="2:13" s="41" customFormat="1" ht="31.5" customHeight="1" x14ac:dyDescent="0.25">
      <c r="B59" s="280" t="s">
        <v>126</v>
      </c>
      <c r="C59" s="281"/>
      <c r="D59" s="281"/>
      <c r="E59" s="281"/>
      <c r="F59" s="282"/>
      <c r="G59" s="39">
        <f t="shared" ref="G59:L59" si="12">SUM(G58:G58)</f>
        <v>45000</v>
      </c>
      <c r="H59" s="39">
        <f t="shared" si="12"/>
        <v>1291.5</v>
      </c>
      <c r="I59" s="39">
        <f t="shared" si="12"/>
        <v>1368</v>
      </c>
      <c r="J59" s="39">
        <f t="shared" si="12"/>
        <v>7837.47</v>
      </c>
      <c r="K59" s="39">
        <f t="shared" si="12"/>
        <v>10496.970000000001</v>
      </c>
      <c r="L59" s="39">
        <f t="shared" si="12"/>
        <v>34503.03</v>
      </c>
    </row>
    <row r="60" spans="2:13" s="41" customFormat="1" ht="31.5" customHeight="1" thickBot="1" x14ac:dyDescent="0.3">
      <c r="B60" s="4"/>
      <c r="C60" s="25"/>
      <c r="D60" s="4"/>
      <c r="E60" s="25"/>
      <c r="F60" s="25"/>
      <c r="G60" s="2"/>
      <c r="H60" s="1"/>
      <c r="I60" s="1"/>
      <c r="J60" s="1"/>
      <c r="K60" s="1"/>
      <c r="L60" s="1"/>
    </row>
    <row r="61" spans="2:13" s="55" customFormat="1" ht="28.5" customHeight="1" thickBot="1" x14ac:dyDescent="0.3">
      <c r="B61" s="283" t="s">
        <v>174</v>
      </c>
      <c r="C61" s="284"/>
      <c r="D61" s="284"/>
      <c r="E61" s="284"/>
      <c r="F61" s="284"/>
      <c r="G61" s="284"/>
      <c r="H61" s="284"/>
      <c r="I61" s="284"/>
      <c r="J61" s="284"/>
      <c r="K61" s="284"/>
      <c r="L61" s="285"/>
      <c r="M61" s="41"/>
    </row>
    <row r="62" spans="2:13" s="55" customFormat="1" ht="30" customHeight="1" x14ac:dyDescent="0.25">
      <c r="B62" s="81">
        <f>B58+1</f>
        <v>14</v>
      </c>
      <c r="C62" s="122" t="s">
        <v>276</v>
      </c>
      <c r="D62" s="132" t="s">
        <v>429</v>
      </c>
      <c r="E62" s="133" t="s">
        <v>277</v>
      </c>
      <c r="F62" s="117" t="s">
        <v>123</v>
      </c>
      <c r="G62" s="116">
        <v>28500</v>
      </c>
      <c r="H62" s="88">
        <v>817.94999999999982</v>
      </c>
      <c r="I62" s="88">
        <v>866.40000000000009</v>
      </c>
      <c r="J62" s="88">
        <v>0</v>
      </c>
      <c r="K62" s="83">
        <f>SUM(H62:J62)</f>
        <v>1684.35</v>
      </c>
      <c r="L62" s="84">
        <f>+G62-K62</f>
        <v>26815.65</v>
      </c>
      <c r="M62" s="41"/>
    </row>
    <row r="63" spans="2:13" ht="29.25" customHeight="1" x14ac:dyDescent="0.25">
      <c r="B63" s="280" t="s">
        <v>126</v>
      </c>
      <c r="C63" s="281"/>
      <c r="D63" s="281"/>
      <c r="E63" s="281"/>
      <c r="F63" s="282"/>
      <c r="G63" s="39">
        <f t="shared" ref="G63:L63" si="13">SUM(G62:G62)</f>
        <v>28500</v>
      </c>
      <c r="H63" s="39">
        <f t="shared" si="13"/>
        <v>817.94999999999982</v>
      </c>
      <c r="I63" s="39">
        <f t="shared" si="13"/>
        <v>866.40000000000009</v>
      </c>
      <c r="J63" s="39">
        <f t="shared" si="13"/>
        <v>0</v>
      </c>
      <c r="K63" s="39">
        <f t="shared" si="13"/>
        <v>1684.35</v>
      </c>
      <c r="L63" s="39">
        <f t="shared" si="13"/>
        <v>26815.65</v>
      </c>
    </row>
    <row r="64" spans="2:13" ht="29.25" customHeight="1" thickBot="1" x14ac:dyDescent="0.3">
      <c r="B64" s="52"/>
      <c r="C64" s="52"/>
      <c r="D64" s="52"/>
      <c r="E64" s="52"/>
      <c r="F64" s="52"/>
      <c r="G64" s="42"/>
      <c r="H64" s="42"/>
      <c r="I64" s="42"/>
      <c r="J64" s="42"/>
      <c r="K64" s="42"/>
      <c r="L64" s="42"/>
    </row>
    <row r="65" spans="2:13" s="55" customFormat="1" ht="30" customHeight="1" thickBot="1" x14ac:dyDescent="0.3">
      <c r="B65" s="277" t="s">
        <v>175</v>
      </c>
      <c r="C65" s="278"/>
      <c r="D65" s="278"/>
      <c r="E65" s="278"/>
      <c r="F65" s="278"/>
      <c r="G65" s="278"/>
      <c r="H65" s="278"/>
      <c r="I65" s="278"/>
      <c r="J65" s="278"/>
      <c r="K65" s="278"/>
      <c r="L65" s="279"/>
      <c r="M65" s="41"/>
    </row>
    <row r="66" spans="2:13" s="49" customFormat="1" ht="37.5" customHeight="1" x14ac:dyDescent="0.25">
      <c r="B66" s="86">
        <f>+B62+1</f>
        <v>15</v>
      </c>
      <c r="C66" s="117" t="s">
        <v>72</v>
      </c>
      <c r="D66" s="38" t="s">
        <v>430</v>
      </c>
      <c r="E66" s="118" t="s">
        <v>204</v>
      </c>
      <c r="F66" s="117" t="s">
        <v>123</v>
      </c>
      <c r="G66" s="119">
        <v>41500</v>
      </c>
      <c r="H66" s="88">
        <v>1191.0500000000002</v>
      </c>
      <c r="I66" s="88">
        <v>1171.01</v>
      </c>
      <c r="J66" s="88">
        <v>9784.49</v>
      </c>
      <c r="K66" s="83">
        <f>SUM(H66:J66)</f>
        <v>12146.55</v>
      </c>
      <c r="L66" s="90">
        <f>+G66-K66</f>
        <v>29353.45</v>
      </c>
    </row>
    <row r="67" spans="2:13" customFormat="1" ht="27" customHeight="1" x14ac:dyDescent="0.25">
      <c r="B67" s="280" t="s">
        <v>126</v>
      </c>
      <c r="C67" s="281"/>
      <c r="D67" s="281"/>
      <c r="E67" s="281"/>
      <c r="F67" s="282"/>
      <c r="G67" s="39">
        <f>SUM(G66)</f>
        <v>41500</v>
      </c>
      <c r="H67" s="39">
        <f t="shared" ref="H67:L67" si="14">SUM(H65:H66)</f>
        <v>1191.0500000000002</v>
      </c>
      <c r="I67" s="39">
        <f t="shared" si="14"/>
        <v>1171.01</v>
      </c>
      <c r="J67" s="39">
        <f t="shared" si="14"/>
        <v>9784.49</v>
      </c>
      <c r="K67" s="39">
        <f t="shared" si="14"/>
        <v>12146.55</v>
      </c>
      <c r="L67" s="39">
        <f t="shared" si="14"/>
        <v>29353.45</v>
      </c>
      <c r="M67" s="218"/>
    </row>
    <row r="68" spans="2:13" customFormat="1" ht="27" customHeight="1" thickBot="1" x14ac:dyDescent="0.3">
      <c r="B68" s="52"/>
      <c r="C68" s="52"/>
      <c r="D68" s="52"/>
      <c r="E68" s="52"/>
      <c r="F68" s="52"/>
      <c r="G68" s="92"/>
      <c r="H68" s="92"/>
      <c r="I68" s="92"/>
      <c r="J68" s="92"/>
      <c r="K68" s="92"/>
      <c r="L68" s="92"/>
      <c r="M68" s="218"/>
    </row>
    <row r="69" spans="2:13" s="55" customFormat="1" ht="27" customHeight="1" thickBot="1" x14ac:dyDescent="0.3">
      <c r="B69" s="277" t="s">
        <v>92</v>
      </c>
      <c r="C69" s="278"/>
      <c r="D69" s="278"/>
      <c r="E69" s="278"/>
      <c r="F69" s="278"/>
      <c r="G69" s="278"/>
      <c r="H69" s="278"/>
      <c r="I69" s="278"/>
      <c r="J69" s="278"/>
      <c r="K69" s="278"/>
      <c r="L69" s="279"/>
      <c r="M69" s="41"/>
    </row>
    <row r="70" spans="2:13" s="55" customFormat="1" ht="30" customHeight="1" x14ac:dyDescent="0.25">
      <c r="B70" s="81">
        <f>+B66+1</f>
        <v>16</v>
      </c>
      <c r="C70" s="122" t="s">
        <v>285</v>
      </c>
      <c r="D70" s="132" t="s">
        <v>430</v>
      </c>
      <c r="E70" s="133" t="s">
        <v>286</v>
      </c>
      <c r="F70" s="117" t="s">
        <v>123</v>
      </c>
      <c r="G70" s="116">
        <v>29500</v>
      </c>
      <c r="H70" s="88">
        <v>846.64999999999964</v>
      </c>
      <c r="I70" s="83">
        <v>502.21</v>
      </c>
      <c r="J70" s="88">
        <v>7037.79</v>
      </c>
      <c r="K70" s="83">
        <f>SUM(H70:J70)</f>
        <v>8386.65</v>
      </c>
      <c r="L70" s="90">
        <f>+G70-K70</f>
        <v>21113.35</v>
      </c>
      <c r="M70" s="41"/>
    </row>
    <row r="71" spans="2:13" s="55" customFormat="1" ht="47.25" x14ac:dyDescent="0.25">
      <c r="B71" s="38">
        <f>+B70+1</f>
        <v>17</v>
      </c>
      <c r="C71" s="117" t="s">
        <v>14</v>
      </c>
      <c r="D71" s="38" t="s">
        <v>430</v>
      </c>
      <c r="E71" s="118" t="s">
        <v>532</v>
      </c>
      <c r="F71" s="117" t="s">
        <v>200</v>
      </c>
      <c r="G71" s="119">
        <v>5000</v>
      </c>
      <c r="H71" s="88">
        <v>143.5</v>
      </c>
      <c r="I71" s="88">
        <v>152</v>
      </c>
      <c r="J71" s="88">
        <v>1176.130000000001</v>
      </c>
      <c r="K71" s="83">
        <f>SUM(H71:J71)</f>
        <v>1471.630000000001</v>
      </c>
      <c r="L71" s="84">
        <f>+G71-K71</f>
        <v>3528.369999999999</v>
      </c>
      <c r="M71" s="41"/>
    </row>
    <row r="72" spans="2:13" s="41" customFormat="1" ht="25.5" customHeight="1" x14ac:dyDescent="0.25">
      <c r="B72" s="280" t="s">
        <v>126</v>
      </c>
      <c r="C72" s="281"/>
      <c r="D72" s="281"/>
      <c r="E72" s="281"/>
      <c r="F72" s="282"/>
      <c r="G72" s="39">
        <f>SUM(G70:G71)</f>
        <v>34500</v>
      </c>
      <c r="H72" s="39">
        <f t="shared" ref="H72:L72" si="15">SUM(H70:H71)</f>
        <v>990.14999999999964</v>
      </c>
      <c r="I72" s="39">
        <f t="shared" si="15"/>
        <v>654.21</v>
      </c>
      <c r="J72" s="39">
        <f t="shared" si="15"/>
        <v>8213.9200000000019</v>
      </c>
      <c r="K72" s="39">
        <f t="shared" si="15"/>
        <v>9858.2800000000007</v>
      </c>
      <c r="L72" s="39">
        <f t="shared" si="15"/>
        <v>24641.719999999998</v>
      </c>
    </row>
    <row r="73" spans="2:13" s="41" customFormat="1" ht="25.5" customHeight="1" thickBot="1" x14ac:dyDescent="0.3">
      <c r="B73" s="52"/>
      <c r="C73" s="52"/>
      <c r="D73" s="52"/>
      <c r="E73" s="52"/>
      <c r="F73" s="52"/>
      <c r="G73" s="42"/>
      <c r="H73" s="42"/>
      <c r="I73" s="42"/>
      <c r="J73" s="42"/>
      <c r="K73" s="42"/>
      <c r="L73" s="42"/>
    </row>
    <row r="74" spans="2:13" s="41" customFormat="1" ht="25.5" customHeight="1" thickBot="1" x14ac:dyDescent="0.3">
      <c r="B74" s="283" t="s">
        <v>555</v>
      </c>
      <c r="C74" s="284"/>
      <c r="D74" s="284"/>
      <c r="E74" s="284"/>
      <c r="F74" s="284"/>
      <c r="G74" s="284"/>
      <c r="H74" s="284"/>
      <c r="I74" s="284"/>
      <c r="J74" s="284"/>
      <c r="K74" s="284"/>
      <c r="L74" s="285"/>
    </row>
    <row r="75" spans="2:13" s="41" customFormat="1" ht="30" customHeight="1" x14ac:dyDescent="0.25">
      <c r="B75" s="38">
        <f>B71+1</f>
        <v>18</v>
      </c>
      <c r="C75" s="117" t="s">
        <v>556</v>
      </c>
      <c r="D75" s="38" t="s">
        <v>430</v>
      </c>
      <c r="E75" s="118" t="s">
        <v>557</v>
      </c>
      <c r="F75" s="117" t="s">
        <v>200</v>
      </c>
      <c r="G75" s="88">
        <v>85000</v>
      </c>
      <c r="H75" s="88">
        <v>2439.5</v>
      </c>
      <c r="I75" s="88">
        <v>2584</v>
      </c>
      <c r="J75" s="206">
        <v>19994.13</v>
      </c>
      <c r="K75" s="83">
        <f>SUM(H75:J75)</f>
        <v>25017.63</v>
      </c>
      <c r="L75" s="84">
        <f>+G75-K75</f>
        <v>59982.369999999995</v>
      </c>
    </row>
    <row r="76" spans="2:13" s="41" customFormat="1" ht="30" customHeight="1" x14ac:dyDescent="0.25">
      <c r="B76" s="38">
        <f>+B75+1</f>
        <v>19</v>
      </c>
      <c r="C76" s="117" t="s">
        <v>598</v>
      </c>
      <c r="D76" s="38" t="s">
        <v>430</v>
      </c>
      <c r="E76" s="118" t="s">
        <v>599</v>
      </c>
      <c r="F76" s="117" t="s">
        <v>200</v>
      </c>
      <c r="G76" s="88">
        <v>20000</v>
      </c>
      <c r="H76" s="88">
        <v>574</v>
      </c>
      <c r="I76" s="88">
        <v>608</v>
      </c>
      <c r="J76" s="206">
        <v>0</v>
      </c>
      <c r="K76" s="83">
        <f>SUM(H76:J76)</f>
        <v>1182</v>
      </c>
      <c r="L76" s="84">
        <f>+G76-K76</f>
        <v>18818</v>
      </c>
    </row>
    <row r="77" spans="2:13" s="41" customFormat="1" ht="25.5" customHeight="1" x14ac:dyDescent="0.25">
      <c r="B77" s="280" t="s">
        <v>126</v>
      </c>
      <c r="C77" s="281"/>
      <c r="D77" s="281"/>
      <c r="E77" s="281"/>
      <c r="F77" s="282"/>
      <c r="G77" s="39">
        <f>SUM(G75:G76)</f>
        <v>105000</v>
      </c>
      <c r="H77" s="39">
        <f t="shared" ref="H77:L77" si="16">SUM(H75:H76)</f>
        <v>3013.5</v>
      </c>
      <c r="I77" s="39">
        <f t="shared" si="16"/>
        <v>3192</v>
      </c>
      <c r="J77" s="39">
        <f t="shared" si="16"/>
        <v>19994.13</v>
      </c>
      <c r="K77" s="39">
        <f t="shared" si="16"/>
        <v>26199.63</v>
      </c>
      <c r="L77" s="39">
        <f t="shared" si="16"/>
        <v>78800.37</v>
      </c>
    </row>
    <row r="78" spans="2:13" s="41" customFormat="1" ht="25.5" customHeight="1" thickBot="1" x14ac:dyDescent="0.3">
      <c r="B78" s="52"/>
      <c r="C78" s="52"/>
      <c r="D78" s="52"/>
      <c r="E78" s="52"/>
      <c r="F78" s="52"/>
      <c r="G78" s="42"/>
      <c r="H78" s="42"/>
      <c r="I78" s="42"/>
      <c r="J78" s="42"/>
      <c r="K78" s="42"/>
      <c r="L78" s="42"/>
    </row>
    <row r="79" spans="2:13" s="41" customFormat="1" ht="25.5" customHeight="1" thickBot="1" x14ac:dyDescent="0.3">
      <c r="B79" s="283" t="s">
        <v>93</v>
      </c>
      <c r="C79" s="284"/>
      <c r="D79" s="284"/>
      <c r="E79" s="284"/>
      <c r="F79" s="284"/>
      <c r="G79" s="284"/>
      <c r="H79" s="284"/>
      <c r="I79" s="284"/>
      <c r="J79" s="284"/>
      <c r="K79" s="284"/>
      <c r="L79" s="285"/>
    </row>
    <row r="80" spans="2:13" s="41" customFormat="1" ht="31.5" customHeight="1" x14ac:dyDescent="0.25">
      <c r="B80" s="38">
        <f>+B76+1</f>
        <v>20</v>
      </c>
      <c r="C80" s="117" t="s">
        <v>497</v>
      </c>
      <c r="D80" s="38" t="s">
        <v>430</v>
      </c>
      <c r="E80" s="118" t="s">
        <v>498</v>
      </c>
      <c r="F80" s="117" t="s">
        <v>200</v>
      </c>
      <c r="G80" s="119">
        <v>90000</v>
      </c>
      <c r="H80" s="88">
        <v>2583</v>
      </c>
      <c r="I80" s="88">
        <v>2736</v>
      </c>
      <c r="J80" s="171">
        <v>21170.25</v>
      </c>
      <c r="K80" s="83">
        <f>SUM(H80:J80)</f>
        <v>26489.25</v>
      </c>
      <c r="L80" s="84">
        <f>+G80-K80</f>
        <v>63510.75</v>
      </c>
    </row>
    <row r="81" spans="2:13" s="41" customFormat="1" ht="30" customHeight="1" x14ac:dyDescent="0.25">
      <c r="B81" s="38">
        <f>+B80+1</f>
        <v>21</v>
      </c>
      <c r="C81" s="117" t="s">
        <v>139</v>
      </c>
      <c r="D81" s="38" t="s">
        <v>430</v>
      </c>
      <c r="E81" s="118" t="s">
        <v>600</v>
      </c>
      <c r="F81" s="117" t="s">
        <v>122</v>
      </c>
      <c r="G81" s="119">
        <v>25000</v>
      </c>
      <c r="H81" s="119">
        <v>717.5</v>
      </c>
      <c r="I81" s="119">
        <v>760</v>
      </c>
      <c r="J81" s="119">
        <v>0</v>
      </c>
      <c r="K81" s="116">
        <f>SUM(H81:J81)</f>
        <v>1477.5</v>
      </c>
      <c r="L81" s="120">
        <f>+G81-K81</f>
        <v>23522.5</v>
      </c>
      <c r="M81" s="40"/>
    </row>
    <row r="82" spans="2:13" s="41" customFormat="1" ht="25.5" customHeight="1" x14ac:dyDescent="0.25">
      <c r="B82" s="280" t="s">
        <v>126</v>
      </c>
      <c r="C82" s="281"/>
      <c r="D82" s="281"/>
      <c r="E82" s="281"/>
      <c r="F82" s="282"/>
      <c r="G82" s="39">
        <f>SUM(G80:G81)</f>
        <v>115000</v>
      </c>
      <c r="H82" s="39">
        <f t="shared" ref="H82:L82" si="17">SUM(H80:H81)</f>
        <v>3300.5</v>
      </c>
      <c r="I82" s="39">
        <f t="shared" si="17"/>
        <v>3496</v>
      </c>
      <c r="J82" s="39">
        <f t="shared" si="17"/>
        <v>21170.25</v>
      </c>
      <c r="K82" s="39">
        <f t="shared" si="17"/>
        <v>27966.75</v>
      </c>
      <c r="L82" s="39">
        <f t="shared" si="17"/>
        <v>87033.25</v>
      </c>
    </row>
    <row r="83" spans="2:13" s="41" customFormat="1" ht="25.5" customHeight="1" thickBot="1" x14ac:dyDescent="0.3">
      <c r="B83" s="52"/>
      <c r="C83" s="52"/>
      <c r="D83" s="52"/>
      <c r="E83" s="52"/>
      <c r="F83" s="52"/>
      <c r="G83" s="42"/>
      <c r="H83" s="42"/>
      <c r="I83" s="42"/>
      <c r="J83" s="42"/>
      <c r="K83" s="42"/>
      <c r="L83" s="42"/>
    </row>
    <row r="84" spans="2:13" s="41" customFormat="1" ht="25.5" customHeight="1" thickBot="1" x14ac:dyDescent="0.3">
      <c r="B84" s="277" t="s">
        <v>509</v>
      </c>
      <c r="C84" s="278"/>
      <c r="D84" s="278"/>
      <c r="E84" s="278"/>
      <c r="F84" s="278"/>
      <c r="G84" s="278"/>
      <c r="H84" s="278"/>
      <c r="I84" s="278"/>
      <c r="J84" s="278"/>
      <c r="K84" s="278"/>
      <c r="L84" s="279"/>
    </row>
    <row r="85" spans="2:13" s="41" customFormat="1" ht="25.5" customHeight="1" x14ac:dyDescent="0.25">
      <c r="B85" s="86">
        <f>+B81+1</f>
        <v>22</v>
      </c>
      <c r="C85" s="117" t="s">
        <v>508</v>
      </c>
      <c r="D85" s="38" t="s">
        <v>430</v>
      </c>
      <c r="E85" s="117" t="s">
        <v>109</v>
      </c>
      <c r="F85" s="117" t="s">
        <v>200</v>
      </c>
      <c r="G85" s="119">
        <v>25000</v>
      </c>
      <c r="H85" s="88">
        <v>717.5</v>
      </c>
      <c r="I85" s="88">
        <v>760</v>
      </c>
      <c r="J85" s="88">
        <v>0</v>
      </c>
      <c r="K85" s="83">
        <f>SUM(H85:J85)</f>
        <v>1477.5</v>
      </c>
      <c r="L85" s="83">
        <f>+G85-K85</f>
        <v>23522.5</v>
      </c>
    </row>
    <row r="86" spans="2:13" s="41" customFormat="1" ht="25.5" customHeight="1" x14ac:dyDescent="0.25">
      <c r="B86" s="280" t="s">
        <v>126</v>
      </c>
      <c r="C86" s="281"/>
      <c r="D86" s="281"/>
      <c r="E86" s="281"/>
      <c r="F86" s="282"/>
      <c r="G86" s="39">
        <f t="shared" ref="G86:L86" si="18">SUM(G85:G85)</f>
        <v>25000</v>
      </c>
      <c r="H86" s="39">
        <f t="shared" si="18"/>
        <v>717.5</v>
      </c>
      <c r="I86" s="39">
        <f t="shared" si="18"/>
        <v>760</v>
      </c>
      <c r="J86" s="39">
        <f t="shared" si="18"/>
        <v>0</v>
      </c>
      <c r="K86" s="39">
        <f>SUM(K85:K85)</f>
        <v>1477.5</v>
      </c>
      <c r="L86" s="39">
        <f t="shared" si="18"/>
        <v>23522.5</v>
      </c>
    </row>
    <row r="87" spans="2:13" s="41" customFormat="1" ht="27" customHeight="1" thickBot="1" x14ac:dyDescent="0.3">
      <c r="B87" s="52"/>
      <c r="C87" s="52"/>
      <c r="D87" s="52"/>
      <c r="E87" s="52"/>
      <c r="F87" s="52"/>
      <c r="G87"/>
      <c r="H87"/>
      <c r="I87"/>
      <c r="J87"/>
      <c r="K87"/>
      <c r="L87"/>
    </row>
    <row r="88" spans="2:13" s="55" customFormat="1" ht="30" customHeight="1" thickBot="1" x14ac:dyDescent="0.3">
      <c r="B88" s="286" t="s">
        <v>300</v>
      </c>
      <c r="C88" s="287"/>
      <c r="D88" s="287"/>
      <c r="E88" s="287"/>
      <c r="F88" s="287"/>
      <c r="G88" s="287"/>
      <c r="H88" s="287"/>
      <c r="I88" s="287"/>
      <c r="J88" s="287"/>
      <c r="K88" s="287"/>
      <c r="L88" s="288"/>
      <c r="M88" s="41"/>
    </row>
    <row r="89" spans="2:13" s="93" customFormat="1" ht="30" customHeight="1" x14ac:dyDescent="0.25">
      <c r="B89" s="86">
        <f>+B85+1</f>
        <v>23</v>
      </c>
      <c r="C89" s="117" t="s">
        <v>595</v>
      </c>
      <c r="D89" s="38" t="s">
        <v>429</v>
      </c>
      <c r="E89" s="136" t="s">
        <v>437</v>
      </c>
      <c r="F89" s="117" t="s">
        <v>200</v>
      </c>
      <c r="G89" s="119">
        <v>35000</v>
      </c>
      <c r="H89" s="88">
        <v>1004.5</v>
      </c>
      <c r="I89" s="88">
        <v>1064</v>
      </c>
      <c r="J89" s="83">
        <v>8232.8799999999992</v>
      </c>
      <c r="K89" s="83">
        <f>SUM(H89:J89)</f>
        <v>10301.379999999999</v>
      </c>
      <c r="L89" s="84">
        <f>+G89-K89</f>
        <v>24698.620000000003</v>
      </c>
      <c r="M89" s="49"/>
    </row>
    <row r="90" spans="2:13" s="41" customFormat="1" ht="30" customHeight="1" x14ac:dyDescent="0.25">
      <c r="B90" s="280" t="s">
        <v>126</v>
      </c>
      <c r="C90" s="281"/>
      <c r="D90" s="281"/>
      <c r="E90" s="281"/>
      <c r="F90" s="282"/>
      <c r="G90" s="39">
        <f t="shared" ref="G90:J90" si="19">SUM(G89:G89)</f>
        <v>35000</v>
      </c>
      <c r="H90" s="39">
        <f t="shared" si="19"/>
        <v>1004.5</v>
      </c>
      <c r="I90" s="39">
        <f t="shared" si="19"/>
        <v>1064</v>
      </c>
      <c r="J90" s="39">
        <f t="shared" si="19"/>
        <v>8232.8799999999992</v>
      </c>
      <c r="K90" s="39">
        <f>SUM(K89:K89)</f>
        <v>10301.379999999999</v>
      </c>
      <c r="L90" s="39">
        <f t="shared" ref="L90" si="20">SUM(L89:L89)</f>
        <v>24698.620000000003</v>
      </c>
    </row>
    <row r="91" spans="2:13" s="41" customFormat="1" ht="30" customHeight="1" thickBot="1" x14ac:dyDescent="0.3">
      <c r="B91" s="52"/>
      <c r="C91" s="52"/>
      <c r="D91" s="52"/>
      <c r="E91" s="52"/>
      <c r="F91" s="52"/>
      <c r="G91"/>
      <c r="H91"/>
      <c r="I91"/>
      <c r="J91"/>
      <c r="K91"/>
      <c r="L91"/>
    </row>
    <row r="92" spans="2:13" s="55" customFormat="1" ht="30" customHeight="1" thickBot="1" x14ac:dyDescent="0.3">
      <c r="B92" s="286" t="s">
        <v>460</v>
      </c>
      <c r="C92" s="287"/>
      <c r="D92" s="287"/>
      <c r="E92" s="287"/>
      <c r="F92" s="287"/>
      <c r="G92" s="287"/>
      <c r="H92" s="287"/>
      <c r="I92" s="287"/>
      <c r="J92" s="287"/>
      <c r="K92" s="287"/>
      <c r="L92" s="288"/>
      <c r="M92" s="41"/>
    </row>
    <row r="93" spans="2:13" s="93" customFormat="1" ht="30" customHeight="1" x14ac:dyDescent="0.25">
      <c r="B93" s="86">
        <f>+B89+1</f>
        <v>24</v>
      </c>
      <c r="C93" s="117" t="s">
        <v>13</v>
      </c>
      <c r="D93" s="38" t="s">
        <v>429</v>
      </c>
      <c r="E93" s="136" t="s">
        <v>437</v>
      </c>
      <c r="F93" s="117" t="s">
        <v>200</v>
      </c>
      <c r="G93" s="119">
        <v>50000</v>
      </c>
      <c r="H93" s="88">
        <v>1435</v>
      </c>
      <c r="I93" s="88">
        <v>1520</v>
      </c>
      <c r="J93" s="83">
        <v>11761.250000000002</v>
      </c>
      <c r="K93" s="83">
        <f>SUM(H93:J93)</f>
        <v>14716.250000000002</v>
      </c>
      <c r="L93" s="84">
        <f>+G93-K93</f>
        <v>35283.75</v>
      </c>
      <c r="M93" s="49"/>
    </row>
    <row r="94" spans="2:13" s="41" customFormat="1" ht="30" customHeight="1" x14ac:dyDescent="0.25">
      <c r="B94" s="280" t="s">
        <v>126</v>
      </c>
      <c r="C94" s="281"/>
      <c r="D94" s="281"/>
      <c r="E94" s="281"/>
      <c r="F94" s="282"/>
      <c r="G94" s="39">
        <f t="shared" ref="G94:L94" si="21">SUM(G93:G93)</f>
        <v>50000</v>
      </c>
      <c r="H94" s="39">
        <f t="shared" si="21"/>
        <v>1435</v>
      </c>
      <c r="I94" s="39">
        <f t="shared" si="21"/>
        <v>1520</v>
      </c>
      <c r="J94" s="39">
        <f t="shared" si="21"/>
        <v>11761.250000000002</v>
      </c>
      <c r="K94" s="39">
        <f>SUM(K93:K93)</f>
        <v>14716.250000000002</v>
      </c>
      <c r="L94" s="39">
        <f t="shared" si="21"/>
        <v>35283.75</v>
      </c>
    </row>
    <row r="95" spans="2:13" s="41" customFormat="1" ht="30" customHeight="1" thickBot="1" x14ac:dyDescent="0.3">
      <c r="B95" s="52"/>
      <c r="C95" s="52"/>
      <c r="D95" s="52"/>
      <c r="E95" s="52"/>
      <c r="F95" s="52"/>
      <c r="G95"/>
      <c r="H95"/>
      <c r="I95"/>
      <c r="J95"/>
      <c r="K95"/>
      <c r="L95"/>
    </row>
    <row r="96" spans="2:13" s="55" customFormat="1" ht="30" customHeight="1" thickBot="1" x14ac:dyDescent="0.3">
      <c r="B96" s="277" t="s">
        <v>307</v>
      </c>
      <c r="C96" s="278"/>
      <c r="D96" s="278"/>
      <c r="E96" s="278"/>
      <c r="F96" s="278"/>
      <c r="G96" s="278"/>
      <c r="H96" s="278"/>
      <c r="I96" s="278"/>
      <c r="J96" s="278"/>
      <c r="K96" s="278"/>
      <c r="L96" s="279"/>
      <c r="M96" s="41"/>
    </row>
    <row r="97" spans="2:13" s="96" customFormat="1" ht="30" customHeight="1" x14ac:dyDescent="0.25">
      <c r="B97" s="86">
        <f>+B93+1</f>
        <v>25</v>
      </c>
      <c r="C97" s="117" t="s">
        <v>308</v>
      </c>
      <c r="D97" s="38" t="s">
        <v>429</v>
      </c>
      <c r="E97" s="117" t="s">
        <v>433</v>
      </c>
      <c r="F97" s="117" t="s">
        <v>200</v>
      </c>
      <c r="G97" s="119">
        <v>20000</v>
      </c>
      <c r="H97" s="88">
        <v>574</v>
      </c>
      <c r="I97" s="88">
        <v>608</v>
      </c>
      <c r="J97" s="88">
        <v>0</v>
      </c>
      <c r="K97" s="83">
        <f>SUM(H97:J97)</f>
        <v>1182</v>
      </c>
      <c r="L97" s="83">
        <f>+G97-K97</f>
        <v>18818</v>
      </c>
      <c r="M97" s="219"/>
    </row>
    <row r="98" spans="2:13" s="41" customFormat="1" ht="23.25" customHeight="1" x14ac:dyDescent="0.25">
      <c r="B98" s="280" t="s">
        <v>126</v>
      </c>
      <c r="C98" s="281"/>
      <c r="D98" s="281"/>
      <c r="E98" s="281"/>
      <c r="F98" s="282"/>
      <c r="G98" s="39">
        <f t="shared" ref="G98:L98" si="22">SUM(G97:G97)</f>
        <v>20000</v>
      </c>
      <c r="H98" s="39">
        <f t="shared" si="22"/>
        <v>574</v>
      </c>
      <c r="I98" s="39">
        <f t="shared" si="22"/>
        <v>608</v>
      </c>
      <c r="J98" s="39">
        <f t="shared" si="22"/>
        <v>0</v>
      </c>
      <c r="K98" s="39">
        <f t="shared" si="22"/>
        <v>1182</v>
      </c>
      <c r="L98" s="39">
        <f t="shared" si="22"/>
        <v>18818</v>
      </c>
    </row>
    <row r="99" spans="2:13" s="41" customFormat="1" ht="23.25" customHeight="1" thickBot="1" x14ac:dyDescent="0.3">
      <c r="B99" s="52"/>
      <c r="C99" s="52"/>
      <c r="D99" s="52"/>
      <c r="E99" s="52"/>
      <c r="F99" s="52"/>
      <c r="G99" s="42"/>
      <c r="H99" s="42"/>
      <c r="I99" s="42"/>
      <c r="J99" s="42"/>
      <c r="K99" s="42"/>
      <c r="L99" s="42"/>
    </row>
    <row r="100" spans="2:13" s="41" customFormat="1" ht="23.25" customHeight="1" thickBot="1" x14ac:dyDescent="0.3">
      <c r="B100" s="286" t="s">
        <v>178</v>
      </c>
      <c r="C100" s="287"/>
      <c r="D100" s="287"/>
      <c r="E100" s="287"/>
      <c r="F100" s="287"/>
      <c r="G100" s="287"/>
      <c r="H100" s="287"/>
      <c r="I100" s="287"/>
      <c r="J100" s="287"/>
      <c r="K100" s="287"/>
      <c r="L100" s="288"/>
    </row>
    <row r="101" spans="2:13" s="41" customFormat="1" ht="30.75" customHeight="1" x14ac:dyDescent="0.25">
      <c r="B101" s="38">
        <f>+B97+1</f>
        <v>26</v>
      </c>
      <c r="C101" s="117" t="s">
        <v>495</v>
      </c>
      <c r="D101" s="38" t="s">
        <v>429</v>
      </c>
      <c r="E101" s="136" t="s">
        <v>496</v>
      </c>
      <c r="F101" s="117" t="s">
        <v>200</v>
      </c>
      <c r="G101" s="119">
        <v>75000</v>
      </c>
      <c r="H101" s="88">
        <v>2152.5</v>
      </c>
      <c r="I101" s="88">
        <v>2280</v>
      </c>
      <c r="J101" s="83">
        <v>16851.560000000001</v>
      </c>
      <c r="K101" s="83">
        <f>SUM(H101:J101)</f>
        <v>21284.06</v>
      </c>
      <c r="L101" s="84">
        <f>+G101-K101</f>
        <v>53715.94</v>
      </c>
    </row>
    <row r="102" spans="2:13" s="41" customFormat="1" ht="23.25" customHeight="1" x14ac:dyDescent="0.25">
      <c r="B102" s="280" t="s">
        <v>126</v>
      </c>
      <c r="C102" s="281"/>
      <c r="D102" s="281"/>
      <c r="E102" s="281"/>
      <c r="F102" s="282"/>
      <c r="G102" s="39">
        <f t="shared" ref="G102:L102" si="23">SUM(G101:G101)</f>
        <v>75000</v>
      </c>
      <c r="H102" s="39">
        <f t="shared" si="23"/>
        <v>2152.5</v>
      </c>
      <c r="I102" s="39">
        <f t="shared" si="23"/>
        <v>2280</v>
      </c>
      <c r="J102" s="39">
        <f t="shared" si="23"/>
        <v>16851.560000000001</v>
      </c>
      <c r="K102" s="39">
        <f t="shared" si="23"/>
        <v>21284.06</v>
      </c>
      <c r="L102" s="39">
        <f t="shared" si="23"/>
        <v>53715.94</v>
      </c>
    </row>
    <row r="103" spans="2:13" s="41" customFormat="1" ht="23.25" customHeight="1" thickBot="1" x14ac:dyDescent="0.3">
      <c r="B103" s="52"/>
      <c r="C103" s="52"/>
      <c r="D103" s="52"/>
      <c r="E103" s="52"/>
      <c r="F103" s="52"/>
      <c r="G103" s="42"/>
      <c r="H103" s="42"/>
      <c r="I103" s="42"/>
      <c r="J103" s="42"/>
      <c r="K103" s="42"/>
      <c r="L103" s="42"/>
    </row>
    <row r="104" spans="2:13" s="85" customFormat="1" ht="30" customHeight="1" thickBot="1" x14ac:dyDescent="0.3">
      <c r="B104" s="277" t="s">
        <v>320</v>
      </c>
      <c r="C104" s="278"/>
      <c r="D104" s="278"/>
      <c r="E104" s="278"/>
      <c r="F104" s="278"/>
      <c r="G104" s="278"/>
      <c r="H104" s="278"/>
      <c r="I104" s="278"/>
      <c r="J104" s="278"/>
      <c r="K104" s="278"/>
      <c r="L104" s="279"/>
      <c r="M104" s="34"/>
    </row>
    <row r="105" spans="2:13" s="85" customFormat="1" ht="25.5" customHeight="1" x14ac:dyDescent="0.25">
      <c r="B105" s="86">
        <f>+B101+1</f>
        <v>27</v>
      </c>
      <c r="C105" s="117" t="s">
        <v>151</v>
      </c>
      <c r="D105" s="38" t="s">
        <v>429</v>
      </c>
      <c r="E105" s="117" t="s">
        <v>434</v>
      </c>
      <c r="F105" s="117" t="s">
        <v>122</v>
      </c>
      <c r="G105" s="119">
        <v>25000</v>
      </c>
      <c r="H105" s="119">
        <v>717.5</v>
      </c>
      <c r="I105" s="88">
        <v>760</v>
      </c>
      <c r="J105" s="88">
        <v>0</v>
      </c>
      <c r="K105" s="116">
        <f>SUM(H105:J105)</f>
        <v>1477.5</v>
      </c>
      <c r="L105" s="84">
        <f>+G105-K105</f>
        <v>23522.5</v>
      </c>
      <c r="M105" s="34"/>
    </row>
    <row r="106" spans="2:13" s="41" customFormat="1" ht="33.75" customHeight="1" x14ac:dyDescent="0.25">
      <c r="B106" s="280" t="s">
        <v>126</v>
      </c>
      <c r="C106" s="281"/>
      <c r="D106" s="281"/>
      <c r="E106" s="281"/>
      <c r="F106" s="282"/>
      <c r="G106" s="39">
        <f t="shared" ref="G106:J106" si="24">SUM(G105:G105)</f>
        <v>25000</v>
      </c>
      <c r="H106" s="39">
        <f t="shared" si="24"/>
        <v>717.5</v>
      </c>
      <c r="I106" s="39">
        <f t="shared" si="24"/>
        <v>760</v>
      </c>
      <c r="J106" s="39">
        <f t="shared" si="24"/>
        <v>0</v>
      </c>
      <c r="K106" s="39">
        <f>SUM(K105:K105)</f>
        <v>1477.5</v>
      </c>
      <c r="L106" s="39">
        <f>SUM(L105:L105)</f>
        <v>23522.5</v>
      </c>
    </row>
    <row r="107" spans="2:13" s="41" customFormat="1" ht="24.95" customHeight="1" thickBot="1" x14ac:dyDescent="0.3">
      <c r="B107" s="52"/>
      <c r="C107" s="52"/>
      <c r="D107" s="52"/>
      <c r="E107" s="52"/>
      <c r="F107" s="52"/>
      <c r="G107" s="42"/>
      <c r="H107" s="42"/>
      <c r="I107" s="42"/>
      <c r="J107" s="42"/>
      <c r="K107" s="42"/>
      <c r="L107" s="42"/>
    </row>
    <row r="108" spans="2:13" s="41" customFormat="1" ht="24.95" customHeight="1" thickBot="1" x14ac:dyDescent="0.3">
      <c r="B108" s="291" t="s">
        <v>558</v>
      </c>
      <c r="C108" s="292"/>
      <c r="D108" s="292"/>
      <c r="E108" s="292"/>
      <c r="F108" s="292"/>
      <c r="G108" s="292"/>
      <c r="H108" s="292"/>
      <c r="I108" s="292"/>
      <c r="J108" s="292"/>
      <c r="K108" s="292"/>
      <c r="L108" s="293"/>
    </row>
    <row r="109" spans="2:13" s="41" customFormat="1" ht="24.95" customHeight="1" x14ac:dyDescent="0.25">
      <c r="B109" s="86">
        <f>+B105+1</f>
        <v>28</v>
      </c>
      <c r="C109" s="117" t="s">
        <v>337</v>
      </c>
      <c r="D109" s="38" t="s">
        <v>429</v>
      </c>
      <c r="E109" s="87" t="s">
        <v>133</v>
      </c>
      <c r="F109" s="117" t="s">
        <v>122</v>
      </c>
      <c r="G109" s="119">
        <v>15000</v>
      </c>
      <c r="H109" s="119">
        <v>430.5</v>
      </c>
      <c r="I109" s="88">
        <v>456</v>
      </c>
      <c r="J109" s="88">
        <v>0</v>
      </c>
      <c r="K109" s="116">
        <f>SUM(H109:J109)</f>
        <v>886.5</v>
      </c>
      <c r="L109" s="84">
        <f>+G109-K109</f>
        <v>14113.5</v>
      </c>
    </row>
    <row r="110" spans="2:13" s="41" customFormat="1" ht="24.95" customHeight="1" x14ac:dyDescent="0.25">
      <c r="B110" s="280" t="s">
        <v>126</v>
      </c>
      <c r="C110" s="281"/>
      <c r="D110" s="281"/>
      <c r="E110" s="281"/>
      <c r="F110" s="282"/>
      <c r="G110" s="39">
        <f t="shared" ref="G110:L110" si="25">SUM(G109:G109)</f>
        <v>15000</v>
      </c>
      <c r="H110" s="39">
        <f t="shared" si="25"/>
        <v>430.5</v>
      </c>
      <c r="I110" s="39">
        <f t="shared" si="25"/>
        <v>456</v>
      </c>
      <c r="J110" s="39">
        <f t="shared" si="25"/>
        <v>0</v>
      </c>
      <c r="K110" s="39">
        <f t="shared" si="25"/>
        <v>886.5</v>
      </c>
      <c r="L110" s="39">
        <f t="shared" si="25"/>
        <v>14113.5</v>
      </c>
    </row>
    <row r="111" spans="2:13" s="41" customFormat="1" ht="24.95" customHeight="1" thickBot="1" x14ac:dyDescent="0.3">
      <c r="B111" s="52"/>
      <c r="C111" s="52"/>
      <c r="D111" s="52"/>
      <c r="E111" s="52"/>
      <c r="F111" s="52"/>
      <c r="G111" s="42"/>
      <c r="H111" s="42"/>
      <c r="I111" s="42"/>
      <c r="J111" s="42"/>
      <c r="K111" s="42"/>
      <c r="L111" s="42"/>
    </row>
    <row r="112" spans="2:13" s="55" customFormat="1" ht="30" customHeight="1" thickBot="1" x14ac:dyDescent="0.3">
      <c r="B112" s="277" t="s">
        <v>211</v>
      </c>
      <c r="C112" s="278"/>
      <c r="D112" s="278"/>
      <c r="E112" s="278"/>
      <c r="F112" s="278"/>
      <c r="G112" s="278"/>
      <c r="H112" s="278"/>
      <c r="I112" s="278"/>
      <c r="J112" s="278"/>
      <c r="K112" s="278"/>
      <c r="L112" s="279"/>
      <c r="M112" s="41"/>
    </row>
    <row r="113" spans="2:13" s="55" customFormat="1" ht="30" customHeight="1" x14ac:dyDescent="0.25">
      <c r="B113" s="81">
        <f>B109+1</f>
        <v>29</v>
      </c>
      <c r="C113" s="173" t="s">
        <v>84</v>
      </c>
      <c r="D113" s="174" t="s">
        <v>429</v>
      </c>
      <c r="E113" s="175" t="s">
        <v>597</v>
      </c>
      <c r="F113" s="122" t="s">
        <v>122</v>
      </c>
      <c r="G113" s="116">
        <v>30000</v>
      </c>
      <c r="H113" s="172">
        <v>861</v>
      </c>
      <c r="I113" s="172">
        <v>912</v>
      </c>
      <c r="J113" s="83">
        <v>6187.66</v>
      </c>
      <c r="K113" s="116">
        <f>SUM(H113:J113)</f>
        <v>7960.66</v>
      </c>
      <c r="L113" s="84">
        <f>+G113-K113</f>
        <v>22039.34</v>
      </c>
      <c r="M113" s="41"/>
    </row>
    <row r="114" spans="2:13" s="55" customFormat="1" ht="30" customHeight="1" x14ac:dyDescent="0.25">
      <c r="B114" s="81">
        <f>+B113+1</f>
        <v>30</v>
      </c>
      <c r="C114" s="122" t="s">
        <v>327</v>
      </c>
      <c r="D114" s="132" t="s">
        <v>430</v>
      </c>
      <c r="E114" s="122" t="s">
        <v>435</v>
      </c>
      <c r="F114" s="122" t="s">
        <v>122</v>
      </c>
      <c r="G114" s="116">
        <v>25800</v>
      </c>
      <c r="H114" s="172">
        <v>740.46</v>
      </c>
      <c r="I114" s="172">
        <v>784.32</v>
      </c>
      <c r="J114" s="83">
        <v>0</v>
      </c>
      <c r="K114" s="116">
        <f>SUM(H114:J114)</f>
        <v>1524.7800000000002</v>
      </c>
      <c r="L114" s="84">
        <f>+G114-K114</f>
        <v>24275.22</v>
      </c>
      <c r="M114" s="41"/>
    </row>
    <row r="115" spans="2:13" s="41" customFormat="1" ht="22.5" customHeight="1" x14ac:dyDescent="0.25">
      <c r="B115" s="280" t="s">
        <v>126</v>
      </c>
      <c r="C115" s="281"/>
      <c r="D115" s="281"/>
      <c r="E115" s="281"/>
      <c r="F115" s="282"/>
      <c r="G115" s="39">
        <f>SUM(G113:G114)</f>
        <v>55800</v>
      </c>
      <c r="H115" s="39">
        <f t="shared" ref="H115:L115" si="26">SUM(H113:H114)</f>
        <v>1601.46</v>
      </c>
      <c r="I115" s="39">
        <f t="shared" si="26"/>
        <v>1696.3200000000002</v>
      </c>
      <c r="J115" s="39">
        <f t="shared" si="26"/>
        <v>6187.66</v>
      </c>
      <c r="K115" s="39">
        <f t="shared" si="26"/>
        <v>9485.44</v>
      </c>
      <c r="L115" s="39">
        <f t="shared" si="26"/>
        <v>46314.559999999998</v>
      </c>
    </row>
    <row r="116" spans="2:13" s="41" customFormat="1" ht="24.95" customHeight="1" thickBot="1" x14ac:dyDescent="0.3">
      <c r="B116" s="52"/>
      <c r="C116" s="52"/>
      <c r="D116" s="52"/>
      <c r="E116" s="52"/>
      <c r="F116" s="52"/>
      <c r="G116" s="42"/>
      <c r="H116" s="42"/>
      <c r="I116" s="42"/>
      <c r="J116" s="42"/>
      <c r="K116" s="42"/>
      <c r="L116" s="42"/>
    </row>
    <row r="117" spans="2:13" s="85" customFormat="1" ht="30" customHeight="1" thickBot="1" x14ac:dyDescent="0.3">
      <c r="B117" s="277" t="s">
        <v>320</v>
      </c>
      <c r="C117" s="278"/>
      <c r="D117" s="278"/>
      <c r="E117" s="278"/>
      <c r="F117" s="278"/>
      <c r="G117" s="278"/>
      <c r="H117" s="278"/>
      <c r="I117" s="278"/>
      <c r="J117" s="278"/>
      <c r="K117" s="278"/>
      <c r="L117" s="279"/>
      <c r="M117" s="34"/>
    </row>
    <row r="118" spans="2:13" s="85" customFormat="1" ht="25.5" customHeight="1" x14ac:dyDescent="0.25">
      <c r="B118" s="86">
        <f>+B114+1</f>
        <v>31</v>
      </c>
      <c r="C118" s="117" t="s">
        <v>596</v>
      </c>
      <c r="D118" s="38" t="s">
        <v>429</v>
      </c>
      <c r="E118" s="117" t="s">
        <v>434</v>
      </c>
      <c r="F118" s="117" t="s">
        <v>122</v>
      </c>
      <c r="G118" s="119">
        <v>15000</v>
      </c>
      <c r="H118" s="119">
        <v>430.5</v>
      </c>
      <c r="I118" s="88">
        <v>456</v>
      </c>
      <c r="J118" s="88">
        <v>0</v>
      </c>
      <c r="K118" s="116">
        <f>SUM(H118:J118)</f>
        <v>886.5</v>
      </c>
      <c r="L118" s="84">
        <f>+G118-K118</f>
        <v>14113.5</v>
      </c>
      <c r="M118" s="34"/>
    </row>
    <row r="119" spans="2:13" s="41" customFormat="1" ht="33.75" customHeight="1" x14ac:dyDescent="0.25">
      <c r="B119" s="280" t="s">
        <v>126</v>
      </c>
      <c r="C119" s="281"/>
      <c r="D119" s="281"/>
      <c r="E119" s="281"/>
      <c r="F119" s="282"/>
      <c r="G119" s="39">
        <f t="shared" ref="G119:J119" si="27">SUM(G118:G118)</f>
        <v>15000</v>
      </c>
      <c r="H119" s="39">
        <f t="shared" si="27"/>
        <v>430.5</v>
      </c>
      <c r="I119" s="39">
        <f t="shared" si="27"/>
        <v>456</v>
      </c>
      <c r="J119" s="39">
        <f t="shared" si="27"/>
        <v>0</v>
      </c>
      <c r="K119" s="39">
        <f>SUM(K118:K118)</f>
        <v>886.5</v>
      </c>
      <c r="L119" s="39">
        <f>SUM(L118:L118)</f>
        <v>14113.5</v>
      </c>
    </row>
    <row r="120" spans="2:13" s="41" customFormat="1" ht="24.95" customHeight="1" thickBot="1" x14ac:dyDescent="0.3">
      <c r="B120" s="52"/>
      <c r="C120" s="52"/>
      <c r="D120" s="52"/>
      <c r="E120" s="52"/>
      <c r="F120" s="52"/>
      <c r="G120" s="42"/>
      <c r="H120" s="42"/>
      <c r="I120" s="42"/>
      <c r="J120" s="42"/>
      <c r="K120" s="42"/>
      <c r="L120" s="42"/>
    </row>
    <row r="121" spans="2:13" s="41" customFormat="1" ht="24.95" customHeight="1" thickBot="1" x14ac:dyDescent="0.3">
      <c r="B121" s="277" t="s">
        <v>179</v>
      </c>
      <c r="C121" s="278"/>
      <c r="D121" s="278"/>
      <c r="E121" s="278"/>
      <c r="F121" s="278"/>
      <c r="G121" s="278"/>
      <c r="H121" s="278"/>
      <c r="I121" s="278"/>
      <c r="J121" s="278"/>
      <c r="K121" s="278"/>
      <c r="L121" s="279"/>
    </row>
    <row r="122" spans="2:13" s="41" customFormat="1" ht="24.95" customHeight="1" x14ac:dyDescent="0.25">
      <c r="B122" s="86">
        <f>+B118+1</f>
        <v>32</v>
      </c>
      <c r="C122" s="117" t="s">
        <v>506</v>
      </c>
      <c r="D122" s="38" t="s">
        <v>429</v>
      </c>
      <c r="E122" s="117" t="s">
        <v>507</v>
      </c>
      <c r="F122" s="117" t="s">
        <v>122</v>
      </c>
      <c r="G122" s="119">
        <v>35000</v>
      </c>
      <c r="H122" s="119">
        <v>1004.5</v>
      </c>
      <c r="I122" s="88">
        <v>1064</v>
      </c>
      <c r="J122" s="88">
        <v>771.11</v>
      </c>
      <c r="K122" s="116">
        <f>SUM(H122:J122)</f>
        <v>2839.61</v>
      </c>
      <c r="L122" s="84">
        <f>+G122-K122</f>
        <v>32160.39</v>
      </c>
    </row>
    <row r="123" spans="2:13" s="41" customFormat="1" ht="24.95" customHeight="1" x14ac:dyDescent="0.25">
      <c r="B123" s="86">
        <f>+B122+1</f>
        <v>33</v>
      </c>
      <c r="C123" s="117" t="s">
        <v>23</v>
      </c>
      <c r="D123" s="38"/>
      <c r="E123" s="41" t="s">
        <v>148</v>
      </c>
      <c r="F123" s="117" t="s">
        <v>122</v>
      </c>
      <c r="G123" s="119">
        <v>30000</v>
      </c>
      <c r="H123" s="119">
        <v>861</v>
      </c>
      <c r="I123" s="88">
        <v>912</v>
      </c>
      <c r="J123" s="88">
        <v>0</v>
      </c>
      <c r="K123" s="116">
        <f>SUM(H123:J123)</f>
        <v>1773</v>
      </c>
      <c r="L123" s="84">
        <f>+G123-K123</f>
        <v>28227</v>
      </c>
    </row>
    <row r="124" spans="2:13" s="41" customFormat="1" ht="24.95" customHeight="1" x14ac:dyDescent="0.25">
      <c r="B124" s="280" t="s">
        <v>126</v>
      </c>
      <c r="C124" s="281"/>
      <c r="D124" s="281"/>
      <c r="E124" s="281"/>
      <c r="F124" s="282"/>
      <c r="G124" s="39">
        <f>SUM(G122:G123)</f>
        <v>65000</v>
      </c>
      <c r="H124" s="39">
        <f t="shared" ref="H124:L124" si="28">SUM(H122:H123)</f>
        <v>1865.5</v>
      </c>
      <c r="I124" s="39">
        <f t="shared" si="28"/>
        <v>1976</v>
      </c>
      <c r="J124" s="39">
        <f t="shared" si="28"/>
        <v>771.11</v>
      </c>
      <c r="K124" s="39">
        <f t="shared" si="28"/>
        <v>4612.6100000000006</v>
      </c>
      <c r="L124" s="39">
        <f t="shared" si="28"/>
        <v>60387.39</v>
      </c>
    </row>
    <row r="125" spans="2:13" s="34" customFormat="1" ht="30" customHeight="1" thickBot="1" x14ac:dyDescent="0.3">
      <c r="B125" s="43"/>
      <c r="C125" s="50"/>
      <c r="D125" s="150"/>
      <c r="E125" s="50"/>
      <c r="F125" s="50"/>
      <c r="G125" s="51"/>
      <c r="H125" s="41"/>
      <c r="I125" s="41"/>
      <c r="J125" s="41"/>
      <c r="K125" s="41"/>
      <c r="L125" s="41"/>
    </row>
    <row r="126" spans="2:13" ht="36" customHeight="1" thickBot="1" x14ac:dyDescent="0.3">
      <c r="B126" s="56"/>
      <c r="C126" s="57" t="s">
        <v>438</v>
      </c>
      <c r="D126" s="151"/>
      <c r="E126" s="58"/>
      <c r="F126" s="59"/>
      <c r="G126" s="60">
        <f>G15+G23+G31+G35+G43+G47+G55+G63+G67+G94+G98+G115+G106+G72+G39+G51+G102+G82+G124+G27+G11+G86+G19+G59+G77+G110+G119+G90</f>
        <v>1242550</v>
      </c>
      <c r="H126" s="60">
        <f t="shared" ref="H126:L126" si="29">H15+H23+H31+H35+H43+H47+H55+H63+H67+H94+H98+H115+H106+H72+H39+H51+H102+H82+H124+H27+H11+H86+H19+H59+H77+H110+H119+H90</f>
        <v>35661.184999999998</v>
      </c>
      <c r="I126" s="60">
        <f t="shared" si="29"/>
        <v>36925.979999999996</v>
      </c>
      <c r="J126" s="60">
        <f t="shared" si="29"/>
        <v>197821.57</v>
      </c>
      <c r="K126" s="60">
        <f t="shared" si="29"/>
        <v>270408.73499999999</v>
      </c>
      <c r="L126" s="60">
        <f t="shared" si="29"/>
        <v>972141.26500000001</v>
      </c>
      <c r="M126" s="218"/>
    </row>
    <row r="127" spans="2:13" ht="15" x14ac:dyDescent="0.25">
      <c r="B127" s="30"/>
      <c r="C127" s="29"/>
      <c r="D127" s="30"/>
      <c r="E127" s="29"/>
      <c r="F127" s="29"/>
      <c r="G127" s="18"/>
      <c r="H127" s="19"/>
      <c r="I127" s="19"/>
      <c r="J127" s="19"/>
      <c r="K127" s="19"/>
      <c r="L127" s="19"/>
    </row>
    <row r="128" spans="2:13" ht="15" x14ac:dyDescent="0.25">
      <c r="B128" s="30"/>
      <c r="C128" s="29"/>
      <c r="D128" s="30"/>
      <c r="E128" s="29"/>
      <c r="F128" s="29"/>
      <c r="G128" s="18"/>
      <c r="H128" s="19"/>
      <c r="I128" s="19"/>
      <c r="J128" s="19"/>
      <c r="K128" s="19"/>
      <c r="L128" s="19"/>
    </row>
    <row r="129" spans="3:12" ht="15.75" x14ac:dyDescent="0.25">
      <c r="C129" s="1"/>
      <c r="E129" s="1"/>
      <c r="F129" s="20"/>
      <c r="G129" s="66"/>
    </row>
    <row r="130" spans="3:12" ht="15.75" x14ac:dyDescent="0.25">
      <c r="C130" s="21"/>
      <c r="D130" s="152"/>
      <c r="E130" s="22"/>
      <c r="F130" s="21"/>
      <c r="G130" s="1"/>
      <c r="L130" s="7"/>
    </row>
    <row r="131" spans="3:12" ht="15.75" x14ac:dyDescent="0.25">
      <c r="C131" s="23" t="s">
        <v>203</v>
      </c>
      <c r="D131" s="153"/>
      <c r="E131" s="22"/>
      <c r="F131" s="23" t="s">
        <v>499</v>
      </c>
      <c r="G131" s="1"/>
    </row>
    <row r="132" spans="3:12" ht="15.75" x14ac:dyDescent="0.25">
      <c r="C132" s="23" t="s">
        <v>500</v>
      </c>
      <c r="D132" s="153"/>
      <c r="E132" s="22"/>
      <c r="F132" s="23" t="s">
        <v>501</v>
      </c>
      <c r="G132" s="1"/>
    </row>
    <row r="16616" spans="3:12" s="4" customFormat="1" x14ac:dyDescent="0.2">
      <c r="C16616" s="25"/>
      <c r="E16616" s="25"/>
      <c r="F16616" s="25"/>
      <c r="G16616" s="2"/>
      <c r="H16616" s="1"/>
      <c r="I16616" s="1"/>
      <c r="J16616" s="1"/>
      <c r="K16616" s="1"/>
      <c r="L16616" s="1"/>
    </row>
    <row r="16618" spans="3:12" s="4" customFormat="1" x14ac:dyDescent="0.2">
      <c r="C16618" s="25"/>
      <c r="E16618" s="25"/>
      <c r="F16618" s="25"/>
      <c r="G16618" s="2"/>
      <c r="H16618" s="1"/>
      <c r="I16618" s="1"/>
      <c r="J16618" s="1"/>
      <c r="K16618" s="1"/>
      <c r="L16618" s="1"/>
    </row>
    <row r="16634" spans="8:9" x14ac:dyDescent="0.2">
      <c r="H16634" s="4"/>
      <c r="I16634" s="4"/>
    </row>
    <row r="16636" spans="8:9" x14ac:dyDescent="0.2">
      <c r="H16636" s="4"/>
      <c r="I16636" s="4"/>
    </row>
    <row r="16646" spans="3:12" x14ac:dyDescent="0.2">
      <c r="K16646" s="4"/>
      <c r="L16646" s="4"/>
    </row>
    <row r="16648" spans="3:12" x14ac:dyDescent="0.2">
      <c r="K16648" s="4"/>
      <c r="L16648" s="4"/>
    </row>
    <row r="16649" spans="3:12" x14ac:dyDescent="0.2">
      <c r="J16649" s="4"/>
    </row>
    <row r="16650" spans="3:12" x14ac:dyDescent="0.2">
      <c r="C16650" s="25">
        <f>SUM(C6:C16649)</f>
        <v>0</v>
      </c>
    </row>
    <row r="16651" spans="3:12" x14ac:dyDescent="0.2">
      <c r="J16651" s="4"/>
    </row>
    <row r="16652" spans="3:12" x14ac:dyDescent="0.2">
      <c r="C16652" s="25">
        <f>SUM(C16650)</f>
        <v>0</v>
      </c>
    </row>
    <row r="999975" spans="11:11" x14ac:dyDescent="0.2">
      <c r="K999975" s="11" t="e">
        <f>SUM(#REF!)</f>
        <v>#REF!</v>
      </c>
    </row>
  </sheetData>
  <mergeCells count="61">
    <mergeCell ref="B117:L117"/>
    <mergeCell ref="B119:F119"/>
    <mergeCell ref="B77:F77"/>
    <mergeCell ref="B57:L57"/>
    <mergeCell ref="B59:F59"/>
    <mergeCell ref="B74:L74"/>
    <mergeCell ref="B112:L112"/>
    <mergeCell ref="B92:L92"/>
    <mergeCell ref="B94:F94"/>
    <mergeCell ref="B72:F72"/>
    <mergeCell ref="B88:L88"/>
    <mergeCell ref="B90:F90"/>
    <mergeCell ref="B115:F115"/>
    <mergeCell ref="B104:L104"/>
    <mergeCell ref="B106:F106"/>
    <mergeCell ref="B96:L96"/>
    <mergeCell ref="B98:F98"/>
    <mergeCell ref="B108:L108"/>
    <mergeCell ref="B110:F110"/>
    <mergeCell ref="B9:L9"/>
    <mergeCell ref="B11:F11"/>
    <mergeCell ref="B47:F47"/>
    <mergeCell ref="B41:L41"/>
    <mergeCell ref="B43:F43"/>
    <mergeCell ref="B45:L45"/>
    <mergeCell ref="B37:L37"/>
    <mergeCell ref="B39:F39"/>
    <mergeCell ref="B31:F31"/>
    <mergeCell ref="B33:L33"/>
    <mergeCell ref="B35:F35"/>
    <mergeCell ref="B23:F23"/>
    <mergeCell ref="B29:L29"/>
    <mergeCell ref="B13:L13"/>
    <mergeCell ref="B1:L1"/>
    <mergeCell ref="B2:L2"/>
    <mergeCell ref="B3:L3"/>
    <mergeCell ref="B4:C4"/>
    <mergeCell ref="H5:I5"/>
    <mergeCell ref="B15:F15"/>
    <mergeCell ref="B21:L21"/>
    <mergeCell ref="B25:L25"/>
    <mergeCell ref="B27:F27"/>
    <mergeCell ref="B69:L69"/>
    <mergeCell ref="B17:L17"/>
    <mergeCell ref="B19:F19"/>
    <mergeCell ref="B121:L121"/>
    <mergeCell ref="B124:F124"/>
    <mergeCell ref="B84:L84"/>
    <mergeCell ref="B86:F86"/>
    <mergeCell ref="B49:L49"/>
    <mergeCell ref="B51:F51"/>
    <mergeCell ref="B100:L100"/>
    <mergeCell ref="B102:F102"/>
    <mergeCell ref="B79:L79"/>
    <mergeCell ref="B82:F82"/>
    <mergeCell ref="B55:F55"/>
    <mergeCell ref="B53:L53"/>
    <mergeCell ref="B67:F67"/>
    <mergeCell ref="B61:L61"/>
    <mergeCell ref="B63:F63"/>
    <mergeCell ref="B65:L65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4" manualBreakCount="4">
    <brk id="32" min="1" max="11" man="1"/>
    <brk id="56" min="1" max="11" man="1"/>
    <brk id="82" min="1" max="11" man="1"/>
    <brk id="110" min="1" max="11" man="1"/>
  </rowBreaks>
  <ignoredErrors>
    <ignoredError sqref="K23 K30 K34 K38 K42 K46 K62 K80 K97 K114 K70:K71 K66 K113:L113 K26 K93 K85 K54 K50 K75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tabSelected="1" view="pageBreakPreview" topLeftCell="D1" zoomScaleNormal="93" zoomScaleSheetLayoutView="100" workbookViewId="0">
      <selection activeCell="J9" sqref="J9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10"/>
    <col min="14" max="16384" width="11.42578125" style="1"/>
  </cols>
  <sheetData>
    <row r="2" spans="1:13" ht="23.25" x14ac:dyDescent="0.35">
      <c r="A2" s="269" t="s">
        <v>417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</row>
    <row r="3" spans="1:13" ht="21" x14ac:dyDescent="0.35">
      <c r="A3" s="270" t="s">
        <v>418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</row>
    <row r="4" spans="1:13" ht="18.75" x14ac:dyDescent="0.3">
      <c r="A4" s="271" t="s">
        <v>631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15"/>
    </row>
    <row r="5" spans="1:13" ht="19.5" thickBot="1" x14ac:dyDescent="0.3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15"/>
    </row>
    <row r="6" spans="1:13" s="2" customFormat="1" ht="21" customHeight="1" thickBot="1" x14ac:dyDescent="0.25">
      <c r="B6" s="3"/>
      <c r="C6" s="154"/>
      <c r="D6" s="3"/>
      <c r="E6" s="4"/>
      <c r="F6" s="6"/>
      <c r="G6" s="294" t="s">
        <v>121</v>
      </c>
      <c r="H6" s="295"/>
      <c r="M6" s="70"/>
    </row>
    <row r="7" spans="1:13" s="2" customFormat="1" ht="27" customHeight="1" x14ac:dyDescent="0.2">
      <c r="A7" s="13" t="s">
        <v>0</v>
      </c>
      <c r="B7" s="13" t="s">
        <v>368</v>
      </c>
      <c r="C7" s="35" t="s">
        <v>431</v>
      </c>
      <c r="D7" s="13" t="s">
        <v>127</v>
      </c>
      <c r="E7" s="13" t="s">
        <v>128</v>
      </c>
      <c r="F7" s="13" t="s">
        <v>125</v>
      </c>
      <c r="G7" s="13" t="s">
        <v>1</v>
      </c>
      <c r="H7" s="13" t="s">
        <v>2</v>
      </c>
      <c r="I7" s="14" t="s">
        <v>116</v>
      </c>
      <c r="J7" s="14" t="s">
        <v>118</v>
      </c>
      <c r="K7" s="14" t="s">
        <v>3</v>
      </c>
      <c r="L7" s="14" t="s">
        <v>117</v>
      </c>
      <c r="M7" s="70"/>
    </row>
    <row r="8" spans="1:13" s="101" customFormat="1" ht="19.899999999999999" customHeight="1" x14ac:dyDescent="0.25">
      <c r="A8" s="98">
        <v>4</v>
      </c>
      <c r="B8" s="117" t="s">
        <v>312</v>
      </c>
      <c r="C8" s="38" t="s">
        <v>430</v>
      </c>
      <c r="D8" s="118" t="s">
        <v>86</v>
      </c>
      <c r="E8" s="117" t="s">
        <v>193</v>
      </c>
      <c r="F8" s="88">
        <v>50000</v>
      </c>
      <c r="G8" s="88">
        <f>F8*2.87%</f>
        <v>1435</v>
      </c>
      <c r="H8" s="88">
        <f>+F8*3.04%</f>
        <v>1520</v>
      </c>
      <c r="I8" s="88">
        <v>1854</v>
      </c>
      <c r="J8" s="84">
        <f>2690.26+25</f>
        <v>2715.26</v>
      </c>
      <c r="K8" s="116">
        <f>SUM(G8:J8)</f>
        <v>7524.26</v>
      </c>
      <c r="L8" s="84">
        <f>+F8-K8</f>
        <v>42475.74</v>
      </c>
    </row>
    <row r="9" spans="1:13" s="102" customFormat="1" ht="20.100000000000001" customHeight="1" x14ac:dyDescent="0.25">
      <c r="A9" s="98">
        <v>5</v>
      </c>
      <c r="B9" s="117" t="s">
        <v>423</v>
      </c>
      <c r="C9" s="38" t="s">
        <v>429</v>
      </c>
      <c r="D9" s="118" t="s">
        <v>439</v>
      </c>
      <c r="E9" s="117" t="s">
        <v>424</v>
      </c>
      <c r="F9" s="99">
        <v>44000</v>
      </c>
      <c r="G9" s="99">
        <f t="shared" ref="G9:G13" si="0">F9*2.87%</f>
        <v>1262.8</v>
      </c>
      <c r="H9" s="99">
        <f t="shared" ref="H9" si="1">+F9*3.04%</f>
        <v>1337.6</v>
      </c>
      <c r="I9" s="99">
        <v>1007.19</v>
      </c>
      <c r="J9" s="100">
        <v>25</v>
      </c>
      <c r="K9" s="115">
        <f>+G9+H9+J9+I9</f>
        <v>3632.5899999999997</v>
      </c>
      <c r="L9" s="100">
        <f t="shared" ref="L9:L13" si="2">+F9-K9</f>
        <v>40367.410000000003</v>
      </c>
    </row>
    <row r="10" spans="1:13" s="101" customFormat="1" ht="20.100000000000001" customHeight="1" x14ac:dyDescent="0.25">
      <c r="A10" s="98">
        <v>6</v>
      </c>
      <c r="B10" s="117" t="s">
        <v>339</v>
      </c>
      <c r="C10" s="38" t="s">
        <v>429</v>
      </c>
      <c r="D10" s="118" t="s">
        <v>334</v>
      </c>
      <c r="E10" s="117" t="s">
        <v>99</v>
      </c>
      <c r="F10" s="88">
        <v>28875</v>
      </c>
      <c r="G10" s="88">
        <f t="shared" ref="G10:G11" si="3">F10*2.87%</f>
        <v>828.71249999999998</v>
      </c>
      <c r="H10" s="88">
        <f t="shared" ref="H10:H11" si="4">+F10*3.04%</f>
        <v>877.8</v>
      </c>
      <c r="I10" s="88"/>
      <c r="J10" s="90">
        <v>6572.99</v>
      </c>
      <c r="K10" s="116">
        <f>G10+H10+I10+J10</f>
        <v>8279.5024999999987</v>
      </c>
      <c r="L10" s="90">
        <f t="shared" ref="L10:L11" si="5">+F10-K10</f>
        <v>20595.497500000001</v>
      </c>
    </row>
    <row r="11" spans="1:13" s="101" customFormat="1" ht="20.100000000000001" customHeight="1" x14ac:dyDescent="0.25">
      <c r="A11" s="98">
        <v>7</v>
      </c>
      <c r="B11" s="117" t="s">
        <v>343</v>
      </c>
      <c r="C11" s="38" t="s">
        <v>429</v>
      </c>
      <c r="D11" s="118" t="s">
        <v>334</v>
      </c>
      <c r="E11" s="117" t="s">
        <v>37</v>
      </c>
      <c r="F11" s="88">
        <v>26565</v>
      </c>
      <c r="G11" s="88">
        <f t="shared" si="3"/>
        <v>762.41549999999995</v>
      </c>
      <c r="H11" s="88">
        <f t="shared" si="4"/>
        <v>807.57600000000002</v>
      </c>
      <c r="I11" s="88"/>
      <c r="J11" s="90">
        <f>2660.76+8955.45+25</f>
        <v>11641.210000000001</v>
      </c>
      <c r="K11" s="116">
        <f>SUM(G11:J11)</f>
        <v>13211.201500000001</v>
      </c>
      <c r="L11" s="90">
        <f t="shared" si="5"/>
        <v>13353.798499999999</v>
      </c>
    </row>
    <row r="12" spans="1:13" s="101" customFormat="1" ht="20.100000000000001" customHeight="1" x14ac:dyDescent="0.25">
      <c r="A12" s="98">
        <v>8</v>
      </c>
      <c r="B12" s="117" t="s">
        <v>79</v>
      </c>
      <c r="C12" s="38" t="s">
        <v>430</v>
      </c>
      <c r="D12" s="118" t="s">
        <v>425</v>
      </c>
      <c r="E12" s="117" t="s">
        <v>360</v>
      </c>
      <c r="F12" s="99">
        <v>20356.599999999999</v>
      </c>
      <c r="G12" s="99">
        <f t="shared" si="0"/>
        <v>584.23442</v>
      </c>
      <c r="H12" s="99">
        <f t="shared" ref="H12:H13" si="6">+F12*3.04%</f>
        <v>618.84064000000001</v>
      </c>
      <c r="I12" s="99"/>
      <c r="J12" s="100">
        <v>25</v>
      </c>
      <c r="K12" s="115">
        <f>+G12+H12+J12+I12</f>
        <v>1228.0750600000001</v>
      </c>
      <c r="L12" s="100">
        <f t="shared" si="2"/>
        <v>19128.524939999999</v>
      </c>
    </row>
    <row r="13" spans="1:13" s="101" customFormat="1" ht="20.100000000000001" customHeight="1" x14ac:dyDescent="0.25">
      <c r="A13" s="98">
        <f>+A12+1</f>
        <v>9</v>
      </c>
      <c r="B13" s="117" t="s">
        <v>619</v>
      </c>
      <c r="C13" s="38" t="s">
        <v>430</v>
      </c>
      <c r="D13" s="118" t="s">
        <v>620</v>
      </c>
      <c r="E13" s="117" t="s">
        <v>148</v>
      </c>
      <c r="F13" s="99">
        <v>93500</v>
      </c>
      <c r="G13" s="99">
        <f t="shared" si="0"/>
        <v>2683.45</v>
      </c>
      <c r="H13" s="99">
        <f t="shared" si="6"/>
        <v>2842.4</v>
      </c>
      <c r="I13" s="99">
        <v>10576.47</v>
      </c>
      <c r="J13" s="100">
        <v>25</v>
      </c>
      <c r="K13" s="115">
        <f>+G13+H13+J13+I13</f>
        <v>16127.32</v>
      </c>
      <c r="L13" s="100">
        <f t="shared" si="2"/>
        <v>77372.679999999993</v>
      </c>
    </row>
    <row r="14" spans="1:13" s="103" customFormat="1" ht="20.100000000000001" customHeight="1" x14ac:dyDescent="0.25">
      <c r="A14" s="71"/>
      <c r="B14" s="204" t="s">
        <v>419</v>
      </c>
      <c r="C14" s="73"/>
      <c r="D14" s="72"/>
      <c r="E14" s="73"/>
      <c r="F14" s="74">
        <f>SUM(F8:F13)</f>
        <v>263296.59999999998</v>
      </c>
      <c r="G14" s="74">
        <f t="shared" ref="G14:L14" si="7">SUM(G8:G13)</f>
        <v>7556.6124199999995</v>
      </c>
      <c r="H14" s="74">
        <f t="shared" si="7"/>
        <v>8004.2166400000006</v>
      </c>
      <c r="I14" s="74">
        <f t="shared" si="7"/>
        <v>13437.66</v>
      </c>
      <c r="J14" s="74">
        <f t="shared" si="7"/>
        <v>21004.46</v>
      </c>
      <c r="K14" s="74">
        <f t="shared" si="7"/>
        <v>50002.949060000006</v>
      </c>
      <c r="L14" s="74">
        <f t="shared" si="7"/>
        <v>213293.65093999999</v>
      </c>
      <c r="M14" s="216"/>
    </row>
    <row r="15" spans="1:13" ht="15.75" x14ac:dyDescent="0.25">
      <c r="D15" s="20"/>
      <c r="E15"/>
      <c r="F15" s="22"/>
    </row>
    <row r="16" spans="1:13" ht="15.75" x14ac:dyDescent="0.25">
      <c r="D16" s="20"/>
      <c r="E16"/>
      <c r="F16" s="22"/>
    </row>
    <row r="17" spans="2:8" ht="15.75" x14ac:dyDescent="0.25">
      <c r="B17" s="21"/>
      <c r="C17" s="152"/>
      <c r="D17" s="22"/>
      <c r="E17" s="21"/>
      <c r="F17"/>
      <c r="H17"/>
    </row>
    <row r="18" spans="2:8" ht="15.75" x14ac:dyDescent="0.25">
      <c r="B18" s="23" t="s">
        <v>203</v>
      </c>
      <c r="C18" s="153"/>
      <c r="D18" s="22"/>
      <c r="E18" s="23" t="s">
        <v>499</v>
      </c>
      <c r="F18" s="22"/>
      <c r="H18" s="23"/>
    </row>
    <row r="19" spans="2:8" ht="15.75" x14ac:dyDescent="0.25">
      <c r="B19" s="23" t="s">
        <v>500</v>
      </c>
      <c r="C19" s="153"/>
      <c r="D19" s="22"/>
      <c r="E19" s="23" t="s">
        <v>501</v>
      </c>
      <c r="F19" s="22"/>
      <c r="H19" s="23"/>
    </row>
    <row r="23" spans="2:8" hidden="1" x14ac:dyDescent="0.2"/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B626B0-3F82-4878-8386-9A88D673F7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purl.org/dc/dcmitype/"/>
    <ds:schemaRef ds:uri="http://schemas.microsoft.com/office/2006/documentManagement/types"/>
    <ds:schemaRef ds:uri="http://www.w3.org/XML/1998/namespace"/>
    <ds:schemaRef ds:uri="d39205a1-5442-419a-b1e5-b39410ee3123"/>
    <ds:schemaRef ds:uri="http://schemas.microsoft.com/office/infopath/2007/PartnerControls"/>
    <ds:schemaRef ds:uri="http://purl.org/dc/elements/1.1/"/>
    <ds:schemaRef ds:uri="bb6b0d22-0a16-4c1a-9b76-95dfb845d415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Julian José Acosta Acosta</cp:lastModifiedBy>
  <cp:lastPrinted>2023-05-03T13:44:33Z</cp:lastPrinted>
  <dcterms:created xsi:type="dcterms:W3CDTF">2019-01-11T19:06:47Z</dcterms:created>
  <dcterms:modified xsi:type="dcterms:W3CDTF">2023-05-03T14:10:06Z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