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3/MAYO  2023-PORTAL/"/>
    </mc:Choice>
  </mc:AlternateContent>
  <xr:revisionPtr revIDLastSave="9994" documentId="8_{22043E63-9978-4333-BF7E-9AAC7FE5390F}" xr6:coauthVersionLast="47" xr6:coauthVersionMax="47" xr10:uidLastSave="{D5F28F4F-5334-4B5B-B7C7-7AC1BD01E351}"/>
  <bookViews>
    <workbookView xWindow="-120" yWindow="-120" windowWidth="29040" windowHeight="15720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externalReferences>
    <externalReference r:id="rId5"/>
  </externalReferences>
  <definedNames>
    <definedName name="_xlnm.Print_Area" localSheetId="0">'NOMINA FIJOS '!$A$1:$P$408</definedName>
    <definedName name="_xlnm.Print_Area" localSheetId="1">'PERSONAL TEMPORAL'!$A$1:$R$256</definedName>
    <definedName name="_xlnm.Print_Area" localSheetId="2">'SUPLENCIA FIJOS'!$B$1:$L$148</definedName>
    <definedName name="_xlnm.Print_Area" localSheetId="3">'TRAMITE PENSION '!$A$1:$L$21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4" l="1"/>
  <c r="J130" i="16"/>
  <c r="I130" i="16"/>
  <c r="H130" i="16"/>
  <c r="G130" i="16"/>
  <c r="K129" i="16"/>
  <c r="K130" i="16" s="1"/>
  <c r="K112" i="16"/>
  <c r="L112" i="16" s="1"/>
  <c r="L113" i="16" s="1"/>
  <c r="J113" i="16"/>
  <c r="I113" i="16"/>
  <c r="H113" i="16"/>
  <c r="G113" i="16"/>
  <c r="K69" i="16"/>
  <c r="K70" i="16" s="1"/>
  <c r="J70" i="16"/>
  <c r="I70" i="16"/>
  <c r="H70" i="16"/>
  <c r="G70" i="16"/>
  <c r="I252" i="13"/>
  <c r="J252" i="13"/>
  <c r="K252" i="13"/>
  <c r="L252" i="13"/>
  <c r="M252" i="13"/>
  <c r="N252" i="13"/>
  <c r="O252" i="13"/>
  <c r="P252" i="13"/>
  <c r="Q252" i="13"/>
  <c r="R252" i="13"/>
  <c r="J145" i="13"/>
  <c r="K145" i="13"/>
  <c r="L145" i="13"/>
  <c r="M145" i="13"/>
  <c r="N145" i="13"/>
  <c r="O145" i="13"/>
  <c r="P145" i="13"/>
  <c r="Q145" i="13"/>
  <c r="R145" i="13"/>
  <c r="I145" i="13"/>
  <c r="H252" i="13"/>
  <c r="H101" i="13"/>
  <c r="H108" i="13"/>
  <c r="H120" i="13"/>
  <c r="H125" i="13"/>
  <c r="H131" i="13"/>
  <c r="H136" i="13"/>
  <c r="H141" i="13"/>
  <c r="H145" i="13"/>
  <c r="H160" i="13"/>
  <c r="H12" i="13"/>
  <c r="H28" i="13"/>
  <c r="H35" i="13"/>
  <c r="H41" i="13"/>
  <c r="H193" i="13"/>
  <c r="H203" i="13"/>
  <c r="H186" i="13"/>
  <c r="P246" i="13"/>
  <c r="O246" i="13"/>
  <c r="K246" i="13"/>
  <c r="H246" i="13"/>
  <c r="J245" i="13"/>
  <c r="J246" i="13" s="1"/>
  <c r="I245" i="13"/>
  <c r="I246" i="13" s="1"/>
  <c r="P238" i="13"/>
  <c r="O238" i="13"/>
  <c r="K238" i="13"/>
  <c r="H238" i="13"/>
  <c r="J237" i="13"/>
  <c r="J238" i="13" s="1"/>
  <c r="I237" i="13"/>
  <c r="I238" i="13" s="1"/>
  <c r="K225" i="13"/>
  <c r="O225" i="13"/>
  <c r="P225" i="13"/>
  <c r="H225" i="13"/>
  <c r="K203" i="13"/>
  <c r="O203" i="13"/>
  <c r="P203" i="13"/>
  <c r="K193" i="13"/>
  <c r="O193" i="13"/>
  <c r="P193" i="13"/>
  <c r="I192" i="13"/>
  <c r="J192" i="13"/>
  <c r="O185" i="13"/>
  <c r="O186" i="13" s="1"/>
  <c r="K186" i="13"/>
  <c r="P186" i="13"/>
  <c r="K160" i="13"/>
  <c r="O160" i="13"/>
  <c r="P160" i="13"/>
  <c r="I159" i="13"/>
  <c r="J159" i="13"/>
  <c r="K150" i="13"/>
  <c r="O150" i="13"/>
  <c r="H150" i="13"/>
  <c r="K141" i="13"/>
  <c r="O141" i="13"/>
  <c r="P141" i="13"/>
  <c r="J140" i="13"/>
  <c r="I140" i="13"/>
  <c r="P92" i="13"/>
  <c r="O92" i="13"/>
  <c r="K92" i="13"/>
  <c r="H92" i="13"/>
  <c r="J91" i="13"/>
  <c r="J92" i="13" s="1"/>
  <c r="I91" i="13"/>
  <c r="I92" i="13" s="1"/>
  <c r="K41" i="13"/>
  <c r="O41" i="13"/>
  <c r="P41" i="13"/>
  <c r="L129" i="16" l="1"/>
  <c r="L130" i="16" s="1"/>
  <c r="K113" i="16"/>
  <c r="L69" i="16"/>
  <c r="L70" i="16" s="1"/>
  <c r="L245" i="13"/>
  <c r="L237" i="13"/>
  <c r="L192" i="13"/>
  <c r="M192" i="13" s="1"/>
  <c r="N192" i="13" s="1"/>
  <c r="Q192" i="13" s="1"/>
  <c r="R192" i="13" s="1"/>
  <c r="L159" i="13"/>
  <c r="M159" i="13" s="1"/>
  <c r="L140" i="13"/>
  <c r="M140" i="13" s="1"/>
  <c r="N140" i="13" s="1"/>
  <c r="Q140" i="13" s="1"/>
  <c r="R140" i="13" s="1"/>
  <c r="L91" i="13"/>
  <c r="K400" i="4"/>
  <c r="K233" i="4"/>
  <c r="K220" i="4"/>
  <c r="K221" i="4"/>
  <c r="K40" i="4"/>
  <c r="K43" i="4"/>
  <c r="K168" i="4"/>
  <c r="G400" i="4"/>
  <c r="H400" i="4"/>
  <c r="I400" i="4"/>
  <c r="J400" i="4"/>
  <c r="K225" i="4"/>
  <c r="K178" i="4"/>
  <c r="O29" i="4"/>
  <c r="P29" i="4"/>
  <c r="J30" i="4"/>
  <c r="K29" i="4"/>
  <c r="K30" i="4"/>
  <c r="K26" i="4"/>
  <c r="K21" i="4"/>
  <c r="K15" i="4"/>
  <c r="K194" i="4"/>
  <c r="K187" i="4"/>
  <c r="K186" i="4"/>
  <c r="P194" i="4"/>
  <c r="O194" i="4"/>
  <c r="N194" i="4"/>
  <c r="L194" i="4"/>
  <c r="I194" i="4"/>
  <c r="H194" i="4"/>
  <c r="G194" i="4"/>
  <c r="J194" i="4"/>
  <c r="M194" i="4"/>
  <c r="O400" i="4"/>
  <c r="P400" i="4"/>
  <c r="L400" i="4"/>
  <c r="M400" i="4"/>
  <c r="N400" i="4"/>
  <c r="F194" i="4"/>
  <c r="F400" i="4"/>
  <c r="N398" i="4"/>
  <c r="M385" i="4"/>
  <c r="M383" i="4"/>
  <c r="M380" i="4"/>
  <c r="A366" i="4"/>
  <c r="I327" i="4"/>
  <c r="M327" i="4"/>
  <c r="N327" i="4"/>
  <c r="F327" i="4"/>
  <c r="G321" i="4"/>
  <c r="J321" i="4" s="1"/>
  <c r="H321" i="4"/>
  <c r="M283" i="4"/>
  <c r="I240" i="4"/>
  <c r="M240" i="4"/>
  <c r="N240" i="4"/>
  <c r="F240" i="4"/>
  <c r="G239" i="4"/>
  <c r="H239" i="4"/>
  <c r="I212" i="4"/>
  <c r="M212" i="4"/>
  <c r="N212" i="4"/>
  <c r="F212" i="4"/>
  <c r="I187" i="4"/>
  <c r="M187" i="4"/>
  <c r="N187" i="4"/>
  <c r="F187" i="4"/>
  <c r="H164" i="4"/>
  <c r="G164" i="4"/>
  <c r="G165" i="4" s="1"/>
  <c r="N165" i="4"/>
  <c r="M165" i="4"/>
  <c r="I165" i="4"/>
  <c r="F165" i="4"/>
  <c r="H25" i="4"/>
  <c r="H24" i="4"/>
  <c r="G25" i="4"/>
  <c r="I26" i="4"/>
  <c r="M26" i="4"/>
  <c r="N26" i="4"/>
  <c r="F26" i="4"/>
  <c r="A24" i="4"/>
  <c r="A25" i="4" s="1"/>
  <c r="A29" i="4" s="1"/>
  <c r="I21" i="4"/>
  <c r="M21" i="4"/>
  <c r="N21" i="4"/>
  <c r="F21" i="4"/>
  <c r="G17" i="4"/>
  <c r="H17" i="4"/>
  <c r="G18" i="4"/>
  <c r="H18" i="4"/>
  <c r="G19" i="4"/>
  <c r="H19" i="4"/>
  <c r="G20" i="4"/>
  <c r="H20" i="4"/>
  <c r="L246" i="13" l="1"/>
  <c r="M245" i="13"/>
  <c r="L238" i="13"/>
  <c r="M237" i="13"/>
  <c r="N159" i="13"/>
  <c r="Q159" i="13" s="1"/>
  <c r="R159" i="13" s="1"/>
  <c r="L92" i="13"/>
  <c r="M91" i="13"/>
  <c r="K321" i="4"/>
  <c r="J239" i="4"/>
  <c r="K239" i="4" s="1"/>
  <c r="L239" i="4" s="1"/>
  <c r="O239" i="4" s="1"/>
  <c r="P239" i="4" s="1"/>
  <c r="J164" i="4"/>
  <c r="J165" i="4" s="1"/>
  <c r="H165" i="4"/>
  <c r="J25" i="4"/>
  <c r="K25" i="4" s="1"/>
  <c r="L25" i="4" s="1"/>
  <c r="O25" i="4" s="1"/>
  <c r="P25" i="4" s="1"/>
  <c r="J18" i="4"/>
  <c r="K18" i="4" s="1"/>
  <c r="L18" i="4" s="1"/>
  <c r="O18" i="4" s="1"/>
  <c r="P18" i="4" s="1"/>
  <c r="H26" i="4"/>
  <c r="J17" i="4"/>
  <c r="K17" i="4" s="1"/>
  <c r="L17" i="4" s="1"/>
  <c r="O17" i="4" s="1"/>
  <c r="J19" i="4"/>
  <c r="K19" i="4" s="1"/>
  <c r="L19" i="4" s="1"/>
  <c r="O19" i="4" s="1"/>
  <c r="P19" i="4" s="1"/>
  <c r="J20" i="4"/>
  <c r="K20" i="4" s="1"/>
  <c r="L20" i="4" s="1"/>
  <c r="M246" i="13" l="1"/>
  <c r="N245" i="13"/>
  <c r="M238" i="13"/>
  <c r="N237" i="13"/>
  <c r="M92" i="13"/>
  <c r="N91" i="13"/>
  <c r="L321" i="4"/>
  <c r="K164" i="4"/>
  <c r="K165" i="4" s="1"/>
  <c r="P17" i="4"/>
  <c r="O20" i="4"/>
  <c r="P20" i="4" s="1"/>
  <c r="N246" i="13" l="1"/>
  <c r="Q245" i="13"/>
  <c r="N238" i="13"/>
  <c r="Q237" i="13"/>
  <c r="N92" i="13"/>
  <c r="Q91" i="13"/>
  <c r="O321" i="4"/>
  <c r="L164" i="4"/>
  <c r="L165" i="4" s="1"/>
  <c r="Q246" i="13" l="1"/>
  <c r="R245" i="13"/>
  <c r="R246" i="13" s="1"/>
  <c r="Q238" i="13"/>
  <c r="R237" i="13"/>
  <c r="R238" i="13" s="1"/>
  <c r="R91" i="13"/>
  <c r="R92" i="13" s="1"/>
  <c r="Q92" i="13"/>
  <c r="P321" i="4"/>
  <c r="O164" i="4"/>
  <c r="O165" i="4" s="1"/>
  <c r="P164" i="4" l="1"/>
  <c r="P165" i="4" s="1"/>
  <c r="F401" i="4" l="1"/>
  <c r="J8" i="14" l="1"/>
  <c r="K57" i="16"/>
  <c r="K10" i="16"/>
  <c r="J206" i="13"/>
  <c r="J163" i="13"/>
  <c r="P250" i="13"/>
  <c r="O250" i="13"/>
  <c r="K250" i="13"/>
  <c r="H250" i="13"/>
  <c r="J249" i="13"/>
  <c r="J250" i="13" s="1"/>
  <c r="I249" i="13"/>
  <c r="I250" i="13" s="1"/>
  <c r="O242" i="13"/>
  <c r="I233" i="13"/>
  <c r="J233" i="13"/>
  <c r="K234" i="13"/>
  <c r="O234" i="13"/>
  <c r="P234" i="13"/>
  <c r="H234" i="13"/>
  <c r="O215" i="13"/>
  <c r="P215" i="13"/>
  <c r="J196" i="13"/>
  <c r="I196" i="13"/>
  <c r="K197" i="13"/>
  <c r="O197" i="13"/>
  <c r="P197" i="13"/>
  <c r="H197" i="13"/>
  <c r="J178" i="13"/>
  <c r="O175" i="13"/>
  <c r="P175" i="13"/>
  <c r="O170" i="13"/>
  <c r="P170" i="13"/>
  <c r="J139" i="13"/>
  <c r="J141" i="13" s="1"/>
  <c r="I139" i="13"/>
  <c r="I141" i="13" s="1"/>
  <c r="J134" i="13"/>
  <c r="O136" i="13"/>
  <c r="P136" i="13"/>
  <c r="K131" i="13"/>
  <c r="O131" i="13"/>
  <c r="P131" i="13"/>
  <c r="J129" i="13"/>
  <c r="J130" i="13"/>
  <c r="I129" i="13"/>
  <c r="I130" i="13"/>
  <c r="J128" i="13"/>
  <c r="O120" i="13"/>
  <c r="P120" i="13"/>
  <c r="O116" i="13"/>
  <c r="P116" i="13"/>
  <c r="J105" i="13"/>
  <c r="P101" i="13"/>
  <c r="O101" i="13"/>
  <c r="K101" i="13"/>
  <c r="J100" i="13"/>
  <c r="I100" i="13"/>
  <c r="O97" i="13"/>
  <c r="P97" i="13"/>
  <c r="O88" i="13"/>
  <c r="P88" i="13"/>
  <c r="O85" i="13"/>
  <c r="P85" i="13"/>
  <c r="O76" i="13"/>
  <c r="P76" i="13"/>
  <c r="O71" i="13"/>
  <c r="P71" i="13"/>
  <c r="O65" i="13"/>
  <c r="O59" i="13"/>
  <c r="O55" i="13"/>
  <c r="P55" i="13"/>
  <c r="O50" i="13"/>
  <c r="P50" i="13"/>
  <c r="O45" i="13"/>
  <c r="P45" i="13"/>
  <c r="O35" i="13"/>
  <c r="J21" i="13"/>
  <c r="O24" i="13"/>
  <c r="J17" i="13"/>
  <c r="O18" i="13"/>
  <c r="P18" i="13"/>
  <c r="O12" i="13"/>
  <c r="P12" i="13"/>
  <c r="H29" i="4"/>
  <c r="N36" i="4"/>
  <c r="H210" i="4"/>
  <c r="I398" i="4"/>
  <c r="M398" i="4"/>
  <c r="F398" i="4"/>
  <c r="G397" i="4"/>
  <c r="H397" i="4"/>
  <c r="M363" i="4"/>
  <c r="N363" i="4"/>
  <c r="M359" i="4"/>
  <c r="M355" i="4"/>
  <c r="M351" i="4"/>
  <c r="I347" i="4"/>
  <c r="M347" i="4"/>
  <c r="F347" i="4"/>
  <c r="G346" i="4"/>
  <c r="H346" i="4"/>
  <c r="L313" i="4"/>
  <c r="L314" i="4"/>
  <c r="L315" i="4"/>
  <c r="L316" i="4"/>
  <c r="L317" i="4"/>
  <c r="G313" i="4"/>
  <c r="H313" i="4"/>
  <c r="G314" i="4"/>
  <c r="H314" i="4"/>
  <c r="G315" i="4"/>
  <c r="H315" i="4"/>
  <c r="G316" i="4"/>
  <c r="H316" i="4"/>
  <c r="G317" i="4"/>
  <c r="H317" i="4"/>
  <c r="I318" i="4"/>
  <c r="M318" i="4"/>
  <c r="F318" i="4"/>
  <c r="G312" i="4"/>
  <c r="H312" i="4"/>
  <c r="M284" i="4"/>
  <c r="N284" i="4"/>
  <c r="M279" i="4"/>
  <c r="N279" i="4"/>
  <c r="I279" i="4"/>
  <c r="F279" i="4"/>
  <c r="H278" i="4"/>
  <c r="G278" i="4"/>
  <c r="G279" i="4" s="1"/>
  <c r="M275" i="4"/>
  <c r="N275" i="4"/>
  <c r="M269" i="4"/>
  <c r="J316" i="4" l="1"/>
  <c r="J346" i="4"/>
  <c r="K346" i="4" s="1"/>
  <c r="J397" i="4"/>
  <c r="K397" i="4" s="1"/>
  <c r="L249" i="13"/>
  <c r="L250" i="13" s="1"/>
  <c r="L233" i="13"/>
  <c r="M233" i="13" s="1"/>
  <c r="L196" i="13"/>
  <c r="L129" i="13"/>
  <c r="M129" i="13" s="1"/>
  <c r="N129" i="13" s="1"/>
  <c r="Q129" i="13" s="1"/>
  <c r="R129" i="13" s="1"/>
  <c r="L139" i="13"/>
  <c r="L141" i="13" s="1"/>
  <c r="L130" i="13"/>
  <c r="M130" i="13" s="1"/>
  <c r="N130" i="13" s="1"/>
  <c r="Q130" i="13" s="1"/>
  <c r="R130" i="13" s="1"/>
  <c r="L100" i="13"/>
  <c r="M100" i="13" s="1"/>
  <c r="I101" i="13"/>
  <c r="J101" i="13"/>
  <c r="O317" i="4"/>
  <c r="P317" i="4" s="1"/>
  <c r="O315" i="4"/>
  <c r="P315" i="4" s="1"/>
  <c r="J315" i="4"/>
  <c r="O314" i="4"/>
  <c r="P314" i="4" s="1"/>
  <c r="J314" i="4"/>
  <c r="J317" i="4"/>
  <c r="O316" i="4"/>
  <c r="P316" i="4" s="1"/>
  <c r="J312" i="4"/>
  <c r="K312" i="4" s="1"/>
  <c r="O313" i="4"/>
  <c r="P313" i="4" s="1"/>
  <c r="J313" i="4"/>
  <c r="H279" i="4"/>
  <c r="J278" i="4"/>
  <c r="M264" i="4"/>
  <c r="M255" i="4"/>
  <c r="M250" i="4"/>
  <c r="M244" i="4"/>
  <c r="N244" i="4"/>
  <c r="M235" i="4"/>
  <c r="N235" i="4"/>
  <c r="M230" i="4"/>
  <c r="M217" i="4"/>
  <c r="M203" i="4"/>
  <c r="H184" i="4"/>
  <c r="M182" i="4"/>
  <c r="N182" i="4"/>
  <c r="M178" i="4"/>
  <c r="M172" i="4"/>
  <c r="M161" i="4"/>
  <c r="N161" i="4"/>
  <c r="M156" i="4"/>
  <c r="M143" i="4"/>
  <c r="M134" i="4"/>
  <c r="M128" i="4"/>
  <c r="M121" i="4"/>
  <c r="M116" i="4"/>
  <c r="H106" i="4"/>
  <c r="M108" i="4"/>
  <c r="M100" i="4"/>
  <c r="M93" i="4"/>
  <c r="N93" i="4"/>
  <c r="M87" i="4"/>
  <c r="M81" i="4"/>
  <c r="M77" i="4"/>
  <c r="N77" i="4"/>
  <c r="M68" i="4"/>
  <c r="M62" i="4"/>
  <c r="N62" i="4"/>
  <c r="M55" i="4"/>
  <c r="N55" i="4"/>
  <c r="M50" i="4"/>
  <c r="M36" i="4"/>
  <c r="M43" i="4"/>
  <c r="H8" i="4"/>
  <c r="G16" i="4"/>
  <c r="H16" i="4"/>
  <c r="M249" i="13" l="1"/>
  <c r="M250" i="13" s="1"/>
  <c r="N233" i="13"/>
  <c r="M196" i="13"/>
  <c r="N196" i="13" s="1"/>
  <c r="Q196" i="13" s="1"/>
  <c r="R196" i="13" s="1"/>
  <c r="M139" i="13"/>
  <c r="M141" i="13" s="1"/>
  <c r="L101" i="13"/>
  <c r="N100" i="13"/>
  <c r="M101" i="13"/>
  <c r="L397" i="4"/>
  <c r="O397" i="4" s="1"/>
  <c r="P397" i="4" s="1"/>
  <c r="L346" i="4"/>
  <c r="O346" i="4" s="1"/>
  <c r="L312" i="4"/>
  <c r="J279" i="4"/>
  <c r="K278" i="4"/>
  <c r="L278" i="4" s="1"/>
  <c r="O278" i="4" s="1"/>
  <c r="J16" i="4"/>
  <c r="K16" i="4" s="1"/>
  <c r="L16" i="4" l="1"/>
  <c r="O16" i="4" s="1"/>
  <c r="P16" i="4" s="1"/>
  <c r="N249" i="13"/>
  <c r="Q249" i="13" s="1"/>
  <c r="Q233" i="13"/>
  <c r="R233" i="13" s="1"/>
  <c r="N139" i="13"/>
  <c r="N141" i="13" s="1"/>
  <c r="N101" i="13"/>
  <c r="Q100" i="13"/>
  <c r="P346" i="4"/>
  <c r="O312" i="4"/>
  <c r="P312" i="4" s="1"/>
  <c r="K279" i="4"/>
  <c r="N250" i="13" l="1"/>
  <c r="Q250" i="13"/>
  <c r="R249" i="13"/>
  <c r="R250" i="13" s="1"/>
  <c r="Q139" i="13"/>
  <c r="Q141" i="13" s="1"/>
  <c r="Q101" i="13"/>
  <c r="R100" i="13"/>
  <c r="R101" i="13" s="1"/>
  <c r="L279" i="4"/>
  <c r="R139" i="13" l="1"/>
  <c r="R141" i="13" s="1"/>
  <c r="O279" i="4"/>
  <c r="P278" i="4"/>
  <c r="P279" i="4" s="1"/>
  <c r="K104" i="16" l="1"/>
  <c r="K22" i="16"/>
  <c r="J11" i="14"/>
  <c r="K242" i="13"/>
  <c r="P242" i="13"/>
  <c r="K229" i="13"/>
  <c r="P229" i="13"/>
  <c r="K220" i="13"/>
  <c r="P220" i="13"/>
  <c r="K215" i="13"/>
  <c r="K211" i="13"/>
  <c r="P211" i="13"/>
  <c r="J207" i="13"/>
  <c r="K207" i="13"/>
  <c r="P207" i="13"/>
  <c r="J179" i="13"/>
  <c r="K179" i="13"/>
  <c r="P179" i="13"/>
  <c r="K175" i="13"/>
  <c r="K170" i="13"/>
  <c r="J164" i="13"/>
  <c r="K164" i="13"/>
  <c r="P164" i="13"/>
  <c r="P149" i="13"/>
  <c r="P150" i="13" s="1"/>
  <c r="K136" i="13"/>
  <c r="K125" i="13"/>
  <c r="P125" i="13"/>
  <c r="K120" i="13"/>
  <c r="K116" i="13"/>
  <c r="K112" i="13"/>
  <c r="P112" i="13"/>
  <c r="K108" i="13"/>
  <c r="P108" i="13"/>
  <c r="K97" i="13"/>
  <c r="K88" i="13"/>
  <c r="K85" i="13"/>
  <c r="K80" i="13"/>
  <c r="I76" i="13"/>
  <c r="J76" i="13"/>
  <c r="K71" i="13"/>
  <c r="K65" i="13"/>
  <c r="K59" i="13"/>
  <c r="K55" i="13"/>
  <c r="K50" i="13"/>
  <c r="K45" i="13"/>
  <c r="K35" i="13"/>
  <c r="K28" i="13"/>
  <c r="P28" i="13"/>
  <c r="K24" i="13"/>
  <c r="K18" i="13"/>
  <c r="Q13" i="13"/>
  <c r="K12" i="13"/>
  <c r="L17" i="13"/>
  <c r="M17" i="13" s="1"/>
  <c r="G378" i="4"/>
  <c r="H378" i="4"/>
  <c r="I374" i="4"/>
  <c r="N374" i="4"/>
  <c r="I369" i="4"/>
  <c r="N369" i="4"/>
  <c r="I363" i="4"/>
  <c r="I359" i="4"/>
  <c r="N359" i="4"/>
  <c r="I355" i="4"/>
  <c r="N355" i="4"/>
  <c r="I351" i="4"/>
  <c r="N351" i="4"/>
  <c r="I284" i="4"/>
  <c r="I275" i="4"/>
  <c r="I269" i="4"/>
  <c r="N269" i="4"/>
  <c r="I264" i="4"/>
  <c r="I259" i="4"/>
  <c r="N259" i="4"/>
  <c r="I255" i="4"/>
  <c r="I250" i="4"/>
  <c r="N250" i="4"/>
  <c r="I244" i="4"/>
  <c r="I235" i="4"/>
  <c r="I230" i="4"/>
  <c r="N230" i="4"/>
  <c r="G225" i="4"/>
  <c r="H225" i="4"/>
  <c r="I225" i="4"/>
  <c r="N225" i="4"/>
  <c r="I221" i="4"/>
  <c r="N221" i="4"/>
  <c r="I217" i="4"/>
  <c r="I207" i="4"/>
  <c r="N207" i="4"/>
  <c r="I203" i="4"/>
  <c r="I182" i="4"/>
  <c r="I178" i="4"/>
  <c r="N178" i="4"/>
  <c r="I172" i="4"/>
  <c r="N172" i="4"/>
  <c r="I161" i="4"/>
  <c r="I156" i="4"/>
  <c r="N156" i="4"/>
  <c r="I148" i="4"/>
  <c r="N148" i="4"/>
  <c r="I143" i="4"/>
  <c r="N143" i="4"/>
  <c r="I134" i="4"/>
  <c r="I128" i="4"/>
  <c r="N128" i="4"/>
  <c r="I121" i="4"/>
  <c r="N121" i="4"/>
  <c r="I116" i="4"/>
  <c r="N116" i="4"/>
  <c r="I108" i="4"/>
  <c r="N108" i="4"/>
  <c r="I104" i="4"/>
  <c r="N104" i="4"/>
  <c r="I100" i="4"/>
  <c r="I93" i="4"/>
  <c r="I87" i="4"/>
  <c r="N87" i="4"/>
  <c r="I81" i="4"/>
  <c r="I77" i="4"/>
  <c r="I68" i="4"/>
  <c r="I62" i="4"/>
  <c r="I55" i="4"/>
  <c r="I50" i="4"/>
  <c r="I43" i="4"/>
  <c r="I36" i="4"/>
  <c r="J37" i="4"/>
  <c r="K37" i="4" s="1"/>
  <c r="L37" i="4" s="1"/>
  <c r="O37" i="4" s="1"/>
  <c r="J45" i="4"/>
  <c r="K45" i="4" s="1"/>
  <c r="L45" i="4" s="1"/>
  <c r="J53" i="4"/>
  <c r="J97" i="4"/>
  <c r="K97" i="4" s="1"/>
  <c r="J106" i="4"/>
  <c r="K106" i="4" s="1"/>
  <c r="L106" i="4" s="1"/>
  <c r="J133" i="4"/>
  <c r="K133" i="4" s="1"/>
  <c r="L133" i="4" s="1"/>
  <c r="J151" i="4"/>
  <c r="K151" i="4" s="1"/>
  <c r="J159" i="4"/>
  <c r="K159" i="4" s="1"/>
  <c r="J184" i="4"/>
  <c r="J224" i="4"/>
  <c r="K224" i="4" s="1"/>
  <c r="L224" i="4" s="1"/>
  <c r="O224" i="4" s="1"/>
  <c r="O225" i="4" s="1"/>
  <c r="J234" i="4"/>
  <c r="K234" i="4" s="1"/>
  <c r="O1000248" i="4"/>
  <c r="N42" i="4"/>
  <c r="K184" i="4" l="1"/>
  <c r="L184" i="4" s="1"/>
  <c r="N17" i="13"/>
  <c r="Q17" i="13" s="1"/>
  <c r="L76" i="13"/>
  <c r="M76" i="13" s="1"/>
  <c r="L234" i="4"/>
  <c r="O234" i="4" s="1"/>
  <c r="L159" i="4"/>
  <c r="O159" i="4" s="1"/>
  <c r="L151" i="4"/>
  <c r="O151" i="4" s="1"/>
  <c r="L97" i="4"/>
  <c r="O97" i="4" s="1"/>
  <c r="J378" i="4"/>
  <c r="K378" i="4" s="1"/>
  <c r="L225" i="4"/>
  <c r="J225" i="4"/>
  <c r="N43" i="4"/>
  <c r="K53" i="4"/>
  <c r="O184" i="4" l="1"/>
  <c r="L378" i="4"/>
  <c r="O378" i="4" s="1"/>
  <c r="P378" i="4" s="1"/>
  <c r="O106" i="4"/>
  <c r="L53" i="4"/>
  <c r="O45" i="4"/>
  <c r="O53" i="4" l="1"/>
  <c r="H207" i="13" l="1"/>
  <c r="I206" i="13"/>
  <c r="L206" i="13" l="1"/>
  <c r="I207" i="13"/>
  <c r="N345" i="4"/>
  <c r="N347" i="4" s="1"/>
  <c r="N298" i="4"/>
  <c r="H283" i="4"/>
  <c r="N202" i="4"/>
  <c r="N203" i="4" s="1"/>
  <c r="M206" i="13" l="1"/>
  <c r="L207" i="13"/>
  <c r="O133" i="4"/>
  <c r="N206" i="13" l="1"/>
  <c r="M207" i="13"/>
  <c r="J14" i="14"/>
  <c r="G14" i="14"/>
  <c r="H14" i="14"/>
  <c r="I14" i="14"/>
  <c r="F14" i="14"/>
  <c r="L13" i="14"/>
  <c r="K13" i="14"/>
  <c r="G13" i="14"/>
  <c r="H13" i="14"/>
  <c r="A13" i="14"/>
  <c r="K116" i="16"/>
  <c r="P58" i="13"/>
  <c r="P59" i="13" s="1"/>
  <c r="P32" i="13"/>
  <c r="H18" i="13"/>
  <c r="R17" i="13"/>
  <c r="A15" i="13"/>
  <c r="A16" i="13" s="1"/>
  <c r="A17" i="13" s="1"/>
  <c r="A21" i="13" s="1"/>
  <c r="Q206" i="13" l="1"/>
  <c r="N207" i="13"/>
  <c r="N215" i="4"/>
  <c r="N217" i="4" s="1"/>
  <c r="N98" i="4"/>
  <c r="N100" i="4" s="1"/>
  <c r="N46" i="4"/>
  <c r="F87" i="4"/>
  <c r="H85" i="4"/>
  <c r="G85" i="4"/>
  <c r="Q207" i="13" l="1"/>
  <c r="R206" i="13"/>
  <c r="R207" i="13" s="1"/>
  <c r="J85" i="4"/>
  <c r="K85" i="4" s="1"/>
  <c r="N50" i="4"/>
  <c r="N81" i="4"/>
  <c r="P79" i="13"/>
  <c r="P80" i="13" s="1"/>
  <c r="H220" i="13"/>
  <c r="L85" i="4" l="1"/>
  <c r="O85" i="4" s="1"/>
  <c r="P85" i="4" s="1"/>
  <c r="N291" i="4"/>
  <c r="N318" i="4" s="1"/>
  <c r="N253" i="4"/>
  <c r="N255" i="4" s="1"/>
  <c r="N130" i="4"/>
  <c r="N134" i="4" s="1"/>
  <c r="F178" i="4"/>
  <c r="G177" i="4"/>
  <c r="H177" i="4"/>
  <c r="F121" i="4"/>
  <c r="H120" i="4"/>
  <c r="G120" i="4"/>
  <c r="F161" i="4"/>
  <c r="H160" i="4"/>
  <c r="H161" i="4" s="1"/>
  <c r="G160" i="4"/>
  <c r="G311" i="4"/>
  <c r="H311" i="4"/>
  <c r="G14" i="4"/>
  <c r="H14" i="4"/>
  <c r="J120" i="4" l="1"/>
  <c r="K120" i="4" s="1"/>
  <c r="J177" i="4"/>
  <c r="K177" i="4" s="1"/>
  <c r="J160" i="4"/>
  <c r="J311" i="4"/>
  <c r="K311" i="4" s="1"/>
  <c r="L311" i="4" s="1"/>
  <c r="J14" i="4"/>
  <c r="K14" i="4" s="1"/>
  <c r="L14" i="4" s="1"/>
  <c r="G161" i="4"/>
  <c r="O311" i="4" l="1"/>
  <c r="P311" i="4" s="1"/>
  <c r="L177" i="4"/>
  <c r="O177" i="4" s="1"/>
  <c r="P177" i="4" s="1"/>
  <c r="L120" i="4"/>
  <c r="O120" i="4" s="1"/>
  <c r="P120" i="4" s="1"/>
  <c r="O14" i="4"/>
  <c r="K160" i="4"/>
  <c r="L160" i="4" s="1"/>
  <c r="J161" i="4"/>
  <c r="P14" i="4" l="1"/>
  <c r="K161" i="4"/>
  <c r="G136" i="16"/>
  <c r="G122" i="16"/>
  <c r="G85" i="16"/>
  <c r="G80" i="16"/>
  <c r="G75" i="16"/>
  <c r="F30" i="4"/>
  <c r="F36" i="4"/>
  <c r="F43" i="4"/>
  <c r="F100" i="4"/>
  <c r="F275" i="4"/>
  <c r="F374" i="4"/>
  <c r="B10" i="16"/>
  <c r="H85" i="16"/>
  <c r="I85" i="16"/>
  <c r="J85" i="16"/>
  <c r="K84" i="16"/>
  <c r="L84" i="16" s="1"/>
  <c r="H80" i="16"/>
  <c r="I80" i="16"/>
  <c r="J80" i="16"/>
  <c r="K79" i="16"/>
  <c r="L79" i="16" s="1"/>
  <c r="J126" i="16"/>
  <c r="I126" i="16"/>
  <c r="H126" i="16"/>
  <c r="G126" i="16"/>
  <c r="K125" i="16"/>
  <c r="L125" i="16" s="1"/>
  <c r="L126" i="16" s="1"/>
  <c r="H136" i="16"/>
  <c r="I136" i="16"/>
  <c r="J136" i="16"/>
  <c r="K135" i="16"/>
  <c r="L135" i="16" s="1"/>
  <c r="K134" i="16"/>
  <c r="O160" i="4" l="1"/>
  <c r="O161" i="4" s="1"/>
  <c r="L161" i="4"/>
  <c r="K136" i="16"/>
  <c r="K126" i="16"/>
  <c r="J93" i="16" l="1"/>
  <c r="I93" i="16"/>
  <c r="H93" i="16"/>
  <c r="G93" i="16"/>
  <c r="K92" i="16"/>
  <c r="K93" i="16" s="1"/>
  <c r="P34" i="13"/>
  <c r="P35" i="13" s="1"/>
  <c r="L92" i="16" l="1"/>
  <c r="L93" i="16" s="1"/>
  <c r="I21" i="13" l="1"/>
  <c r="H24" i="13"/>
  <c r="J16" i="13"/>
  <c r="I16" i="13"/>
  <c r="A22" i="13"/>
  <c r="J11" i="13"/>
  <c r="I11" i="13"/>
  <c r="N263" i="4"/>
  <c r="N264" i="4" s="1"/>
  <c r="L21" i="13" l="1"/>
  <c r="M21" i="13" s="1"/>
  <c r="N21" i="13" s="1"/>
  <c r="L16" i="13"/>
  <c r="M16" i="13" s="1"/>
  <c r="L11" i="13"/>
  <c r="M11" i="13" s="1"/>
  <c r="N11" i="13" l="1"/>
  <c r="Q11" i="13" s="1"/>
  <c r="R11" i="13" s="1"/>
  <c r="N16" i="13"/>
  <c r="Q16" i="13" s="1"/>
  <c r="R16" i="13" s="1"/>
  <c r="F203" i="4"/>
  <c r="G202" i="4"/>
  <c r="H202" i="4"/>
  <c r="Q21" i="13" l="1"/>
  <c r="J202" i="4"/>
  <c r="K202" i="4" s="1"/>
  <c r="N68" i="4"/>
  <c r="L202" i="4" l="1"/>
  <c r="O202" i="4" s="1"/>
  <c r="P202" i="4" s="1"/>
  <c r="H88" i="13"/>
  <c r="J87" i="13"/>
  <c r="J88" i="13" s="1"/>
  <c r="I87" i="13"/>
  <c r="I88" i="13" s="1"/>
  <c r="I183" i="13"/>
  <c r="J183" i="13"/>
  <c r="I169" i="13"/>
  <c r="J169" i="13"/>
  <c r="H170" i="13"/>
  <c r="I107" i="13"/>
  <c r="J107" i="13"/>
  <c r="P63" i="13"/>
  <c r="P65" i="13" s="1"/>
  <c r="P23" i="13"/>
  <c r="P24" i="13" s="1"/>
  <c r="L183" i="13" l="1"/>
  <c r="M183" i="13" s="1"/>
  <c r="L107" i="13"/>
  <c r="M107" i="13" s="1"/>
  <c r="L169" i="13"/>
  <c r="M169" i="13" s="1"/>
  <c r="L87" i="13"/>
  <c r="N183" i="13" l="1"/>
  <c r="Q183" i="13" s="1"/>
  <c r="R183" i="13" s="1"/>
  <c r="N169" i="13"/>
  <c r="Q169" i="13" s="1"/>
  <c r="R169" i="13" s="1"/>
  <c r="N107" i="13"/>
  <c r="Q107" i="13" s="1"/>
  <c r="R107" i="13" s="1"/>
  <c r="M87" i="13"/>
  <c r="N87" i="13" s="1"/>
  <c r="L88" i="13"/>
  <c r="M88" i="13" l="1"/>
  <c r="K108" i="16"/>
  <c r="K109" i="16" s="1"/>
  <c r="Q87" i="13" l="1"/>
  <c r="N88" i="13"/>
  <c r="L108" i="16"/>
  <c r="L109" i="16" s="1"/>
  <c r="Q88" i="13" l="1"/>
  <c r="R87" i="13"/>
  <c r="R88" i="13" s="1"/>
  <c r="J219" i="13"/>
  <c r="I219" i="13"/>
  <c r="J23" i="13"/>
  <c r="I23" i="13"/>
  <c r="J10" i="13"/>
  <c r="I10" i="13"/>
  <c r="I9" i="13"/>
  <c r="I12" i="13" l="1"/>
  <c r="L10" i="13"/>
  <c r="M10" i="13" s="1"/>
  <c r="N10" i="13" s="1"/>
  <c r="L23" i="13"/>
  <c r="M23" i="13" s="1"/>
  <c r="L219" i="13"/>
  <c r="M219" i="13" s="1"/>
  <c r="N219" i="13" s="1"/>
  <c r="Q219" i="13" s="1"/>
  <c r="R219" i="13" s="1"/>
  <c r="N23" i="13" l="1"/>
  <c r="Q23" i="13" s="1"/>
  <c r="R23" i="13" s="1"/>
  <c r="Q10" i="13"/>
  <c r="G345" i="4"/>
  <c r="H345" i="4"/>
  <c r="R10" i="13" l="1"/>
  <c r="J345" i="4"/>
  <c r="K345" i="4" s="1"/>
  <c r="H186" i="4"/>
  <c r="G186" i="4"/>
  <c r="F116" i="4"/>
  <c r="H113" i="4"/>
  <c r="G113" i="4"/>
  <c r="H86" i="4"/>
  <c r="G86" i="4"/>
  <c r="F62" i="4"/>
  <c r="H61" i="4"/>
  <c r="G61" i="4"/>
  <c r="G65" i="4"/>
  <c r="H65" i="4"/>
  <c r="G66" i="4"/>
  <c r="H66" i="4"/>
  <c r="F50" i="4"/>
  <c r="P45" i="4"/>
  <c r="P97" i="4"/>
  <c r="L345" i="4" l="1"/>
  <c r="O345" i="4" s="1"/>
  <c r="P345" i="4" s="1"/>
  <c r="J61" i="4"/>
  <c r="K61" i="4" s="1"/>
  <c r="L61" i="4" s="1"/>
  <c r="J186" i="4"/>
  <c r="J86" i="4"/>
  <c r="K86" i="4" s="1"/>
  <c r="J65" i="4"/>
  <c r="K65" i="4" s="1"/>
  <c r="L65" i="4" s="1"/>
  <c r="J66" i="4"/>
  <c r="K66" i="4" s="1"/>
  <c r="J113" i="4"/>
  <c r="K113" i="4" s="1"/>
  <c r="L186" i="4" l="1"/>
  <c r="O186" i="4" s="1"/>
  <c r="P186" i="4" s="1"/>
  <c r="L113" i="4"/>
  <c r="O113" i="4" s="1"/>
  <c r="P113" i="4" s="1"/>
  <c r="L66" i="4"/>
  <c r="O66" i="4" s="1"/>
  <c r="P66" i="4" s="1"/>
  <c r="L86" i="4"/>
  <c r="O86" i="4" s="1"/>
  <c r="P86" i="4" s="1"/>
  <c r="O61" i="4"/>
  <c r="P61" i="4" s="1"/>
  <c r="H71" i="13"/>
  <c r="J68" i="13"/>
  <c r="I68" i="13"/>
  <c r="J31" i="13"/>
  <c r="I31" i="13"/>
  <c r="J117" i="16"/>
  <c r="I117" i="16"/>
  <c r="H117" i="16"/>
  <c r="G117" i="16"/>
  <c r="K117" i="16"/>
  <c r="L31" i="13" l="1"/>
  <c r="L68" i="13"/>
  <c r="O65" i="4"/>
  <c r="L116" i="16"/>
  <c r="L117" i="16" s="1"/>
  <c r="K78" i="16"/>
  <c r="K80" i="16" s="1"/>
  <c r="J58" i="16"/>
  <c r="I58" i="16"/>
  <c r="H58" i="16"/>
  <c r="G58" i="16"/>
  <c r="K58" i="16"/>
  <c r="K61" i="16"/>
  <c r="L61" i="16" s="1"/>
  <c r="L62" i="16" s="1"/>
  <c r="G62" i="16"/>
  <c r="H62" i="16"/>
  <c r="I62" i="16"/>
  <c r="J62" i="16"/>
  <c r="K65" i="16"/>
  <c r="K66" i="16" s="1"/>
  <c r="G66" i="16"/>
  <c r="H66" i="16"/>
  <c r="I66" i="16"/>
  <c r="J66" i="16"/>
  <c r="F93" i="4"/>
  <c r="H191" i="4"/>
  <c r="G191" i="4"/>
  <c r="H190" i="4"/>
  <c r="G190" i="4"/>
  <c r="F143" i="4"/>
  <c r="H137" i="4"/>
  <c r="G137" i="4"/>
  <c r="H92" i="4"/>
  <c r="G92" i="4"/>
  <c r="H42" i="4"/>
  <c r="G42" i="4"/>
  <c r="M68" i="13" l="1"/>
  <c r="N68" i="13" s="1"/>
  <c r="J42" i="4"/>
  <c r="K42" i="4" s="1"/>
  <c r="J191" i="4"/>
  <c r="K191" i="4" s="1"/>
  <c r="M31" i="13"/>
  <c r="N31" i="13" s="1"/>
  <c r="J137" i="4"/>
  <c r="K137" i="4" s="1"/>
  <c r="L137" i="4" s="1"/>
  <c r="J92" i="4"/>
  <c r="K92" i="4" s="1"/>
  <c r="J190" i="4"/>
  <c r="P65" i="4"/>
  <c r="L65" i="16"/>
  <c r="L66" i="16" s="1"/>
  <c r="L78" i="16"/>
  <c r="L80" i="16" s="1"/>
  <c r="K62" i="16"/>
  <c r="L57" i="16"/>
  <c r="L58" i="16" s="1"/>
  <c r="L42" i="4" l="1"/>
  <c r="O42" i="4" s="1"/>
  <c r="P42" i="4" s="1"/>
  <c r="L191" i="4"/>
  <c r="O191" i="4" s="1"/>
  <c r="P191" i="4" s="1"/>
  <c r="L92" i="4"/>
  <c r="O92" i="4" s="1"/>
  <c r="P92" i="4" s="1"/>
  <c r="K190" i="4"/>
  <c r="L190" i="4" s="1"/>
  <c r="Q68" i="13" l="1"/>
  <c r="Q31" i="13"/>
  <c r="R31" i="13" s="1"/>
  <c r="O137" i="4"/>
  <c r="J135" i="13"/>
  <c r="J136" i="13" s="1"/>
  <c r="I135" i="13"/>
  <c r="I134" i="13"/>
  <c r="F172" i="4"/>
  <c r="L134" i="13" l="1"/>
  <c r="I136" i="13"/>
  <c r="R68" i="13"/>
  <c r="L135" i="13"/>
  <c r="M135" i="13" s="1"/>
  <c r="O190" i="4"/>
  <c r="P137" i="4"/>
  <c r="N135" i="13" l="1"/>
  <c r="Q135" i="13" s="1"/>
  <c r="R135" i="13" s="1"/>
  <c r="M134" i="13"/>
  <c r="N134" i="13" s="1"/>
  <c r="L136" i="13"/>
  <c r="P190" i="4"/>
  <c r="G326" i="4"/>
  <c r="H326" i="4"/>
  <c r="M136" i="13" l="1"/>
  <c r="J326" i="4"/>
  <c r="K326" i="4" s="1"/>
  <c r="L326" i="4" s="1"/>
  <c r="O326" i="4" s="1"/>
  <c r="P326" i="4" s="1"/>
  <c r="K74" i="16"/>
  <c r="H229" i="13"/>
  <c r="H215" i="13"/>
  <c r="H211" i="13"/>
  <c r="H179" i="13"/>
  <c r="H175" i="13"/>
  <c r="H164" i="13"/>
  <c r="H116" i="13"/>
  <c r="H112" i="13"/>
  <c r="H97" i="13"/>
  <c r="H85" i="13"/>
  <c r="H80" i="13"/>
  <c r="H65" i="13"/>
  <c r="H59" i="13"/>
  <c r="H55" i="13"/>
  <c r="H50" i="13"/>
  <c r="H45" i="13"/>
  <c r="Q134" i="13" l="1"/>
  <c r="Q136" i="13" s="1"/>
  <c r="N136" i="13"/>
  <c r="J19" i="16"/>
  <c r="G19" i="16"/>
  <c r="I18" i="16"/>
  <c r="I19" i="16" s="1"/>
  <c r="H18" i="16"/>
  <c r="H19" i="16" s="1"/>
  <c r="K18" i="16" l="1"/>
  <c r="K19" i="16" s="1"/>
  <c r="L18" i="16" l="1"/>
  <c r="L19" i="16" s="1"/>
  <c r="J131" i="13" l="1"/>
  <c r="J149" i="13" l="1"/>
  <c r="I149" i="13"/>
  <c r="J202" i="13"/>
  <c r="J197" i="13" s="1"/>
  <c r="I202" i="13"/>
  <c r="I197" i="13" s="1"/>
  <c r="L149" i="13" l="1"/>
  <c r="L202" i="13"/>
  <c r="L197" i="13" s="1"/>
  <c r="H242" i="13"/>
  <c r="K50" i="16"/>
  <c r="H75" i="16"/>
  <c r="I75" i="16"/>
  <c r="J75" i="16"/>
  <c r="K54" i="16"/>
  <c r="L54" i="16" s="1"/>
  <c r="F264" i="4"/>
  <c r="M149" i="13" l="1"/>
  <c r="N149" i="13" s="1"/>
  <c r="M202" i="13"/>
  <c r="J111" i="13"/>
  <c r="J112" i="13" s="1"/>
  <c r="I111" i="13"/>
  <c r="I119" i="13"/>
  <c r="J119" i="13"/>
  <c r="I190" i="13"/>
  <c r="J190" i="13"/>
  <c r="G248" i="4"/>
  <c r="H248" i="4"/>
  <c r="Q149" i="13" l="1"/>
  <c r="N202" i="13"/>
  <c r="M197" i="13"/>
  <c r="L190" i="13"/>
  <c r="M190" i="13" s="1"/>
  <c r="L111" i="13"/>
  <c r="L119" i="13"/>
  <c r="J248" i="4"/>
  <c r="K248" i="4" s="1"/>
  <c r="I112" i="13"/>
  <c r="R149" i="13" l="1"/>
  <c r="Q202" i="13"/>
  <c r="N197" i="13"/>
  <c r="N190" i="13"/>
  <c r="Q190" i="13" s="1"/>
  <c r="R190" i="13" s="1"/>
  <c r="M119" i="13"/>
  <c r="N119" i="13" s="1"/>
  <c r="M111" i="13"/>
  <c r="L112" i="13"/>
  <c r="L248" i="4"/>
  <c r="O248" i="4" s="1"/>
  <c r="P248" i="4" s="1"/>
  <c r="J223" i="13"/>
  <c r="I223" i="13"/>
  <c r="J75" i="13"/>
  <c r="I75" i="13"/>
  <c r="J224" i="13"/>
  <c r="I224" i="13"/>
  <c r="J232" i="13"/>
  <c r="I232" i="13"/>
  <c r="I228" i="13"/>
  <c r="I229" i="13" s="1"/>
  <c r="J214" i="13"/>
  <c r="J215" i="13" s="1"/>
  <c r="I214" i="13"/>
  <c r="I215" i="13" s="1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77" i="4"/>
  <c r="G367" i="4"/>
  <c r="H367" i="4"/>
  <c r="G368" i="4"/>
  <c r="H368" i="4"/>
  <c r="I184" i="13"/>
  <c r="J184" i="13"/>
  <c r="I123" i="13"/>
  <c r="J123" i="13"/>
  <c r="J40" i="13"/>
  <c r="J120" i="13" s="1"/>
  <c r="I40" i="13"/>
  <c r="I70" i="13"/>
  <c r="J70" i="13"/>
  <c r="J58" i="13"/>
  <c r="J59" i="13" s="1"/>
  <c r="I58" i="13"/>
  <c r="I59" i="13" s="1"/>
  <c r="I33" i="13"/>
  <c r="J33" i="13"/>
  <c r="J27" i="13"/>
  <c r="I27" i="13"/>
  <c r="I28" i="13" s="1"/>
  <c r="J9" i="13"/>
  <c r="J12" i="13" s="1"/>
  <c r="J89" i="16"/>
  <c r="I89" i="16"/>
  <c r="H89" i="16"/>
  <c r="G89" i="16"/>
  <c r="K88" i="16"/>
  <c r="K89" i="16" s="1"/>
  <c r="L134" i="16"/>
  <c r="L136" i="16" s="1"/>
  <c r="K96" i="16"/>
  <c r="K97" i="16" s="1"/>
  <c r="K26" i="16"/>
  <c r="K27" i="16" s="1"/>
  <c r="J27" i="16"/>
  <c r="I27" i="16"/>
  <c r="H27" i="16"/>
  <c r="G27" i="16"/>
  <c r="J15" i="16"/>
  <c r="G15" i="16"/>
  <c r="I14" i="16"/>
  <c r="I15" i="16" s="1"/>
  <c r="H14" i="16"/>
  <c r="G11" i="16"/>
  <c r="K11" i="16"/>
  <c r="J11" i="16"/>
  <c r="I11" i="16"/>
  <c r="H30" i="4"/>
  <c r="N30" i="4"/>
  <c r="F369" i="4"/>
  <c r="F363" i="4"/>
  <c r="F359" i="4"/>
  <c r="F355" i="4"/>
  <c r="F351" i="4"/>
  <c r="F284" i="4"/>
  <c r="F269" i="4"/>
  <c r="F255" i="4"/>
  <c r="F250" i="4"/>
  <c r="F244" i="4"/>
  <c r="F235" i="4"/>
  <c r="F230" i="4"/>
  <c r="F225" i="4"/>
  <c r="F221" i="4"/>
  <c r="F217" i="4"/>
  <c r="F207" i="4"/>
  <c r="F182" i="4"/>
  <c r="F156" i="4"/>
  <c r="F148" i="4"/>
  <c r="F134" i="4"/>
  <c r="F128" i="4"/>
  <c r="F108" i="4"/>
  <c r="F104" i="4"/>
  <c r="F81" i="4"/>
  <c r="F77" i="4"/>
  <c r="F68" i="4"/>
  <c r="F55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309" i="4"/>
  <c r="H309" i="4"/>
  <c r="G310" i="4"/>
  <c r="H310" i="4"/>
  <c r="G290" i="4"/>
  <c r="G288" i="4"/>
  <c r="G286" i="4"/>
  <c r="H286" i="4"/>
  <c r="G287" i="4"/>
  <c r="H287" i="4"/>
  <c r="H288" i="4"/>
  <c r="G289" i="4"/>
  <c r="H289" i="4"/>
  <c r="H290" i="4"/>
  <c r="H119" i="4"/>
  <c r="H121" i="4" s="1"/>
  <c r="H115" i="4"/>
  <c r="G112" i="4"/>
  <c r="I225" i="13" l="1"/>
  <c r="J225" i="13"/>
  <c r="Q197" i="13"/>
  <c r="J287" i="4"/>
  <c r="K287" i="4" s="1"/>
  <c r="L287" i="4" s="1"/>
  <c r="O287" i="4" s="1"/>
  <c r="H398" i="4"/>
  <c r="I234" i="13"/>
  <c r="J234" i="13"/>
  <c r="L123" i="13"/>
  <c r="M123" i="13" s="1"/>
  <c r="N123" i="13" s="1"/>
  <c r="L224" i="13"/>
  <c r="M224" i="13" s="1"/>
  <c r="R202" i="13"/>
  <c r="L75" i="13"/>
  <c r="M75" i="13" s="1"/>
  <c r="L70" i="13"/>
  <c r="M70" i="13" s="1"/>
  <c r="N111" i="13"/>
  <c r="M112" i="13"/>
  <c r="H318" i="4"/>
  <c r="G318" i="4"/>
  <c r="L184" i="13"/>
  <c r="L214" i="13"/>
  <c r="L27" i="13"/>
  <c r="J28" i="13"/>
  <c r="L223" i="13"/>
  <c r="L33" i="13"/>
  <c r="M33" i="13" s="1"/>
  <c r="L40" i="13"/>
  <c r="L58" i="13"/>
  <c r="L232" i="13"/>
  <c r="L9" i="13"/>
  <c r="M9" i="13" s="1"/>
  <c r="J293" i="4"/>
  <c r="K293" i="4" s="1"/>
  <c r="L293" i="4" s="1"/>
  <c r="J297" i="4"/>
  <c r="K297" i="4" s="1"/>
  <c r="L297" i="4" s="1"/>
  <c r="J309" i="4"/>
  <c r="K309" i="4" s="1"/>
  <c r="L309" i="4" s="1"/>
  <c r="J305" i="4"/>
  <c r="K305" i="4" s="1"/>
  <c r="L305" i="4" s="1"/>
  <c r="J301" i="4"/>
  <c r="K301" i="4" s="1"/>
  <c r="L301" i="4" s="1"/>
  <c r="J286" i="4"/>
  <c r="J308" i="4"/>
  <c r="K308" i="4" s="1"/>
  <c r="L308" i="4" s="1"/>
  <c r="J304" i="4"/>
  <c r="K304" i="4" s="1"/>
  <c r="L304" i="4" s="1"/>
  <c r="J300" i="4"/>
  <c r="K300" i="4" s="1"/>
  <c r="L300" i="4" s="1"/>
  <c r="J296" i="4"/>
  <c r="K296" i="4" s="1"/>
  <c r="L296" i="4" s="1"/>
  <c r="J292" i="4"/>
  <c r="K292" i="4" s="1"/>
  <c r="L292" i="4" s="1"/>
  <c r="J307" i="4"/>
  <c r="K307" i="4" s="1"/>
  <c r="L307" i="4" s="1"/>
  <c r="J303" i="4"/>
  <c r="K303" i="4" s="1"/>
  <c r="L303" i="4" s="1"/>
  <c r="J299" i="4"/>
  <c r="K299" i="4" s="1"/>
  <c r="L299" i="4" s="1"/>
  <c r="J295" i="4"/>
  <c r="K295" i="4" s="1"/>
  <c r="L295" i="4" s="1"/>
  <c r="J291" i="4"/>
  <c r="K291" i="4" s="1"/>
  <c r="L291" i="4" s="1"/>
  <c r="J310" i="4"/>
  <c r="K310" i="4" s="1"/>
  <c r="L310" i="4" s="1"/>
  <c r="J306" i="4"/>
  <c r="K306" i="4" s="1"/>
  <c r="L306" i="4" s="1"/>
  <c r="J302" i="4"/>
  <c r="K302" i="4" s="1"/>
  <c r="L302" i="4" s="1"/>
  <c r="J298" i="4"/>
  <c r="K298" i="4" s="1"/>
  <c r="L298" i="4" s="1"/>
  <c r="J294" i="4"/>
  <c r="K294" i="4" s="1"/>
  <c r="L294" i="4" s="1"/>
  <c r="J290" i="4"/>
  <c r="J289" i="4"/>
  <c r="K289" i="4" s="1"/>
  <c r="L289" i="4" s="1"/>
  <c r="J368" i="4"/>
  <c r="K368" i="4" s="1"/>
  <c r="L368" i="4" s="1"/>
  <c r="O368" i="4" s="1"/>
  <c r="P368" i="4" s="1"/>
  <c r="J288" i="4"/>
  <c r="K288" i="4" s="1"/>
  <c r="J367" i="4"/>
  <c r="K367" i="4" s="1"/>
  <c r="L367" i="4" s="1"/>
  <c r="O367" i="4" s="1"/>
  <c r="P367" i="4" s="1"/>
  <c r="I120" i="13"/>
  <c r="R134" i="13"/>
  <c r="R136" i="13" s="1"/>
  <c r="L88" i="16"/>
  <c r="L89" i="16" s="1"/>
  <c r="K14" i="16"/>
  <c r="K15" i="16" s="1"/>
  <c r="L26" i="16"/>
  <c r="L27" i="16" s="1"/>
  <c r="H15" i="16"/>
  <c r="L10" i="16"/>
  <c r="L11" i="16" s="1"/>
  <c r="H11" i="16"/>
  <c r="G8" i="4"/>
  <c r="G9" i="4"/>
  <c r="H9" i="4"/>
  <c r="G10" i="4"/>
  <c r="H10" i="4"/>
  <c r="H12" i="4"/>
  <c r="G12" i="4"/>
  <c r="G13" i="4"/>
  <c r="H13" i="4"/>
  <c r="G11" i="4"/>
  <c r="L225" i="13" l="1"/>
  <c r="R197" i="13"/>
  <c r="L234" i="13"/>
  <c r="N224" i="13"/>
  <c r="N70" i="13"/>
  <c r="Q70" i="13" s="1"/>
  <c r="R70" i="13" s="1"/>
  <c r="M12" i="13"/>
  <c r="N9" i="13"/>
  <c r="N75" i="13"/>
  <c r="N76" i="13" s="1"/>
  <c r="N33" i="13"/>
  <c r="Q33" i="13" s="1"/>
  <c r="R33" i="13" s="1"/>
  <c r="M40" i="13"/>
  <c r="N40" i="13" s="1"/>
  <c r="L120" i="13"/>
  <c r="Q111" i="13"/>
  <c r="N112" i="13"/>
  <c r="M58" i="13"/>
  <c r="N58" i="13" s="1"/>
  <c r="L59" i="13"/>
  <c r="M223" i="13"/>
  <c r="Q119" i="13"/>
  <c r="M214" i="13"/>
  <c r="N214" i="13" s="1"/>
  <c r="N215" i="13" s="1"/>
  <c r="L215" i="13"/>
  <c r="K286" i="4"/>
  <c r="L286" i="4" s="1"/>
  <c r="J318" i="4"/>
  <c r="L288" i="4"/>
  <c r="O288" i="4" s="1"/>
  <c r="O289" i="4"/>
  <c r="O299" i="4"/>
  <c r="O294" i="4"/>
  <c r="O303" i="4"/>
  <c r="O301" i="4"/>
  <c r="O295" i="4"/>
  <c r="O298" i="4"/>
  <c r="O307" i="4"/>
  <c r="O305" i="4"/>
  <c r="O302" i="4"/>
  <c r="O292" i="4"/>
  <c r="O309" i="4"/>
  <c r="O308" i="4"/>
  <c r="O306" i="4"/>
  <c r="O296" i="4"/>
  <c r="O297" i="4"/>
  <c r="O310" i="4"/>
  <c r="O300" i="4"/>
  <c r="O291" i="4"/>
  <c r="O304" i="4"/>
  <c r="O293" i="4"/>
  <c r="M232" i="13"/>
  <c r="M184" i="13"/>
  <c r="N184" i="13" s="1"/>
  <c r="L12" i="13"/>
  <c r="L28" i="13"/>
  <c r="M27" i="13"/>
  <c r="K290" i="4"/>
  <c r="L290" i="4" s="1"/>
  <c r="J8" i="4"/>
  <c r="J12" i="4"/>
  <c r="K12" i="4" s="1"/>
  <c r="L12" i="4" s="1"/>
  <c r="J9" i="4"/>
  <c r="K9" i="4" s="1"/>
  <c r="L9" i="4" s="1"/>
  <c r="J10" i="4"/>
  <c r="K10" i="4" s="1"/>
  <c r="L10" i="4" s="1"/>
  <c r="J13" i="4"/>
  <c r="K13" i="4" s="1"/>
  <c r="L13" i="4" s="1"/>
  <c r="L14" i="16"/>
  <c r="L15" i="16" s="1"/>
  <c r="N223" i="13" l="1"/>
  <c r="N225" i="13" s="1"/>
  <c r="M225" i="13"/>
  <c r="Q224" i="13"/>
  <c r="N232" i="13"/>
  <c r="N234" i="13" s="1"/>
  <c r="M234" i="13"/>
  <c r="Q75" i="13"/>
  <c r="Q76" i="13" s="1"/>
  <c r="R119" i="13"/>
  <c r="M120" i="13"/>
  <c r="M59" i="13"/>
  <c r="M215" i="13"/>
  <c r="Q112" i="13"/>
  <c r="R111" i="13"/>
  <c r="R112" i="13" s="1"/>
  <c r="L318" i="4"/>
  <c r="K318" i="4"/>
  <c r="O286" i="4"/>
  <c r="O10" i="4"/>
  <c r="P10" i="4" s="1"/>
  <c r="O12" i="4"/>
  <c r="P12" i="4" s="1"/>
  <c r="O13" i="4"/>
  <c r="O9" i="4"/>
  <c r="P9" i="4" s="1"/>
  <c r="Q123" i="13"/>
  <c r="R123" i="13" s="1"/>
  <c r="N27" i="13"/>
  <c r="M28" i="13"/>
  <c r="N12" i="13"/>
  <c r="K8" i="4"/>
  <c r="J167" i="13"/>
  <c r="I167" i="13"/>
  <c r="I105" i="13"/>
  <c r="L8" i="4" l="1"/>
  <c r="L105" i="13"/>
  <c r="Q58" i="13"/>
  <c r="N59" i="13"/>
  <c r="Q40" i="13"/>
  <c r="N120" i="13"/>
  <c r="Q223" i="13"/>
  <c r="Q225" i="13" s="1"/>
  <c r="Q214" i="13"/>
  <c r="Q215" i="13" s="1"/>
  <c r="P13" i="4"/>
  <c r="Q232" i="13"/>
  <c r="Q234" i="13" s="1"/>
  <c r="Q184" i="13"/>
  <c r="R184" i="13" s="1"/>
  <c r="L167" i="13"/>
  <c r="Q9" i="13"/>
  <c r="Q12" i="13" s="1"/>
  <c r="Q27" i="13"/>
  <c r="Q28" i="13" s="1"/>
  <c r="N28" i="13"/>
  <c r="O290" i="4"/>
  <c r="O318" i="4" s="1"/>
  <c r="H122" i="16"/>
  <c r="I122" i="16"/>
  <c r="J122" i="16"/>
  <c r="K120" i="16"/>
  <c r="L120" i="16" s="1"/>
  <c r="R223" i="13" l="1"/>
  <c r="Q59" i="13"/>
  <c r="R58" i="13"/>
  <c r="R59" i="13" s="1"/>
  <c r="R40" i="13"/>
  <c r="R120" i="13" s="1"/>
  <c r="Q120" i="13"/>
  <c r="M167" i="13"/>
  <c r="N167" i="13" s="1"/>
  <c r="R214" i="13"/>
  <c r="R215" i="13" s="1"/>
  <c r="M105" i="13"/>
  <c r="N105" i="13" s="1"/>
  <c r="R9" i="13"/>
  <c r="R12" i="13" s="1"/>
  <c r="O8" i="4"/>
  <c r="K73" i="16"/>
  <c r="K121" i="16"/>
  <c r="K122" i="16" s="1"/>
  <c r="J218" i="13"/>
  <c r="J220" i="13" s="1"/>
  <c r="J106" i="13"/>
  <c r="J108" i="13" s="1"/>
  <c r="K83" i="16"/>
  <c r="K85" i="16" s="1"/>
  <c r="J105" i="16"/>
  <c r="I105" i="16"/>
  <c r="H105" i="16"/>
  <c r="G105" i="16"/>
  <c r="K105" i="16"/>
  <c r="J51" i="16"/>
  <c r="I51" i="16"/>
  <c r="H51" i="16"/>
  <c r="G51" i="16"/>
  <c r="K51" i="16"/>
  <c r="P8" i="4" l="1"/>
  <c r="L73" i="16"/>
  <c r="K75" i="16"/>
  <c r="L83" i="16"/>
  <c r="L85" i="16" s="1"/>
  <c r="L74" i="16"/>
  <c r="L104" i="16"/>
  <c r="L105" i="16" s="1"/>
  <c r="L50" i="16"/>
  <c r="L51" i="16" s="1"/>
  <c r="Q105" i="13" l="1"/>
  <c r="Q167" i="13"/>
  <c r="L75" i="16"/>
  <c r="F259" i="4"/>
  <c r="G373" i="4"/>
  <c r="H373" i="4"/>
  <c r="P288" i="4"/>
  <c r="G343" i="4"/>
  <c r="H343" i="4"/>
  <c r="J124" i="13"/>
  <c r="J125" i="13" s="1"/>
  <c r="I124" i="13"/>
  <c r="I125" i="13" s="1"/>
  <c r="H350" i="4"/>
  <c r="H351" i="4" s="1"/>
  <c r="G350" i="4"/>
  <c r="G351" i="4" s="1"/>
  <c r="H200" i="4"/>
  <c r="G200" i="4"/>
  <c r="I163" i="13"/>
  <c r="R105" i="13" l="1"/>
  <c r="R167" i="13"/>
  <c r="L124" i="13"/>
  <c r="I164" i="13"/>
  <c r="L163" i="13"/>
  <c r="J350" i="4"/>
  <c r="J343" i="4"/>
  <c r="K343" i="4" s="1"/>
  <c r="J373" i="4"/>
  <c r="K373" i="4" s="1"/>
  <c r="L373" i="4" s="1"/>
  <c r="O373" i="4" s="1"/>
  <c r="P373" i="4" s="1"/>
  <c r="J200" i="4"/>
  <c r="K200" i="4" s="1"/>
  <c r="P308" i="4"/>
  <c r="P310" i="4"/>
  <c r="P309" i="4"/>
  <c r="M163" i="13" l="1"/>
  <c r="L164" i="13"/>
  <c r="L343" i="4"/>
  <c r="O343" i="4" s="1"/>
  <c r="P343" i="4" s="1"/>
  <c r="L200" i="4"/>
  <c r="O200" i="4" s="1"/>
  <c r="P200" i="4" s="1"/>
  <c r="M124" i="13"/>
  <c r="N124" i="13" s="1"/>
  <c r="L125" i="13"/>
  <c r="K350" i="4"/>
  <c r="L350" i="4" s="1"/>
  <c r="O350" i="4" s="1"/>
  <c r="P350" i="4" s="1"/>
  <c r="J351" i="4"/>
  <c r="N163" i="13" l="1"/>
  <c r="M164" i="13"/>
  <c r="M125" i="13"/>
  <c r="K351" i="4"/>
  <c r="J39" i="16"/>
  <c r="I39" i="16"/>
  <c r="H39" i="16"/>
  <c r="G39" i="16"/>
  <c r="K38" i="16"/>
  <c r="L38" i="16" s="1"/>
  <c r="L39" i="16" s="1"/>
  <c r="J54" i="13"/>
  <c r="J55" i="13" s="1"/>
  <c r="I54" i="13"/>
  <c r="I55" i="13" s="1"/>
  <c r="G155" i="4"/>
  <c r="Q163" i="13" l="1"/>
  <c r="N164" i="13"/>
  <c r="Q124" i="13"/>
  <c r="N125" i="13"/>
  <c r="L54" i="13"/>
  <c r="L351" i="4"/>
  <c r="B14" i="16"/>
  <c r="P160" i="4"/>
  <c r="K39" i="16"/>
  <c r="M54" i="13" l="1"/>
  <c r="L55" i="13"/>
  <c r="Q164" i="13"/>
  <c r="R163" i="13"/>
  <c r="R164" i="13" s="1"/>
  <c r="Q125" i="13"/>
  <c r="R124" i="13"/>
  <c r="R125" i="13" s="1"/>
  <c r="O351" i="4"/>
  <c r="P351" i="4"/>
  <c r="B18" i="16"/>
  <c r="B22" i="16" s="1"/>
  <c r="B26" i="16" s="1"/>
  <c r="B30" i="16" s="1"/>
  <c r="M55" i="13" l="1"/>
  <c r="N54" i="13" s="1"/>
  <c r="I200" i="13"/>
  <c r="I189" i="13"/>
  <c r="J189" i="13"/>
  <c r="G74" i="4"/>
  <c r="H74" i="4"/>
  <c r="H11" i="14"/>
  <c r="G11" i="14"/>
  <c r="H10" i="14"/>
  <c r="G10" i="14"/>
  <c r="K10" i="14" s="1"/>
  <c r="H8" i="14"/>
  <c r="G8" i="14"/>
  <c r="J200" i="13"/>
  <c r="J79" i="13"/>
  <c r="I79" i="13"/>
  <c r="I80" i="13" s="1"/>
  <c r="I84" i="13"/>
  <c r="J84" i="13"/>
  <c r="I83" i="13"/>
  <c r="G325" i="4"/>
  <c r="H325" i="4"/>
  <c r="I85" i="13" l="1"/>
  <c r="L84" i="13"/>
  <c r="M84" i="13" s="1"/>
  <c r="N84" i="13" s="1"/>
  <c r="Q84" i="13" s="1"/>
  <c r="R84" i="13" s="1"/>
  <c r="L200" i="13"/>
  <c r="L189" i="13"/>
  <c r="Q54" i="13"/>
  <c r="N55" i="13"/>
  <c r="J80" i="13"/>
  <c r="L79" i="13"/>
  <c r="J74" i="4"/>
  <c r="K74" i="4" s="1"/>
  <c r="J325" i="4"/>
  <c r="K325" i="4" s="1"/>
  <c r="L325" i="4" s="1"/>
  <c r="O325" i="4" s="1"/>
  <c r="P325" i="4" s="1"/>
  <c r="K8" i="14"/>
  <c r="L8" i="14" s="1"/>
  <c r="K11" i="14"/>
  <c r="L11" i="14" s="1"/>
  <c r="P224" i="4"/>
  <c r="P225" i="4" s="1"/>
  <c r="L10" i="14"/>
  <c r="M200" i="13" l="1"/>
  <c r="M189" i="13"/>
  <c r="M79" i="13"/>
  <c r="L80" i="13"/>
  <c r="R54" i="13"/>
  <c r="R55" i="13" s="1"/>
  <c r="Q55" i="13"/>
  <c r="L74" i="4"/>
  <c r="O74" i="4" s="1"/>
  <c r="L14" i="14"/>
  <c r="K14" i="14"/>
  <c r="A33" i="4"/>
  <c r="A34" i="4" s="1"/>
  <c r="A35" i="4" s="1"/>
  <c r="A39" i="4" s="1"/>
  <c r="A40" i="4" s="1"/>
  <c r="A41" i="4" s="1"/>
  <c r="P286" i="4"/>
  <c r="N200" i="13" l="1"/>
  <c r="N189" i="13"/>
  <c r="Q189" i="13" s="1"/>
  <c r="N79" i="13"/>
  <c r="M80" i="13"/>
  <c r="A42" i="4"/>
  <c r="A45" i="4" s="1"/>
  <c r="A46" i="4" s="1"/>
  <c r="A47" i="4" s="1"/>
  <c r="A48" i="4" s="1"/>
  <c r="A49" i="4" s="1"/>
  <c r="J201" i="13"/>
  <c r="J203" i="13" s="1"/>
  <c r="I201" i="13"/>
  <c r="I203" i="13" s="1"/>
  <c r="I185" i="13"/>
  <c r="I191" i="13"/>
  <c r="I193" i="13" s="1"/>
  <c r="J191" i="13"/>
  <c r="J193" i="13" s="1"/>
  <c r="J185" i="13"/>
  <c r="J182" i="13"/>
  <c r="I182" i="13"/>
  <c r="I178" i="13"/>
  <c r="L178" i="13" s="1"/>
  <c r="J173" i="13"/>
  <c r="I173" i="13"/>
  <c r="I49" i="13"/>
  <c r="J49" i="13"/>
  <c r="J39" i="13"/>
  <c r="I39" i="13"/>
  <c r="I32" i="13"/>
  <c r="J32" i="13"/>
  <c r="H330" i="4"/>
  <c r="H331" i="4"/>
  <c r="H332" i="4"/>
  <c r="H333" i="4"/>
  <c r="H334" i="4"/>
  <c r="H335" i="4"/>
  <c r="H340" i="4"/>
  <c r="H336" i="4"/>
  <c r="H339" i="4"/>
  <c r="H342" i="4"/>
  <c r="H337" i="4"/>
  <c r="H338" i="4"/>
  <c r="H341" i="4"/>
  <c r="H344" i="4"/>
  <c r="G330" i="4"/>
  <c r="G331" i="4"/>
  <c r="G332" i="4"/>
  <c r="G333" i="4"/>
  <c r="G334" i="4"/>
  <c r="G335" i="4"/>
  <c r="G340" i="4"/>
  <c r="G336" i="4"/>
  <c r="G339" i="4"/>
  <c r="G342" i="4"/>
  <c r="G337" i="4"/>
  <c r="G338" i="4"/>
  <c r="G341" i="4"/>
  <c r="G344" i="4"/>
  <c r="G329" i="4"/>
  <c r="H329" i="4"/>
  <c r="G324" i="4"/>
  <c r="H324" i="4"/>
  <c r="G79" i="4"/>
  <c r="H79" i="4"/>
  <c r="H71" i="4"/>
  <c r="G71" i="4"/>
  <c r="B34" i="16"/>
  <c r="B38" i="16" s="1"/>
  <c r="B42" i="16" s="1"/>
  <c r="K999987" i="16"/>
  <c r="C16662" i="16"/>
  <c r="C16664" i="16" s="1"/>
  <c r="J109" i="16"/>
  <c r="G109" i="16"/>
  <c r="J101" i="16"/>
  <c r="G101" i="16"/>
  <c r="K100" i="16"/>
  <c r="L100" i="16" s="1"/>
  <c r="I101" i="16"/>
  <c r="J97" i="16"/>
  <c r="G97" i="16"/>
  <c r="L96" i="16"/>
  <c r="I97" i="16"/>
  <c r="J55" i="16"/>
  <c r="G55" i="16"/>
  <c r="J47" i="16"/>
  <c r="G47" i="16"/>
  <c r="I47" i="16"/>
  <c r="H47" i="16"/>
  <c r="K46" i="16"/>
  <c r="L46" i="16" s="1"/>
  <c r="J43" i="16"/>
  <c r="G43" i="16"/>
  <c r="K42" i="16"/>
  <c r="L42" i="16" s="1"/>
  <c r="J35" i="16"/>
  <c r="G35" i="16"/>
  <c r="I35" i="16"/>
  <c r="K34" i="16"/>
  <c r="J31" i="16"/>
  <c r="G31" i="16"/>
  <c r="K30" i="16"/>
  <c r="L30" i="16" s="1"/>
  <c r="J23" i="16"/>
  <c r="G23" i="16"/>
  <c r="I23" i="16"/>
  <c r="H23" i="16"/>
  <c r="L22" i="16"/>
  <c r="G138" i="16" l="1"/>
  <c r="J138" i="16"/>
  <c r="I186" i="13"/>
  <c r="Q200" i="13"/>
  <c r="R189" i="13"/>
  <c r="J186" i="13"/>
  <c r="L49" i="13"/>
  <c r="M49" i="13" s="1"/>
  <c r="M178" i="13"/>
  <c r="L179" i="13"/>
  <c r="L201" i="13"/>
  <c r="Q79" i="13"/>
  <c r="N80" i="13"/>
  <c r="H347" i="4"/>
  <c r="G347" i="4"/>
  <c r="L32" i="13"/>
  <c r="L39" i="13"/>
  <c r="M39" i="13" s="1"/>
  <c r="L185" i="13"/>
  <c r="L182" i="13"/>
  <c r="L173" i="13"/>
  <c r="L191" i="13"/>
  <c r="J338" i="4"/>
  <c r="K338" i="4" s="1"/>
  <c r="J342" i="4"/>
  <c r="K342" i="4" s="1"/>
  <c r="J336" i="4"/>
  <c r="K336" i="4" s="1"/>
  <c r="J330" i="4"/>
  <c r="K330" i="4" s="1"/>
  <c r="J333" i="4"/>
  <c r="K333" i="4" s="1"/>
  <c r="J344" i="4"/>
  <c r="K344" i="4" s="1"/>
  <c r="J79" i="4"/>
  <c r="K79" i="4" s="1"/>
  <c r="J335" i="4"/>
  <c r="J337" i="4"/>
  <c r="K337" i="4" s="1"/>
  <c r="J341" i="4"/>
  <c r="K341" i="4" s="1"/>
  <c r="J334" i="4"/>
  <c r="K334" i="4" s="1"/>
  <c r="J332" i="4"/>
  <c r="K332" i="4" s="1"/>
  <c r="J71" i="4"/>
  <c r="J339" i="4"/>
  <c r="K339" i="4" s="1"/>
  <c r="J331" i="4"/>
  <c r="K331" i="4" s="1"/>
  <c r="J329" i="4"/>
  <c r="J340" i="4"/>
  <c r="K340" i="4" s="1"/>
  <c r="J324" i="4"/>
  <c r="K324" i="4" s="1"/>
  <c r="L324" i="4" s="1"/>
  <c r="O324" i="4" s="1"/>
  <c r="P324" i="4" s="1"/>
  <c r="R27" i="13"/>
  <c r="R28" i="13" s="1"/>
  <c r="L101" i="16"/>
  <c r="I43" i="16"/>
  <c r="I109" i="16"/>
  <c r="H101" i="16"/>
  <c r="H43" i="16"/>
  <c r="I55" i="16"/>
  <c r="I31" i="16"/>
  <c r="I138" i="16" s="1"/>
  <c r="H35" i="16"/>
  <c r="H138" i="16" s="1"/>
  <c r="H55" i="16"/>
  <c r="H97" i="16"/>
  <c r="L34" i="16"/>
  <c r="H31" i="16"/>
  <c r="H109" i="16"/>
  <c r="L121" i="16"/>
  <c r="L122" i="16" s="1"/>
  <c r="R200" i="13" l="1"/>
  <c r="M201" i="13"/>
  <c r="L203" i="13"/>
  <c r="L186" i="13"/>
  <c r="M191" i="13"/>
  <c r="M193" i="13" s="1"/>
  <c r="L193" i="13"/>
  <c r="N191" i="13"/>
  <c r="N39" i="13"/>
  <c r="N49" i="13"/>
  <c r="Q49" i="13" s="1"/>
  <c r="R49" i="13" s="1"/>
  <c r="Q80" i="13"/>
  <c r="R79" i="13"/>
  <c r="R80" i="13" s="1"/>
  <c r="M173" i="13"/>
  <c r="N173" i="13" s="1"/>
  <c r="M182" i="13"/>
  <c r="N182" i="13" s="1"/>
  <c r="N178" i="13"/>
  <c r="M179" i="13"/>
  <c r="J347" i="4"/>
  <c r="L339" i="4"/>
  <c r="O339" i="4" s="1"/>
  <c r="P339" i="4" s="1"/>
  <c r="L344" i="4"/>
  <c r="O344" i="4" s="1"/>
  <c r="P344" i="4" s="1"/>
  <c r="L332" i="4"/>
  <c r="O332" i="4" s="1"/>
  <c r="P332" i="4" s="1"/>
  <c r="L337" i="4"/>
  <c r="O337" i="4" s="1"/>
  <c r="P337" i="4" s="1"/>
  <c r="L330" i="4"/>
  <c r="O330" i="4" s="1"/>
  <c r="P330" i="4" s="1"/>
  <c r="L334" i="4"/>
  <c r="O334" i="4" s="1"/>
  <c r="P334" i="4" s="1"/>
  <c r="L336" i="4"/>
  <c r="O336" i="4" s="1"/>
  <c r="L342" i="4"/>
  <c r="O342" i="4" s="1"/>
  <c r="P342" i="4" s="1"/>
  <c r="L338" i="4"/>
  <c r="O338" i="4" s="1"/>
  <c r="P338" i="4" s="1"/>
  <c r="L333" i="4"/>
  <c r="O333" i="4" s="1"/>
  <c r="P333" i="4" s="1"/>
  <c r="L341" i="4"/>
  <c r="O341" i="4" s="1"/>
  <c r="P341" i="4" s="1"/>
  <c r="L340" i="4"/>
  <c r="O340" i="4" s="1"/>
  <c r="P340" i="4" s="1"/>
  <c r="K329" i="4"/>
  <c r="L331" i="4"/>
  <c r="O331" i="4" s="1"/>
  <c r="P331" i="4" s="1"/>
  <c r="M185" i="13"/>
  <c r="M32" i="13"/>
  <c r="N32" i="13" s="1"/>
  <c r="K335" i="4"/>
  <c r="L335" i="4" s="1"/>
  <c r="L79" i="4"/>
  <c r="K71" i="4"/>
  <c r="L71" i="4" s="1"/>
  <c r="L35" i="16"/>
  <c r="K101" i="16"/>
  <c r="K47" i="16"/>
  <c r="K23" i="16"/>
  <c r="K35" i="16"/>
  <c r="L97" i="16"/>
  <c r="L23" i="16"/>
  <c r="K43" i="16"/>
  <c r="L43" i="16"/>
  <c r="L47" i="16"/>
  <c r="K55" i="16"/>
  <c r="L31" i="16"/>
  <c r="K31" i="16"/>
  <c r="L55" i="16"/>
  <c r="K138" i="16" l="1"/>
  <c r="L138" i="16"/>
  <c r="N201" i="13"/>
  <c r="M203" i="13"/>
  <c r="Q191" i="13"/>
  <c r="Q193" i="13" s="1"/>
  <c r="N193" i="13"/>
  <c r="N185" i="13"/>
  <c r="N186" i="13" s="1"/>
  <c r="M186" i="13"/>
  <c r="Q39" i="13"/>
  <c r="P336" i="4"/>
  <c r="K347" i="4"/>
  <c r="Q178" i="13"/>
  <c r="Q179" i="13" s="1"/>
  <c r="N179" i="13"/>
  <c r="L329" i="4"/>
  <c r="L347" i="4" s="1"/>
  <c r="O79" i="4"/>
  <c r="G90" i="4"/>
  <c r="H90" i="4"/>
  <c r="G366" i="4"/>
  <c r="G369" i="4" s="1"/>
  <c r="H366" i="4"/>
  <c r="H369" i="4" s="1"/>
  <c r="G258" i="4"/>
  <c r="H258" i="4"/>
  <c r="J115" i="13"/>
  <c r="J116" i="13" s="1"/>
  <c r="I115" i="13"/>
  <c r="Q201" i="13" l="1"/>
  <c r="N203" i="13"/>
  <c r="R39" i="13"/>
  <c r="Q182" i="13"/>
  <c r="Q173" i="13"/>
  <c r="O329" i="4"/>
  <c r="O347" i="4" s="1"/>
  <c r="Q185" i="13"/>
  <c r="Q186" i="13" s="1"/>
  <c r="Q32" i="13"/>
  <c r="L115" i="13"/>
  <c r="O335" i="4"/>
  <c r="J90" i="4"/>
  <c r="O71" i="4"/>
  <c r="J366" i="4"/>
  <c r="J258" i="4"/>
  <c r="G259" i="4"/>
  <c r="J69" i="13"/>
  <c r="J71" i="13" s="1"/>
  <c r="I69" i="13"/>
  <c r="I71" i="13" s="1"/>
  <c r="J228" i="13"/>
  <c r="J229" i="13" s="1"/>
  <c r="I168" i="13"/>
  <c r="I170" i="13" s="1"/>
  <c r="J168" i="13"/>
  <c r="J170" i="13" s="1"/>
  <c r="H259" i="4"/>
  <c r="H274" i="4"/>
  <c r="G274" i="4"/>
  <c r="H273" i="4"/>
  <c r="G273" i="4"/>
  <c r="H272" i="4"/>
  <c r="G272" i="4"/>
  <c r="G254" i="4"/>
  <c r="H254" i="4"/>
  <c r="J156" i="13"/>
  <c r="I156" i="13"/>
  <c r="R201" i="13" l="1"/>
  <c r="R203" i="13" s="1"/>
  <c r="Q203" i="13"/>
  <c r="M115" i="13"/>
  <c r="N115" i="13" s="1"/>
  <c r="N116" i="13" s="1"/>
  <c r="L116" i="13"/>
  <c r="R173" i="13"/>
  <c r="P329" i="4"/>
  <c r="J273" i="4"/>
  <c r="K273" i="4" s="1"/>
  <c r="L273" i="4" s="1"/>
  <c r="O273" i="4" s="1"/>
  <c r="P273" i="4" s="1"/>
  <c r="R185" i="13"/>
  <c r="L168" i="13"/>
  <c r="L69" i="13"/>
  <c r="L228" i="13"/>
  <c r="L156" i="13"/>
  <c r="M156" i="13" s="1"/>
  <c r="R32" i="13"/>
  <c r="K366" i="4"/>
  <c r="J369" i="4"/>
  <c r="P335" i="4"/>
  <c r="K258" i="4"/>
  <c r="J259" i="4"/>
  <c r="J272" i="4"/>
  <c r="J274" i="4"/>
  <c r="K274" i="4" s="1"/>
  <c r="K90" i="4"/>
  <c r="L90" i="4" s="1"/>
  <c r="J254" i="4"/>
  <c r="K254" i="4" s="1"/>
  <c r="G275" i="4"/>
  <c r="H275" i="4"/>
  <c r="P303" i="4"/>
  <c r="R224" i="13"/>
  <c r="R225" i="13" s="1"/>
  <c r="J15" i="13"/>
  <c r="I15" i="13"/>
  <c r="I18" i="13" s="1"/>
  <c r="I218" i="13"/>
  <c r="I220" i="13" s="1"/>
  <c r="R191" i="13"/>
  <c r="P347" i="4" l="1"/>
  <c r="N156" i="13"/>
  <c r="Q156" i="13" s="1"/>
  <c r="M168" i="13"/>
  <c r="N168" i="13" s="1"/>
  <c r="Q168" i="13" s="1"/>
  <c r="L170" i="13"/>
  <c r="M116" i="13"/>
  <c r="M228" i="13"/>
  <c r="N228" i="13" s="1"/>
  <c r="L229" i="13"/>
  <c r="M69" i="13"/>
  <c r="N69" i="13" s="1"/>
  <c r="N71" i="13" s="1"/>
  <c r="L71" i="13"/>
  <c r="L274" i="4"/>
  <c r="O274" i="4" s="1"/>
  <c r="P274" i="4" s="1"/>
  <c r="L254" i="4"/>
  <c r="O254" i="4" s="1"/>
  <c r="P254" i="4" s="1"/>
  <c r="L218" i="13"/>
  <c r="L15" i="13"/>
  <c r="J18" i="13"/>
  <c r="L366" i="4"/>
  <c r="K369" i="4"/>
  <c r="K272" i="4"/>
  <c r="L272" i="4" s="1"/>
  <c r="J275" i="4"/>
  <c r="L258" i="4"/>
  <c r="K259" i="4"/>
  <c r="R75" i="13"/>
  <c r="R76" i="13" s="1"/>
  <c r="M218" i="13" l="1"/>
  <c r="L220" i="13"/>
  <c r="Q115" i="13"/>
  <c r="Q116" i="13" s="1"/>
  <c r="M71" i="13"/>
  <c r="M229" i="13"/>
  <c r="M170" i="13"/>
  <c r="M15" i="13"/>
  <c r="N15" i="13" s="1"/>
  <c r="L18" i="13"/>
  <c r="O366" i="4"/>
  <c r="L369" i="4"/>
  <c r="K275" i="4"/>
  <c r="O258" i="4"/>
  <c r="L259" i="4"/>
  <c r="O90" i="4"/>
  <c r="Q228" i="13" l="1"/>
  <c r="N229" i="13"/>
  <c r="R115" i="13"/>
  <c r="R116" i="13" s="1"/>
  <c r="Q69" i="13"/>
  <c r="Q71" i="13" s="1"/>
  <c r="N170" i="13"/>
  <c r="N218" i="13"/>
  <c r="M220" i="13"/>
  <c r="M18" i="13"/>
  <c r="O369" i="4"/>
  <c r="P366" i="4"/>
  <c r="P369" i="4" s="1"/>
  <c r="O272" i="4"/>
  <c r="O275" i="4" s="1"/>
  <c r="L275" i="4"/>
  <c r="O259" i="4"/>
  <c r="P258" i="4"/>
  <c r="P259" i="4" s="1"/>
  <c r="P90" i="4"/>
  <c r="J174" i="13"/>
  <c r="J175" i="13" s="1"/>
  <c r="I174" i="13"/>
  <c r="I175" i="13" s="1"/>
  <c r="J153" i="13"/>
  <c r="I153" i="13"/>
  <c r="I96" i="13"/>
  <c r="J96" i="13"/>
  <c r="J83" i="13"/>
  <c r="J85" i="13" s="1"/>
  <c r="J48" i="13"/>
  <c r="I48" i="13"/>
  <c r="I22" i="13"/>
  <c r="I24" i="13" s="1"/>
  <c r="J22" i="13"/>
  <c r="L96" i="13" l="1"/>
  <c r="M96" i="13" s="1"/>
  <c r="Q170" i="13"/>
  <c r="R168" i="13"/>
  <c r="R170" i="13" s="1"/>
  <c r="R69" i="13"/>
  <c r="R71" i="13" s="1"/>
  <c r="L48" i="13"/>
  <c r="M48" i="13" s="1"/>
  <c r="Q218" i="13"/>
  <c r="N220" i="13"/>
  <c r="R228" i="13"/>
  <c r="R229" i="13" s="1"/>
  <c r="Q229" i="13"/>
  <c r="J24" i="13"/>
  <c r="L22" i="13"/>
  <c r="L153" i="13"/>
  <c r="Q15" i="13"/>
  <c r="N18" i="13"/>
  <c r="L83" i="13"/>
  <c r="L174" i="13"/>
  <c r="P272" i="4"/>
  <c r="P275" i="4" s="1"/>
  <c r="J50" i="13"/>
  <c r="I50" i="13"/>
  <c r="M153" i="13" l="1"/>
  <c r="N153" i="13" s="1"/>
  <c r="N96" i="13"/>
  <c r="Q96" i="13" s="1"/>
  <c r="R96" i="13" s="1"/>
  <c r="L50" i="13"/>
  <c r="Q220" i="13"/>
  <c r="R218" i="13"/>
  <c r="R220" i="13" s="1"/>
  <c r="M174" i="13"/>
  <c r="N174" i="13" s="1"/>
  <c r="N175" i="13" s="1"/>
  <c r="L175" i="13"/>
  <c r="M83" i="13"/>
  <c r="N83" i="13" s="1"/>
  <c r="L85" i="13"/>
  <c r="Q18" i="13"/>
  <c r="R15" i="13"/>
  <c r="R18" i="13" s="1"/>
  <c r="M22" i="13"/>
  <c r="N22" i="13" s="1"/>
  <c r="L24" i="13"/>
  <c r="N48" i="13"/>
  <c r="M50" i="13"/>
  <c r="R156" i="13"/>
  <c r="Q153" i="13" l="1"/>
  <c r="R153" i="13" s="1"/>
  <c r="M85" i="13"/>
  <c r="M175" i="13"/>
  <c r="Q48" i="13"/>
  <c r="Q50" i="13" s="1"/>
  <c r="N50" i="13"/>
  <c r="M24" i="13"/>
  <c r="H9" i="14"/>
  <c r="G393" i="4"/>
  <c r="J393" i="4" s="1"/>
  <c r="K393" i="4" s="1"/>
  <c r="G396" i="4"/>
  <c r="G395" i="4"/>
  <c r="J395" i="4" s="1"/>
  <c r="K395" i="4" s="1"/>
  <c r="G394" i="4"/>
  <c r="G390" i="4"/>
  <c r="G389" i="4"/>
  <c r="G384" i="4"/>
  <c r="G392" i="4"/>
  <c r="G388" i="4"/>
  <c r="G387" i="4"/>
  <c r="J387" i="4" s="1"/>
  <c r="K387" i="4" s="1"/>
  <c r="G386" i="4"/>
  <c r="G383" i="4"/>
  <c r="G391" i="4"/>
  <c r="G385" i="4"/>
  <c r="J385" i="4" s="1"/>
  <c r="K385" i="4" s="1"/>
  <c r="G382" i="4"/>
  <c r="G381" i="4"/>
  <c r="G380" i="4"/>
  <c r="G216" i="4"/>
  <c r="G379" i="4"/>
  <c r="J379" i="4" s="1"/>
  <c r="G377" i="4"/>
  <c r="G15" i="4"/>
  <c r="G21" i="4" s="1"/>
  <c r="G398" i="4" l="1"/>
  <c r="Q174" i="13"/>
  <c r="Q175" i="13" s="1"/>
  <c r="Q83" i="13"/>
  <c r="Q85" i="13" s="1"/>
  <c r="N85" i="13"/>
  <c r="L387" i="4"/>
  <c r="O387" i="4" s="1"/>
  <c r="P387" i="4" s="1"/>
  <c r="L395" i="4"/>
  <c r="O395" i="4" s="1"/>
  <c r="P395" i="4" s="1"/>
  <c r="L393" i="4"/>
  <c r="O393" i="4" s="1"/>
  <c r="P393" i="4" s="1"/>
  <c r="L385" i="4"/>
  <c r="O385" i="4" s="1"/>
  <c r="P385" i="4" s="1"/>
  <c r="Q22" i="13"/>
  <c r="N24" i="13"/>
  <c r="R48" i="13"/>
  <c r="R50" i="13" s="1"/>
  <c r="K379" i="4"/>
  <c r="J383" i="4"/>
  <c r="J394" i="4"/>
  <c r="K394" i="4" s="1"/>
  <c r="J389" i="4"/>
  <c r="K389" i="4" s="1"/>
  <c r="J391" i="4"/>
  <c r="K391" i="4" s="1"/>
  <c r="J377" i="4"/>
  <c r="J388" i="4"/>
  <c r="K388" i="4" s="1"/>
  <c r="J386" i="4"/>
  <c r="K386" i="4" s="1"/>
  <c r="J380" i="4"/>
  <c r="J390" i="4"/>
  <c r="K390" i="4" s="1"/>
  <c r="J396" i="4"/>
  <c r="K396" i="4" s="1"/>
  <c r="J381" i="4"/>
  <c r="J392" i="4"/>
  <c r="K392" i="4" s="1"/>
  <c r="J382" i="4"/>
  <c r="J384" i="4"/>
  <c r="K384" i="4" s="1"/>
  <c r="P287" i="4"/>
  <c r="P305" i="4"/>
  <c r="P307" i="4"/>
  <c r="P302" i="4"/>
  <c r="P306" i="4"/>
  <c r="J398" i="4" l="1"/>
  <c r="R174" i="13"/>
  <c r="R175" i="13" s="1"/>
  <c r="R83" i="13"/>
  <c r="R85" i="13" s="1"/>
  <c r="L396" i="4"/>
  <c r="O396" i="4" s="1"/>
  <c r="P396" i="4" s="1"/>
  <c r="L390" i="4"/>
  <c r="O390" i="4" s="1"/>
  <c r="P390" i="4" s="1"/>
  <c r="L388" i="4"/>
  <c r="O388" i="4" s="1"/>
  <c r="P388" i="4" s="1"/>
  <c r="L384" i="4"/>
  <c r="O384" i="4" s="1"/>
  <c r="P384" i="4" s="1"/>
  <c r="L394" i="4"/>
  <c r="O394" i="4" s="1"/>
  <c r="P394" i="4" s="1"/>
  <c r="L391" i="4"/>
  <c r="O391" i="4" s="1"/>
  <c r="P391" i="4" s="1"/>
  <c r="L379" i="4"/>
  <c r="O379" i="4" s="1"/>
  <c r="L386" i="4"/>
  <c r="O386" i="4" s="1"/>
  <c r="P386" i="4" s="1"/>
  <c r="L389" i="4"/>
  <c r="O389" i="4" s="1"/>
  <c r="P389" i="4" s="1"/>
  <c r="L392" i="4"/>
  <c r="Q24" i="13"/>
  <c r="R22" i="13"/>
  <c r="K377" i="4"/>
  <c r="K383" i="4"/>
  <c r="K382" i="4"/>
  <c r="K381" i="4"/>
  <c r="K380" i="4"/>
  <c r="G233" i="4"/>
  <c r="H372" i="4"/>
  <c r="H374" i="4" s="1"/>
  <c r="G372" i="4"/>
  <c r="G374" i="4" s="1"/>
  <c r="H362" i="4"/>
  <c r="H363" i="4" s="1"/>
  <c r="G362" i="4"/>
  <c r="H358" i="4"/>
  <c r="H359" i="4" s="1"/>
  <c r="G358" i="4"/>
  <c r="H323" i="4"/>
  <c r="G323" i="4"/>
  <c r="H322" i="4"/>
  <c r="H327" i="4" s="1"/>
  <c r="G322" i="4"/>
  <c r="G327" i="4" s="1"/>
  <c r="H238" i="4"/>
  <c r="H240" i="4" s="1"/>
  <c r="G238" i="4"/>
  <c r="G240" i="4" s="1"/>
  <c r="K398" i="4" l="1"/>
  <c r="L380" i="4"/>
  <c r="O380" i="4" s="1"/>
  <c r="L383" i="4"/>
  <c r="O383" i="4" s="1"/>
  <c r="L377" i="4"/>
  <c r="L381" i="4"/>
  <c r="O381" i="4" s="1"/>
  <c r="L382" i="4"/>
  <c r="O382" i="4" s="1"/>
  <c r="O392" i="4"/>
  <c r="P392" i="4" s="1"/>
  <c r="J238" i="4"/>
  <c r="J322" i="4"/>
  <c r="J362" i="4"/>
  <c r="K362" i="4" s="1"/>
  <c r="L362" i="4" s="1"/>
  <c r="G363" i="4"/>
  <c r="J358" i="4"/>
  <c r="J372" i="4"/>
  <c r="J323" i="4"/>
  <c r="G359" i="4"/>
  <c r="G235" i="4"/>
  <c r="P234" i="4"/>
  <c r="K322" i="4" l="1"/>
  <c r="J327" i="4"/>
  <c r="K238" i="4"/>
  <c r="K240" i="4" s="1"/>
  <c r="J240" i="4"/>
  <c r="O377" i="4"/>
  <c r="O398" i="4" s="1"/>
  <c r="L398" i="4"/>
  <c r="J363" i="4"/>
  <c r="K372" i="4"/>
  <c r="J374" i="4"/>
  <c r="K363" i="4"/>
  <c r="K358" i="4"/>
  <c r="L358" i="4" s="1"/>
  <c r="J359" i="4"/>
  <c r="K323" i="4"/>
  <c r="L238" i="4"/>
  <c r="L240" i="4" s="1"/>
  <c r="L322" i="4" l="1"/>
  <c r="K327" i="4"/>
  <c r="L372" i="4"/>
  <c r="K374" i="4"/>
  <c r="L363" i="4"/>
  <c r="O362" i="4"/>
  <c r="K359" i="4"/>
  <c r="L323" i="4"/>
  <c r="O238" i="4"/>
  <c r="O240" i="4" s="1"/>
  <c r="H39" i="4"/>
  <c r="H107" i="4"/>
  <c r="H108" i="4" s="1"/>
  <c r="G107" i="4"/>
  <c r="H139" i="4"/>
  <c r="G139" i="4"/>
  <c r="O322" i="4" l="1"/>
  <c r="L327" i="4"/>
  <c r="J107" i="4"/>
  <c r="J108" i="4" s="1"/>
  <c r="O372" i="4"/>
  <c r="L374" i="4"/>
  <c r="O363" i="4"/>
  <c r="P362" i="4"/>
  <c r="P363" i="4" s="1"/>
  <c r="O358" i="4"/>
  <c r="L359" i="4"/>
  <c r="O323" i="4"/>
  <c r="J139" i="4"/>
  <c r="K139" i="4" s="1"/>
  <c r="P238" i="4"/>
  <c r="P240" i="4" s="1"/>
  <c r="G108" i="4"/>
  <c r="O327" i="4" l="1"/>
  <c r="P322" i="4"/>
  <c r="K107" i="4"/>
  <c r="L107" i="4" s="1"/>
  <c r="L139" i="4"/>
  <c r="O139" i="4" s="1"/>
  <c r="P139" i="4" s="1"/>
  <c r="O374" i="4"/>
  <c r="P372" i="4"/>
  <c r="P374" i="4" s="1"/>
  <c r="O359" i="4"/>
  <c r="P358" i="4"/>
  <c r="P359" i="4" s="1"/>
  <c r="P323" i="4"/>
  <c r="J95" i="13"/>
  <c r="J97" i="13" s="1"/>
  <c r="I95" i="13"/>
  <c r="I97" i="13" s="1"/>
  <c r="I64" i="13"/>
  <c r="J64" i="13"/>
  <c r="P53" i="4"/>
  <c r="P327" i="4" l="1"/>
  <c r="K108" i="4"/>
  <c r="L64" i="13"/>
  <c r="M64" i="13" s="1"/>
  <c r="L95" i="13"/>
  <c r="O107" i="4"/>
  <c r="L108" i="4"/>
  <c r="N64" i="13" l="1"/>
  <c r="Q64" i="13" s="1"/>
  <c r="R64" i="13" s="1"/>
  <c r="M95" i="13"/>
  <c r="L97" i="13"/>
  <c r="O108" i="4"/>
  <c r="P107" i="4"/>
  <c r="N95" i="13" l="1"/>
  <c r="N97" i="13" s="1"/>
  <c r="M97" i="13"/>
  <c r="P133" i="4"/>
  <c r="Q95" i="13" l="1"/>
  <c r="G154" i="4"/>
  <c r="H154" i="4"/>
  <c r="G201" i="4"/>
  <c r="H201" i="4"/>
  <c r="G192" i="4"/>
  <c r="H192" i="4"/>
  <c r="Q97" i="13" l="1"/>
  <c r="R95" i="13"/>
  <c r="R97" i="13" s="1"/>
  <c r="J192" i="4"/>
  <c r="K192" i="4" s="1"/>
  <c r="J201" i="4"/>
  <c r="K201" i="4" s="1"/>
  <c r="J154" i="4"/>
  <c r="K154" i="4" s="1"/>
  <c r="P299" i="4"/>
  <c r="G127" i="4"/>
  <c r="H127" i="4"/>
  <c r="G147" i="4"/>
  <c r="H147" i="4"/>
  <c r="L201" i="4" l="1"/>
  <c r="O201" i="4" s="1"/>
  <c r="P201" i="4" s="1"/>
  <c r="L192" i="4"/>
  <c r="O192" i="4" s="1"/>
  <c r="P192" i="4" s="1"/>
  <c r="L154" i="4"/>
  <c r="O154" i="4" s="1"/>
  <c r="P154" i="4" s="1"/>
  <c r="J147" i="4"/>
  <c r="K147" i="4" s="1"/>
  <c r="J127" i="4"/>
  <c r="K127" i="4" s="1"/>
  <c r="G132" i="4"/>
  <c r="G54" i="4"/>
  <c r="L127" i="4" l="1"/>
  <c r="O127" i="4" s="1"/>
  <c r="P127" i="4" s="1"/>
  <c r="L147" i="4"/>
  <c r="O147" i="4" s="1"/>
  <c r="P147" i="4" s="1"/>
  <c r="G55" i="4"/>
  <c r="I179" i="13"/>
  <c r="I155" i="13"/>
  <c r="J155" i="13"/>
  <c r="L155" i="13" l="1"/>
  <c r="M155" i="13" s="1"/>
  <c r="N155" i="13" s="1"/>
  <c r="R178" i="13"/>
  <c r="R179" i="13" s="1"/>
  <c r="H169" i="4"/>
  <c r="H170" i="4" l="1"/>
  <c r="Q155" i="13" l="1"/>
  <c r="G131" i="4"/>
  <c r="H131" i="4"/>
  <c r="G125" i="4"/>
  <c r="H125" i="4"/>
  <c r="J125" i="4" l="1"/>
  <c r="K125" i="4" s="1"/>
  <c r="J131" i="4"/>
  <c r="K131" i="4" s="1"/>
  <c r="L131" i="4" l="1"/>
  <c r="O131" i="4" s="1"/>
  <c r="P131" i="4" s="1"/>
  <c r="L125" i="4"/>
  <c r="O125" i="4" s="1"/>
  <c r="P125" i="4" s="1"/>
  <c r="J157" i="13"/>
  <c r="I157" i="13"/>
  <c r="J158" i="13"/>
  <c r="I158" i="13"/>
  <c r="H112" i="4"/>
  <c r="J112" i="4" s="1"/>
  <c r="K112" i="4" s="1"/>
  <c r="H111" i="4"/>
  <c r="G111" i="4"/>
  <c r="G114" i="4"/>
  <c r="H138" i="4"/>
  <c r="G170" i="4"/>
  <c r="G138" i="4"/>
  <c r="G73" i="4"/>
  <c r="H73" i="4"/>
  <c r="G171" i="4"/>
  <c r="G40" i="4"/>
  <c r="H40" i="4"/>
  <c r="G39" i="4"/>
  <c r="G206" i="4"/>
  <c r="H206" i="4"/>
  <c r="H54" i="4"/>
  <c r="J54" i="4" s="1"/>
  <c r="H171" i="4"/>
  <c r="G34" i="4"/>
  <c r="H34" i="4"/>
  <c r="G46" i="4"/>
  <c r="H46" i="4"/>
  <c r="G49" i="4"/>
  <c r="H49" i="4"/>
  <c r="G99" i="4"/>
  <c r="H99" i="4"/>
  <c r="L158" i="13" l="1"/>
  <c r="M158" i="13" s="1"/>
  <c r="L112" i="4"/>
  <c r="O112" i="4" s="1"/>
  <c r="P112" i="4" s="1"/>
  <c r="L157" i="13"/>
  <c r="M157" i="13" s="1"/>
  <c r="J111" i="4"/>
  <c r="K111" i="4" s="1"/>
  <c r="J138" i="4"/>
  <c r="K138" i="4" s="1"/>
  <c r="L138" i="4" s="1"/>
  <c r="J73" i="4"/>
  <c r="K73" i="4" s="1"/>
  <c r="J170" i="4"/>
  <c r="K170" i="4" s="1"/>
  <c r="J34" i="4"/>
  <c r="K34" i="4" s="1"/>
  <c r="L34" i="4" s="1"/>
  <c r="J46" i="4"/>
  <c r="J39" i="4"/>
  <c r="J99" i="4"/>
  <c r="K99" i="4" s="1"/>
  <c r="J40" i="4"/>
  <c r="L40" i="4" s="1"/>
  <c r="K54" i="4"/>
  <c r="L54" i="4" s="1"/>
  <c r="J55" i="4"/>
  <c r="H207" i="4"/>
  <c r="J171" i="4"/>
  <c r="K171" i="4" s="1"/>
  <c r="J49" i="4"/>
  <c r="K49" i="4" s="1"/>
  <c r="L49" i="4" s="1"/>
  <c r="J206" i="4"/>
  <c r="H55" i="4"/>
  <c r="G207" i="4"/>
  <c r="R232" i="13"/>
  <c r="R234" i="13" s="1"/>
  <c r="N158" i="13" l="1"/>
  <c r="Q158" i="13" s="1"/>
  <c r="R158" i="13" s="1"/>
  <c r="N157" i="13"/>
  <c r="Q157" i="13" s="1"/>
  <c r="L171" i="4"/>
  <c r="O171" i="4" s="1"/>
  <c r="L170" i="4"/>
  <c r="O170" i="4" s="1"/>
  <c r="L111" i="4"/>
  <c r="O111" i="4" s="1"/>
  <c r="P111" i="4" s="1"/>
  <c r="L99" i="4"/>
  <c r="O99" i="4" s="1"/>
  <c r="L73" i="4"/>
  <c r="O73" i="4" s="1"/>
  <c r="O49" i="4"/>
  <c r="P49" i="4" s="1"/>
  <c r="O40" i="4"/>
  <c r="O34" i="4"/>
  <c r="K206" i="4"/>
  <c r="J207" i="4"/>
  <c r="K46" i="4"/>
  <c r="L46" i="4" s="1"/>
  <c r="K55" i="4"/>
  <c r="K39" i="4"/>
  <c r="L39" i="4" s="1"/>
  <c r="R193" i="13"/>
  <c r="R157" i="13" l="1"/>
  <c r="L206" i="4"/>
  <c r="K207" i="4"/>
  <c r="O138" i="4"/>
  <c r="O54" i="4"/>
  <c r="O55" i="4" s="1"/>
  <c r="L55" i="4"/>
  <c r="J63" i="13"/>
  <c r="I63" i="13"/>
  <c r="I65" i="13" s="1"/>
  <c r="L63" i="13" l="1"/>
  <c r="J65" i="13"/>
  <c r="O206" i="4"/>
  <c r="O207" i="4" s="1"/>
  <c r="L207" i="4"/>
  <c r="O39" i="4"/>
  <c r="O46" i="4"/>
  <c r="M63" i="13" l="1"/>
  <c r="N63" i="13" s="1"/>
  <c r="L65" i="13"/>
  <c r="P206" i="4"/>
  <c r="P207" i="4" s="1"/>
  <c r="P184" i="4"/>
  <c r="M65" i="13" l="1"/>
  <c r="R182" i="13"/>
  <c r="R186" i="13" s="1"/>
  <c r="Q63" i="13" l="1"/>
  <c r="N65" i="13"/>
  <c r="P73" i="4"/>
  <c r="P74" i="4"/>
  <c r="P40" i="4"/>
  <c r="Q65" i="13" l="1"/>
  <c r="R63" i="13"/>
  <c r="R65" i="13" s="1"/>
  <c r="P39" i="4"/>
  <c r="A23" i="13"/>
  <c r="A27" i="13" s="1"/>
  <c r="I34" i="13"/>
  <c r="I35" i="13" s="1"/>
  <c r="J34" i="13"/>
  <c r="I148" i="13"/>
  <c r="I150" i="13" s="1"/>
  <c r="J148" i="13"/>
  <c r="J150" i="13" s="1"/>
  <c r="L148" i="13" l="1"/>
  <c r="L150" i="13" s="1"/>
  <c r="L34" i="13"/>
  <c r="J35" i="13"/>
  <c r="J241" i="13"/>
  <c r="J242" i="13" s="1"/>
  <c r="I241" i="13"/>
  <c r="I242" i="13" s="1"/>
  <c r="M148" i="13" l="1"/>
  <c r="L241" i="13"/>
  <c r="M34" i="13"/>
  <c r="N34" i="13" s="1"/>
  <c r="L35" i="13"/>
  <c r="R21" i="13"/>
  <c r="R24" i="13" s="1"/>
  <c r="H67" i="4"/>
  <c r="H197" i="4"/>
  <c r="H198" i="4"/>
  <c r="H199" i="4"/>
  <c r="G67" i="4"/>
  <c r="G197" i="4"/>
  <c r="G198" i="4"/>
  <c r="G199" i="4"/>
  <c r="N148" i="13" l="1"/>
  <c r="N150" i="13" s="1"/>
  <c r="M150" i="13"/>
  <c r="J67" i="4"/>
  <c r="K67" i="4" s="1"/>
  <c r="L67" i="4" s="1"/>
  <c r="M241" i="13"/>
  <c r="N241" i="13" s="1"/>
  <c r="N242" i="13" s="1"/>
  <c r="L242" i="13"/>
  <c r="M35" i="13"/>
  <c r="H203" i="4"/>
  <c r="G203" i="4"/>
  <c r="J199" i="4"/>
  <c r="K199" i="4" s="1"/>
  <c r="J198" i="4"/>
  <c r="J197" i="4"/>
  <c r="K197" i="4" s="1"/>
  <c r="H181" i="4"/>
  <c r="H182" i="4" s="1"/>
  <c r="G181" i="4"/>
  <c r="L197" i="4" l="1"/>
  <c r="O197" i="4" s="1"/>
  <c r="P197" i="4" s="1"/>
  <c r="J68" i="4"/>
  <c r="L199" i="4"/>
  <c r="O199" i="4" s="1"/>
  <c r="P199" i="4" s="1"/>
  <c r="M242" i="13"/>
  <c r="Q148" i="13"/>
  <c r="Q150" i="13" s="1"/>
  <c r="Q34" i="13"/>
  <c r="N35" i="13"/>
  <c r="K198" i="4"/>
  <c r="L198" i="4" s="1"/>
  <c r="J203" i="4"/>
  <c r="J181" i="4"/>
  <c r="K68" i="4"/>
  <c r="G182" i="4"/>
  <c r="P99" i="4"/>
  <c r="Q241" i="13" l="1"/>
  <c r="R148" i="13"/>
  <c r="R150" i="13" s="1"/>
  <c r="Q35" i="13"/>
  <c r="R34" i="13"/>
  <c r="R35" i="13" s="1"/>
  <c r="K181" i="4"/>
  <c r="L181" i="4" s="1"/>
  <c r="J182" i="4"/>
  <c r="K203" i="4"/>
  <c r="L68" i="4"/>
  <c r="O67" i="4"/>
  <c r="Q242" i="13" l="1"/>
  <c r="R241" i="13"/>
  <c r="R242" i="13" s="1"/>
  <c r="K182" i="4"/>
  <c r="O198" i="4"/>
  <c r="L203" i="4"/>
  <c r="O68" i="4"/>
  <c r="P67" i="4"/>
  <c r="P68" i="4" s="1"/>
  <c r="J210" i="13"/>
  <c r="I210" i="13"/>
  <c r="I211" i="13" s="1"/>
  <c r="J144" i="13"/>
  <c r="I144" i="13"/>
  <c r="J154" i="13"/>
  <c r="J160" i="13" s="1"/>
  <c r="I154" i="13"/>
  <c r="I160" i="13" s="1"/>
  <c r="I128" i="13"/>
  <c r="I131" i="13" s="1"/>
  <c r="J44" i="13"/>
  <c r="I44" i="13"/>
  <c r="I45" i="13" s="1"/>
  <c r="J38" i="13"/>
  <c r="J41" i="13" s="1"/>
  <c r="I38" i="13"/>
  <c r="I41" i="13" s="1"/>
  <c r="H15" i="4"/>
  <c r="J15" i="4" s="1"/>
  <c r="H354" i="4"/>
  <c r="G354" i="4"/>
  <c r="L15" i="4" l="1"/>
  <c r="O15" i="4" s="1"/>
  <c r="L128" i="13"/>
  <c r="L131" i="13" s="1"/>
  <c r="L210" i="13"/>
  <c r="J211" i="13"/>
  <c r="J45" i="13"/>
  <c r="L44" i="13"/>
  <c r="L154" i="13"/>
  <c r="L160" i="13" s="1"/>
  <c r="L38" i="13"/>
  <c r="L41" i="13" s="1"/>
  <c r="L144" i="13"/>
  <c r="J354" i="4"/>
  <c r="O181" i="4"/>
  <c r="L182" i="4"/>
  <c r="P198" i="4"/>
  <c r="P203" i="4" s="1"/>
  <c r="O203" i="4"/>
  <c r="G355" i="4"/>
  <c r="H355" i="4"/>
  <c r="P381" i="4"/>
  <c r="P379" i="4"/>
  <c r="P377" i="4"/>
  <c r="G282" i="4"/>
  <c r="H282" i="4"/>
  <c r="H284" i="4" s="1"/>
  <c r="G283" i="4"/>
  <c r="H211" i="4"/>
  <c r="G211" i="4"/>
  <c r="G262" i="4"/>
  <c r="H262" i="4"/>
  <c r="G267" i="4"/>
  <c r="H267" i="4"/>
  <c r="G268" i="4"/>
  <c r="H268" i="4"/>
  <c r="G263" i="4"/>
  <c r="H263" i="4"/>
  <c r="H11" i="4"/>
  <c r="H21" i="4" s="1"/>
  <c r="G253" i="4"/>
  <c r="H253" i="4"/>
  <c r="H249" i="4"/>
  <c r="G249" i="4"/>
  <c r="H247" i="4"/>
  <c r="G247" i="4"/>
  <c r="H233" i="4"/>
  <c r="H229" i="4"/>
  <c r="G229" i="4"/>
  <c r="H228" i="4"/>
  <c r="G228" i="4"/>
  <c r="H220" i="4"/>
  <c r="H221" i="4" s="1"/>
  <c r="G220" i="4"/>
  <c r="H185" i="4"/>
  <c r="H187" i="4" s="1"/>
  <c r="G185" i="4"/>
  <c r="G187" i="4" s="1"/>
  <c r="H215" i="4"/>
  <c r="G215" i="4"/>
  <c r="H214" i="4"/>
  <c r="G214" i="4"/>
  <c r="H216" i="4"/>
  <c r="G210" i="4"/>
  <c r="H193" i="4"/>
  <c r="G193" i="4"/>
  <c r="H176" i="4"/>
  <c r="G176" i="4"/>
  <c r="H141" i="4"/>
  <c r="G141" i="4"/>
  <c r="H152" i="4"/>
  <c r="G152" i="4"/>
  <c r="H126" i="4"/>
  <c r="G126" i="4"/>
  <c r="H142" i="4"/>
  <c r="G142" i="4"/>
  <c r="H155" i="4"/>
  <c r="H140" i="4"/>
  <c r="G140" i="4"/>
  <c r="H124" i="4"/>
  <c r="G124" i="4"/>
  <c r="H132" i="4"/>
  <c r="J132" i="4" s="1"/>
  <c r="K132" i="4" s="1"/>
  <c r="H146" i="4"/>
  <c r="H148" i="4" s="1"/>
  <c r="G146" i="4"/>
  <c r="G115" i="4"/>
  <c r="J115" i="4" s="1"/>
  <c r="K115" i="4" s="1"/>
  <c r="H96" i="4"/>
  <c r="G96" i="4"/>
  <c r="H130" i="4"/>
  <c r="G130" i="4"/>
  <c r="H48" i="4"/>
  <c r="G48" i="4"/>
  <c r="H114" i="4"/>
  <c r="J114" i="4" s="1"/>
  <c r="H75" i="4"/>
  <c r="G75" i="4"/>
  <c r="H153" i="4"/>
  <c r="G153" i="4"/>
  <c r="H168" i="4"/>
  <c r="H172" i="4" s="1"/>
  <c r="G168" i="4"/>
  <c r="G119" i="4"/>
  <c r="J119" i="4" s="1"/>
  <c r="G33" i="4"/>
  <c r="H33" i="4"/>
  <c r="G58" i="4"/>
  <c r="H58" i="4"/>
  <c r="G91" i="4"/>
  <c r="H91" i="4"/>
  <c r="H93" i="4" s="1"/>
  <c r="G47" i="4"/>
  <c r="H47" i="4"/>
  <c r="G24" i="4"/>
  <c r="G26" i="4" s="1"/>
  <c r="G29" i="4"/>
  <c r="J29" i="4" s="1"/>
  <c r="L29" i="4" s="1"/>
  <c r="G84" i="4"/>
  <c r="H84" i="4"/>
  <c r="H87" i="4" s="1"/>
  <c r="G80" i="4"/>
  <c r="H80" i="4"/>
  <c r="H81" i="4" s="1"/>
  <c r="G35" i="4"/>
  <c r="H35" i="4"/>
  <c r="G41" i="4"/>
  <c r="H41" i="4"/>
  <c r="G68" i="4"/>
  <c r="H68" i="4"/>
  <c r="G72" i="4"/>
  <c r="H72" i="4"/>
  <c r="G103" i="4"/>
  <c r="H103" i="4"/>
  <c r="G169" i="4"/>
  <c r="H98" i="4"/>
  <c r="G98" i="4"/>
  <c r="H76" i="4"/>
  <c r="G76" i="4"/>
  <c r="H60" i="4"/>
  <c r="G60" i="4"/>
  <c r="H59" i="4"/>
  <c r="G59" i="4"/>
  <c r="G212" i="4" l="1"/>
  <c r="H212" i="4"/>
  <c r="M144" i="13"/>
  <c r="N144" i="13" s="1"/>
  <c r="M210" i="13"/>
  <c r="L211" i="13"/>
  <c r="M128" i="13"/>
  <c r="M154" i="13"/>
  <c r="L132" i="4"/>
  <c r="O132" i="4" s="1"/>
  <c r="L115" i="4"/>
  <c r="O115" i="4" s="1"/>
  <c r="P115" i="4" s="1"/>
  <c r="G217" i="4"/>
  <c r="G269" i="4"/>
  <c r="L45" i="13"/>
  <c r="M44" i="13"/>
  <c r="N44" i="13" s="1"/>
  <c r="M38" i="13"/>
  <c r="K354" i="4"/>
  <c r="L354" i="4" s="1"/>
  <c r="J355" i="4"/>
  <c r="G284" i="4"/>
  <c r="H269" i="4"/>
  <c r="H217" i="4"/>
  <c r="J247" i="4"/>
  <c r="K247" i="4" s="1"/>
  <c r="J48" i="4"/>
  <c r="K48" i="4" s="1"/>
  <c r="L48" i="4" s="1"/>
  <c r="J249" i="4"/>
  <c r="K249" i="4" s="1"/>
  <c r="J263" i="4"/>
  <c r="K263" i="4" s="1"/>
  <c r="J60" i="4"/>
  <c r="K60" i="4" s="1"/>
  <c r="L60" i="4" s="1"/>
  <c r="J130" i="4"/>
  <c r="K130" i="4" s="1"/>
  <c r="L130" i="4" s="1"/>
  <c r="J96" i="4"/>
  <c r="K96" i="4" s="1"/>
  <c r="L96" i="4" s="1"/>
  <c r="J140" i="4"/>
  <c r="K140" i="4" s="1"/>
  <c r="L140" i="4" s="1"/>
  <c r="J268" i="4"/>
  <c r="K268" i="4" s="1"/>
  <c r="J76" i="4"/>
  <c r="K76" i="4" s="1"/>
  <c r="O182" i="4"/>
  <c r="P181" i="4"/>
  <c r="P182" i="4" s="1"/>
  <c r="J153" i="4"/>
  <c r="K153" i="4" s="1"/>
  <c r="H128" i="4"/>
  <c r="J152" i="4"/>
  <c r="K152" i="4" s="1"/>
  <c r="J220" i="4"/>
  <c r="J124" i="4"/>
  <c r="G128" i="4"/>
  <c r="K119" i="4"/>
  <c r="L119" i="4" s="1"/>
  <c r="J121" i="4"/>
  <c r="K114" i="4"/>
  <c r="L114" i="4" s="1"/>
  <c r="J116" i="4"/>
  <c r="J103" i="4"/>
  <c r="J35" i="4"/>
  <c r="K35" i="4" s="1"/>
  <c r="L35" i="4" s="1"/>
  <c r="J47" i="4"/>
  <c r="J168" i="4"/>
  <c r="J126" i="4"/>
  <c r="K126" i="4" s="1"/>
  <c r="J193" i="4"/>
  <c r="J185" i="4"/>
  <c r="J187" i="4" s="1"/>
  <c r="J229" i="4"/>
  <c r="K229" i="4" s="1"/>
  <c r="J283" i="4"/>
  <c r="J210" i="4"/>
  <c r="J233" i="4"/>
  <c r="J253" i="4"/>
  <c r="J282" i="4"/>
  <c r="K282" i="4" s="1"/>
  <c r="H255" i="4"/>
  <c r="J72" i="4"/>
  <c r="J91" i="4"/>
  <c r="J216" i="4"/>
  <c r="K216" i="4" s="1"/>
  <c r="J267" i="4"/>
  <c r="J80" i="4"/>
  <c r="J98" i="4"/>
  <c r="K98" i="4" s="1"/>
  <c r="J84" i="4"/>
  <c r="J58" i="4"/>
  <c r="J75" i="4"/>
  <c r="K75" i="4" s="1"/>
  <c r="J141" i="4"/>
  <c r="K141" i="4" s="1"/>
  <c r="J214" i="4"/>
  <c r="H178" i="4"/>
  <c r="J155" i="4"/>
  <c r="J262" i="4"/>
  <c r="H43" i="4"/>
  <c r="J59" i="4"/>
  <c r="K59" i="4" s="1"/>
  <c r="L59" i="4" s="1"/>
  <c r="J169" i="4"/>
  <c r="K169" i="4" s="1"/>
  <c r="J41" i="4"/>
  <c r="J24" i="4"/>
  <c r="J33" i="4"/>
  <c r="J146" i="4"/>
  <c r="J142" i="4"/>
  <c r="K142" i="4" s="1"/>
  <c r="J176" i="4"/>
  <c r="J215" i="4"/>
  <c r="K215" i="4" s="1"/>
  <c r="J228" i="4"/>
  <c r="J211" i="4"/>
  <c r="G121" i="4"/>
  <c r="G81" i="4"/>
  <c r="G93" i="4"/>
  <c r="G221" i="4"/>
  <c r="G255" i="4"/>
  <c r="J11" i="4"/>
  <c r="J21" i="4" s="1"/>
  <c r="G87" i="4"/>
  <c r="G30" i="4"/>
  <c r="G116" i="4"/>
  <c r="G43" i="4"/>
  <c r="G148" i="4"/>
  <c r="G178" i="4"/>
  <c r="G50" i="4"/>
  <c r="H143" i="4"/>
  <c r="H116" i="4"/>
  <c r="H62" i="4"/>
  <c r="G62" i="4"/>
  <c r="H50" i="4"/>
  <c r="G143" i="4"/>
  <c r="G172" i="4"/>
  <c r="H104" i="4"/>
  <c r="H235" i="4"/>
  <c r="H230" i="4"/>
  <c r="G156" i="4"/>
  <c r="G77" i="4"/>
  <c r="G36" i="4"/>
  <c r="G134" i="4"/>
  <c r="H156" i="4"/>
  <c r="G104" i="4"/>
  <c r="H264" i="4"/>
  <c r="H77" i="4"/>
  <c r="H36" i="4"/>
  <c r="G264" i="4"/>
  <c r="G100" i="4"/>
  <c r="H134" i="4"/>
  <c r="G250" i="4"/>
  <c r="H100" i="4"/>
  <c r="G230" i="4"/>
  <c r="H250" i="4"/>
  <c r="P15" i="4"/>
  <c r="P290" i="4"/>
  <c r="P300" i="4"/>
  <c r="P301" i="4"/>
  <c r="P297" i="4"/>
  <c r="P291" i="4"/>
  <c r="P298" i="4"/>
  <c r="P296" i="4"/>
  <c r="P294" i="4"/>
  <c r="P295" i="4"/>
  <c r="P293" i="4"/>
  <c r="P292" i="4"/>
  <c r="P170" i="4"/>
  <c r="P380" i="4"/>
  <c r="P171" i="4"/>
  <c r="P106" i="4"/>
  <c r="P108" i="4" s="1"/>
  <c r="P382" i="4"/>
  <c r="P383" i="4"/>
  <c r="G12" i="14"/>
  <c r="H12" i="14"/>
  <c r="G9" i="14"/>
  <c r="K9" i="14" s="1"/>
  <c r="N154" i="13" l="1"/>
  <c r="N160" i="13" s="1"/>
  <c r="M160" i="13"/>
  <c r="N38" i="13"/>
  <c r="N41" i="13" s="1"/>
  <c r="M41" i="13"/>
  <c r="J212" i="4"/>
  <c r="K24" i="4"/>
  <c r="J26" i="4"/>
  <c r="P398" i="4"/>
  <c r="N128" i="13"/>
  <c r="N131" i="13" s="1"/>
  <c r="M131" i="13"/>
  <c r="N210" i="13"/>
  <c r="M211" i="13"/>
  <c r="L282" i="4"/>
  <c r="O282" i="4" s="1"/>
  <c r="P282" i="4" s="1"/>
  <c r="L268" i="4"/>
  <c r="O268" i="4" s="1"/>
  <c r="P268" i="4" s="1"/>
  <c r="L247" i="4"/>
  <c r="O247" i="4" s="1"/>
  <c r="P247" i="4" s="1"/>
  <c r="L249" i="4"/>
  <c r="O249" i="4" s="1"/>
  <c r="P249" i="4" s="1"/>
  <c r="L169" i="4"/>
  <c r="O169" i="4" s="1"/>
  <c r="P169" i="4" s="1"/>
  <c r="L216" i="4"/>
  <c r="O216" i="4" s="1"/>
  <c r="P216" i="4" s="1"/>
  <c r="L215" i="4"/>
  <c r="O215" i="4" s="1"/>
  <c r="P215" i="4" s="1"/>
  <c r="L229" i="4"/>
  <c r="O229" i="4" s="1"/>
  <c r="P229" i="4" s="1"/>
  <c r="L263" i="4"/>
  <c r="O263" i="4" s="1"/>
  <c r="P263" i="4" s="1"/>
  <c r="L152" i="4"/>
  <c r="O152" i="4" s="1"/>
  <c r="P152" i="4" s="1"/>
  <c r="L141" i="4"/>
  <c r="O141" i="4" s="1"/>
  <c r="P141" i="4" s="1"/>
  <c r="L153" i="4"/>
  <c r="O153" i="4" s="1"/>
  <c r="P153" i="4" s="1"/>
  <c r="L142" i="4"/>
  <c r="O142" i="4" s="1"/>
  <c r="P142" i="4" s="1"/>
  <c r="L126" i="4"/>
  <c r="O126" i="4" s="1"/>
  <c r="P126" i="4" s="1"/>
  <c r="L75" i="4"/>
  <c r="O75" i="4" s="1"/>
  <c r="P75" i="4" s="1"/>
  <c r="O60" i="4"/>
  <c r="P60" i="4" s="1"/>
  <c r="L98" i="4"/>
  <c r="O98" i="4" s="1"/>
  <c r="P98" i="4" s="1"/>
  <c r="L76" i="4"/>
  <c r="O76" i="4" s="1"/>
  <c r="P76" i="4" s="1"/>
  <c r="O59" i="4"/>
  <c r="P59" i="4" s="1"/>
  <c r="O48" i="4"/>
  <c r="P48" i="4" s="1"/>
  <c r="O35" i="4"/>
  <c r="P35" i="4" s="1"/>
  <c r="M45" i="13"/>
  <c r="K355" i="4"/>
  <c r="K211" i="4"/>
  <c r="K283" i="4"/>
  <c r="L283" i="4" s="1"/>
  <c r="J284" i="4"/>
  <c r="K262" i="4"/>
  <c r="L262" i="4" s="1"/>
  <c r="J264" i="4"/>
  <c r="K253" i="4"/>
  <c r="L253" i="4" s="1"/>
  <c r="J255" i="4"/>
  <c r="K267" i="4"/>
  <c r="L267" i="4" s="1"/>
  <c r="J269" i="4"/>
  <c r="J250" i="4"/>
  <c r="J134" i="4"/>
  <c r="K176" i="4"/>
  <c r="L176" i="4" s="1"/>
  <c r="J178" i="4"/>
  <c r="K185" i="4"/>
  <c r="K228" i="4"/>
  <c r="L228" i="4" s="1"/>
  <c r="J230" i="4"/>
  <c r="J221" i="4"/>
  <c r="K214" i="4"/>
  <c r="L214" i="4" s="1"/>
  <c r="J217" i="4"/>
  <c r="L233" i="4"/>
  <c r="J235" i="4"/>
  <c r="K210" i="4"/>
  <c r="K193" i="4"/>
  <c r="L193" i="4" s="1"/>
  <c r="L168" i="4"/>
  <c r="J172" i="4"/>
  <c r="K155" i="4"/>
  <c r="L155" i="4" s="1"/>
  <c r="J156" i="4"/>
  <c r="K146" i="4"/>
  <c r="L146" i="4" s="1"/>
  <c r="J148" i="4"/>
  <c r="K134" i="4"/>
  <c r="K124" i="4"/>
  <c r="L124" i="4" s="1"/>
  <c r="J128" i="4"/>
  <c r="J143" i="4"/>
  <c r="K143" i="4"/>
  <c r="K121" i="4"/>
  <c r="K116" i="4"/>
  <c r="K72" i="4"/>
  <c r="L72" i="4" s="1"/>
  <c r="J77" i="4"/>
  <c r="J36" i="4"/>
  <c r="K33" i="4"/>
  <c r="L33" i="4" s="1"/>
  <c r="K41" i="4"/>
  <c r="L41" i="4" s="1"/>
  <c r="J43" i="4"/>
  <c r="K58" i="4"/>
  <c r="L58" i="4" s="1"/>
  <c r="J62" i="4"/>
  <c r="J87" i="4"/>
  <c r="K84" i="4"/>
  <c r="L84" i="4" s="1"/>
  <c r="K47" i="4"/>
  <c r="L47" i="4" s="1"/>
  <c r="J50" i="4"/>
  <c r="K80" i="4"/>
  <c r="L80" i="4" s="1"/>
  <c r="J81" i="4"/>
  <c r="K91" i="4"/>
  <c r="L91" i="4" s="1"/>
  <c r="J93" i="4"/>
  <c r="J100" i="4"/>
  <c r="K11" i="4"/>
  <c r="K100" i="4"/>
  <c r="J104" i="4"/>
  <c r="K103" i="4"/>
  <c r="L103" i="4" s="1"/>
  <c r="K12" i="14"/>
  <c r="P79" i="4"/>
  <c r="P159" i="4"/>
  <c r="P161" i="4" s="1"/>
  <c r="P304" i="4"/>
  <c r="P289" i="4"/>
  <c r="L12" i="14"/>
  <c r="P54" i="4"/>
  <c r="P55" i="4" s="1"/>
  <c r="P34" i="4"/>
  <c r="P138" i="4"/>
  <c r="P132" i="4"/>
  <c r="P46" i="4"/>
  <c r="P151" i="4"/>
  <c r="P30" i="4"/>
  <c r="P71" i="4"/>
  <c r="Q399" i="4" l="1"/>
  <c r="K212" i="4"/>
  <c r="L185" i="4"/>
  <c r="L187" i="4" s="1"/>
  <c r="L24" i="4"/>
  <c r="L26" i="4" s="1"/>
  <c r="L11" i="4"/>
  <c r="L21" i="4" s="1"/>
  <c r="Q128" i="13"/>
  <c r="Q131" i="13" s="1"/>
  <c r="Q144" i="13"/>
  <c r="Q154" i="13"/>
  <c r="Q160" i="13" s="1"/>
  <c r="Q210" i="13"/>
  <c r="N211" i="13"/>
  <c r="L30" i="4"/>
  <c r="O30" i="4" s="1"/>
  <c r="L211" i="4"/>
  <c r="P318" i="4"/>
  <c r="Q44" i="13"/>
  <c r="N45" i="13"/>
  <c r="Q38" i="13"/>
  <c r="Q41" i="13" s="1"/>
  <c r="L355" i="4"/>
  <c r="O354" i="4"/>
  <c r="K284" i="4"/>
  <c r="K255" i="4"/>
  <c r="K264" i="4"/>
  <c r="K269" i="4"/>
  <c r="K250" i="4"/>
  <c r="K235" i="4"/>
  <c r="K217" i="4"/>
  <c r="L220" i="4"/>
  <c r="L210" i="4"/>
  <c r="K230" i="4"/>
  <c r="K172" i="4"/>
  <c r="K156" i="4"/>
  <c r="K148" i="4"/>
  <c r="K128" i="4"/>
  <c r="O130" i="4"/>
  <c r="L134" i="4"/>
  <c r="L143" i="4"/>
  <c r="O140" i="4"/>
  <c r="O119" i="4"/>
  <c r="L121" i="4"/>
  <c r="O114" i="4"/>
  <c r="L116" i="4"/>
  <c r="K87" i="4"/>
  <c r="K50" i="4"/>
  <c r="K62" i="4"/>
  <c r="K104" i="4"/>
  <c r="K93" i="4"/>
  <c r="K77" i="4"/>
  <c r="K36" i="4"/>
  <c r="O96" i="4"/>
  <c r="L100" i="4"/>
  <c r="K81" i="4"/>
  <c r="L9" i="14"/>
  <c r="L212" i="4" l="1"/>
  <c r="R144" i="13"/>
  <c r="R154" i="13"/>
  <c r="Q211" i="13"/>
  <c r="R210" i="13"/>
  <c r="R211" i="13" s="1"/>
  <c r="R128" i="13"/>
  <c r="R131" i="13" s="1"/>
  <c r="R38" i="13"/>
  <c r="R41" i="13" s="1"/>
  <c r="Q45" i="13"/>
  <c r="R44" i="13"/>
  <c r="R45" i="13" s="1"/>
  <c r="O355" i="4"/>
  <c r="P354" i="4"/>
  <c r="P355" i="4" s="1"/>
  <c r="O211" i="4"/>
  <c r="O283" i="4"/>
  <c r="L284" i="4"/>
  <c r="O262" i="4"/>
  <c r="L264" i="4"/>
  <c r="O253" i="4"/>
  <c r="L255" i="4"/>
  <c r="O267" i="4"/>
  <c r="L269" i="4"/>
  <c r="L250" i="4"/>
  <c r="O176" i="4"/>
  <c r="L178" i="4"/>
  <c r="O185" i="4"/>
  <c r="O187" i="4" s="1"/>
  <c r="O210" i="4"/>
  <c r="O214" i="4"/>
  <c r="L217" i="4"/>
  <c r="O220" i="4"/>
  <c r="L221" i="4"/>
  <c r="O228" i="4"/>
  <c r="L230" i="4"/>
  <c r="O233" i="4"/>
  <c r="O235" i="4" s="1"/>
  <c r="L235" i="4"/>
  <c r="O193" i="4"/>
  <c r="O168" i="4"/>
  <c r="L172" i="4"/>
  <c r="O155" i="4"/>
  <c r="L156" i="4"/>
  <c r="O146" i="4"/>
  <c r="L148" i="4"/>
  <c r="O134" i="4"/>
  <c r="P130" i="4"/>
  <c r="P134" i="4" s="1"/>
  <c r="O124" i="4"/>
  <c r="L128" i="4"/>
  <c r="O143" i="4"/>
  <c r="P140" i="4"/>
  <c r="P143" i="4" s="1"/>
  <c r="O121" i="4"/>
  <c r="P119" i="4"/>
  <c r="P121" i="4" s="1"/>
  <c r="O116" i="4"/>
  <c r="P114" i="4"/>
  <c r="P116" i="4" s="1"/>
  <c r="L62" i="4"/>
  <c r="O58" i="4"/>
  <c r="L104" i="4"/>
  <c r="O103" i="4"/>
  <c r="O47" i="4"/>
  <c r="L50" i="4"/>
  <c r="O33" i="4"/>
  <c r="O36" i="4" s="1"/>
  <c r="L36" i="4"/>
  <c r="O91" i="4"/>
  <c r="L93" i="4"/>
  <c r="O80" i="4"/>
  <c r="L81" i="4"/>
  <c r="O11" i="4"/>
  <c r="O21" i="4" s="1"/>
  <c r="O84" i="4"/>
  <c r="L87" i="4"/>
  <c r="L77" i="4"/>
  <c r="O72" i="4"/>
  <c r="O100" i="4"/>
  <c r="P96" i="4"/>
  <c r="P100" i="4" s="1"/>
  <c r="L43" i="4"/>
  <c r="O41" i="4"/>
  <c r="O24" i="4"/>
  <c r="O26" i="4" s="1"/>
  <c r="I106" i="13"/>
  <c r="I108" i="13" s="1"/>
  <c r="O212" i="4" l="1"/>
  <c r="L106" i="13"/>
  <c r="P211" i="4"/>
  <c r="P283" i="4"/>
  <c r="P284" i="4" s="1"/>
  <c r="O284" i="4"/>
  <c r="O255" i="4"/>
  <c r="P253" i="4"/>
  <c r="P255" i="4" s="1"/>
  <c r="O264" i="4"/>
  <c r="P262" i="4"/>
  <c r="P264" i="4" s="1"/>
  <c r="P267" i="4"/>
  <c r="P269" i="4" s="1"/>
  <c r="O269" i="4"/>
  <c r="O250" i="4"/>
  <c r="P250" i="4"/>
  <c r="P185" i="4"/>
  <c r="P187" i="4" s="1"/>
  <c r="O178" i="4"/>
  <c r="P176" i="4"/>
  <c r="P178" i="4" s="1"/>
  <c r="O221" i="4"/>
  <c r="P220" i="4"/>
  <c r="P221" i="4" s="1"/>
  <c r="O230" i="4"/>
  <c r="P228" i="4"/>
  <c r="P230" i="4" s="1"/>
  <c r="O217" i="4"/>
  <c r="P214" i="4"/>
  <c r="P217" i="4" s="1"/>
  <c r="P233" i="4"/>
  <c r="P235" i="4" s="1"/>
  <c r="P210" i="4"/>
  <c r="P193" i="4"/>
  <c r="O172" i="4"/>
  <c r="P168" i="4"/>
  <c r="P172" i="4" s="1"/>
  <c r="P155" i="4"/>
  <c r="P156" i="4" s="1"/>
  <c r="O156" i="4"/>
  <c r="O148" i="4"/>
  <c r="P146" i="4"/>
  <c r="P148" i="4" s="1"/>
  <c r="P124" i="4"/>
  <c r="P128" i="4" s="1"/>
  <c r="O128" i="4"/>
  <c r="P33" i="4"/>
  <c r="P36" i="4" s="1"/>
  <c r="O43" i="4"/>
  <c r="P41" i="4"/>
  <c r="P43" i="4" s="1"/>
  <c r="O81" i="4"/>
  <c r="P80" i="4"/>
  <c r="P81" i="4" s="1"/>
  <c r="O87" i="4"/>
  <c r="P84" i="4"/>
  <c r="P87" i="4" s="1"/>
  <c r="P11" i="4"/>
  <c r="P21" i="4" s="1"/>
  <c r="P24" i="4"/>
  <c r="P26" i="4" s="1"/>
  <c r="O50" i="4"/>
  <c r="P47" i="4"/>
  <c r="P50" i="4" s="1"/>
  <c r="O104" i="4"/>
  <c r="P103" i="4"/>
  <c r="P104" i="4" s="1"/>
  <c r="O77" i="4"/>
  <c r="P72" i="4"/>
  <c r="P77" i="4" s="1"/>
  <c r="O62" i="4"/>
  <c r="P58" i="4"/>
  <c r="P62" i="4" s="1"/>
  <c r="O93" i="4"/>
  <c r="P91" i="4"/>
  <c r="P93" i="4" s="1"/>
  <c r="P212" i="4" l="1"/>
  <c r="M106" i="13"/>
  <c r="N106" i="13" s="1"/>
  <c r="L108" i="13"/>
  <c r="M108" i="13" l="1"/>
  <c r="Q1048193" i="13"/>
  <c r="B64865" i="13"/>
  <c r="B64867" i="13" s="1"/>
  <c r="I116" i="13"/>
  <c r="Q106" i="13" l="1"/>
  <c r="N108" i="13"/>
  <c r="Q108" i="13" l="1"/>
  <c r="R106" i="13"/>
  <c r="R108" i="13" s="1"/>
  <c r="R155" i="13"/>
  <c r="R160" i="13" s="1"/>
  <c r="B16923" i="4"/>
  <c r="B16925" i="4" s="1"/>
  <c r="H243" i="4"/>
  <c r="G243" i="4"/>
  <c r="J243" i="4" l="1"/>
  <c r="K243" i="4" s="1"/>
  <c r="L243" i="4" s="1"/>
  <c r="O243" i="4" s="1"/>
  <c r="P243" i="4" s="1"/>
  <c r="H244" i="4"/>
  <c r="G244" i="4"/>
  <c r="A31" i="13"/>
  <c r="A32" i="13" s="1"/>
  <c r="A33" i="13" s="1"/>
  <c r="A34" i="13" s="1"/>
  <c r="A38" i="13" s="1"/>
  <c r="J244" i="4" l="1"/>
  <c r="K244" i="4"/>
  <c r="A39" i="13"/>
  <c r="A44" i="13" l="1"/>
  <c r="A48" i="13" s="1"/>
  <c r="A49" i="13" s="1"/>
  <c r="A54" i="13" s="1"/>
  <c r="A58" i="13" s="1"/>
  <c r="A63" i="13" s="1"/>
  <c r="A40" i="13"/>
  <c r="L244" i="4"/>
  <c r="K877141" i="14"/>
  <c r="O244" i="4" l="1"/>
  <c r="P244" i="4"/>
  <c r="A64" i="13"/>
  <c r="A68" i="13" s="1"/>
  <c r="A69" i="13" l="1"/>
  <c r="A70" i="13" s="1"/>
  <c r="A75" i="13" l="1"/>
  <c r="A79" i="13" s="1"/>
  <c r="A83" i="13" s="1"/>
  <c r="A84" i="13" l="1"/>
  <c r="A87" i="13" l="1"/>
  <c r="A91" i="13" l="1"/>
  <c r="A95" i="13" s="1"/>
  <c r="A96" i="13" s="1"/>
  <c r="A100" i="13" s="1"/>
  <c r="A105" i="13" s="1"/>
  <c r="A106" i="13" s="1"/>
  <c r="A107" i="13" s="1"/>
  <c r="A111" i="13" s="1"/>
  <c r="A115" i="13" s="1"/>
  <c r="A119" i="13" s="1"/>
  <c r="A123" i="13" l="1"/>
  <c r="A124" i="13" s="1"/>
  <c r="A128" i="13" s="1"/>
  <c r="A129" i="13" s="1"/>
  <c r="A53" i="4"/>
  <c r="A130" i="13" l="1"/>
  <c r="A54" i="4"/>
  <c r="A58" i="4" s="1"/>
  <c r="A134" i="13" l="1"/>
  <c r="A135" i="13" s="1"/>
  <c r="A139" i="13" s="1"/>
  <c r="A59" i="4"/>
  <c r="A60" i="4" s="1"/>
  <c r="A140" i="13" l="1"/>
  <c r="A144" i="13" s="1"/>
  <c r="A148" i="13" s="1"/>
  <c r="A149" i="13" s="1"/>
  <c r="A153" i="13" s="1"/>
  <c r="A61" i="4"/>
  <c r="A65" i="4" s="1"/>
  <c r="A66" i="4" s="1"/>
  <c r="A67" i="4" s="1"/>
  <c r="A71" i="4" s="1"/>
  <c r="A72" i="4" l="1"/>
  <c r="A73" i="4" s="1"/>
  <c r="A74" i="4" s="1"/>
  <c r="A75" i="4" s="1"/>
  <c r="A76" i="4" s="1"/>
  <c r="A79" i="4" s="1"/>
  <c r="A80" i="4" s="1"/>
  <c r="A84" i="4" l="1"/>
  <c r="A85" i="4" l="1"/>
  <c r="A86" i="4" s="1"/>
  <c r="A90" i="4" s="1"/>
  <c r="A91" i="4" s="1"/>
  <c r="A92" i="4" l="1"/>
  <c r="A96" i="4" s="1"/>
  <c r="A97" i="4" l="1"/>
  <c r="A98" i="4" l="1"/>
  <c r="A99" i="4" s="1"/>
  <c r="A103" i="4" s="1"/>
  <c r="A106" i="4" s="1"/>
  <c r="A107" i="4" s="1"/>
  <c r="A111" i="4" s="1"/>
  <c r="B46" i="16"/>
  <c r="A112" i="4" l="1"/>
  <c r="B50" i="16"/>
  <c r="B54" i="16" s="1"/>
  <c r="A113" i="4" l="1"/>
  <c r="A114" i="4" s="1"/>
  <c r="A115" i="4" s="1"/>
  <c r="A119" i="4" s="1"/>
  <c r="B57" i="16"/>
  <c r="B61" i="16" s="1"/>
  <c r="B65" i="16" s="1"/>
  <c r="B69" i="16" s="1"/>
  <c r="B73" i="16" s="1"/>
  <c r="B74" i="16" l="1"/>
  <c r="B78" i="16" s="1"/>
  <c r="B79" i="16" s="1"/>
  <c r="B83" i="16" s="1"/>
  <c r="B84" i="16" s="1"/>
  <c r="B88" i="16" s="1"/>
  <c r="B92" i="16" s="1"/>
  <c r="B96" i="16" s="1"/>
  <c r="B100" i="16" s="1"/>
  <c r="B104" i="16" s="1"/>
  <c r="B108" i="16" s="1"/>
  <c r="A120" i="4"/>
  <c r="A124" i="4" s="1"/>
  <c r="A125" i="4" s="1"/>
  <c r="A126" i="4" s="1"/>
  <c r="A127" i="4" s="1"/>
  <c r="A130" i="4" s="1"/>
  <c r="A131" i="4" s="1"/>
  <c r="A132" i="4" s="1"/>
  <c r="A133" i="4" s="1"/>
  <c r="A137" i="4" s="1"/>
  <c r="A138" i="4" s="1"/>
  <c r="A139" i="4" s="1"/>
  <c r="A140" i="4" s="1"/>
  <c r="A141" i="4" s="1"/>
  <c r="A142" i="4" s="1"/>
  <c r="A146" i="4" s="1"/>
  <c r="A147" i="4" s="1"/>
  <c r="A151" i="4" s="1"/>
  <c r="A152" i="4" s="1"/>
  <c r="A153" i="4" s="1"/>
  <c r="A154" i="4" s="1"/>
  <c r="A155" i="4" s="1"/>
  <c r="A159" i="4" s="1"/>
  <c r="A160" i="4" s="1"/>
  <c r="A164" i="4" s="1"/>
  <c r="A168" i="4" s="1"/>
  <c r="B112" i="16" l="1"/>
  <c r="B116" i="16" s="1"/>
  <c r="B120" i="16" s="1"/>
  <c r="B121" i="16" s="1"/>
  <c r="B125" i="16" s="1"/>
  <c r="A169" i="4"/>
  <c r="A170" i="4" s="1"/>
  <c r="A171" i="4" s="1"/>
  <c r="A176" i="4" s="1"/>
  <c r="B129" i="16" l="1"/>
  <c r="B134" i="16" s="1"/>
  <c r="B135" i="16" s="1"/>
  <c r="A177" i="4"/>
  <c r="A181" i="4" s="1"/>
  <c r="A184" i="4" s="1"/>
  <c r="A185" i="4" s="1"/>
  <c r="A186" i="4" l="1"/>
  <c r="A190" i="4" s="1"/>
  <c r="A191" i="4" s="1"/>
  <c r="A192" i="4" s="1"/>
  <c r="A193" i="4" s="1"/>
  <c r="A197" i="4" s="1"/>
  <c r="A198" i="4" s="1"/>
  <c r="A199" i="4" s="1"/>
  <c r="A200" i="4" s="1"/>
  <c r="A201" i="4" s="1"/>
  <c r="A206" i="4" s="1"/>
  <c r="A210" i="4" s="1"/>
  <c r="A211" i="4" l="1"/>
  <c r="A214" i="4" s="1"/>
  <c r="A215" i="4" s="1"/>
  <c r="A216" i="4" s="1"/>
  <c r="A220" i="4" s="1"/>
  <c r="A224" i="4" s="1"/>
  <c r="A228" i="4" s="1"/>
  <c r="A229" i="4" s="1"/>
  <c r="A233" i="4" s="1"/>
  <c r="A234" i="4" s="1"/>
  <c r="A238" i="4" s="1"/>
  <c r="A239" i="4" l="1"/>
  <c r="A243" i="4" s="1"/>
  <c r="A247" i="4" s="1"/>
  <c r="A248" i="4" l="1"/>
  <c r="A249" i="4" s="1"/>
  <c r="A253" i="4" s="1"/>
  <c r="A254" i="4" s="1"/>
  <c r="A258" i="4" s="1"/>
  <c r="A262" i="4" s="1"/>
  <c r="A263" i="4" s="1"/>
  <c r="A267" i="4" s="1"/>
  <c r="A268" i="4" s="1"/>
  <c r="A272" i="4" s="1"/>
  <c r="A273" i="4" s="1"/>
  <c r="A274" i="4" s="1"/>
  <c r="A278" i="4" l="1"/>
  <c r="A282" i="4"/>
  <c r="A283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21" i="4" l="1"/>
  <c r="A322" i="4" s="1"/>
  <c r="A323" i="4" s="1"/>
  <c r="A324" i="4" s="1"/>
  <c r="A325" i="4" s="1"/>
  <c r="A326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67" i="4"/>
  <c r="A368" i="4" s="1"/>
  <c r="A372" i="4" s="1"/>
  <c r="A373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46" i="4" l="1"/>
  <c r="A350" i="4"/>
  <c r="A354" i="4" s="1"/>
  <c r="A358" i="4" l="1"/>
  <c r="A362" i="4" s="1"/>
  <c r="A154" i="13"/>
  <c r="A155" i="13" s="1"/>
  <c r="A156" i="13" s="1"/>
  <c r="A157" i="13" s="1"/>
  <c r="A158" i="13" s="1"/>
  <c r="A163" i="13" l="1"/>
  <c r="A167" i="13" s="1"/>
  <c r="A168" i="13" s="1"/>
  <c r="A169" i="13" s="1"/>
  <c r="A173" i="13" s="1"/>
  <c r="A174" i="13" s="1"/>
  <c r="A178" i="13" s="1"/>
  <c r="A182" i="13" s="1"/>
  <c r="A183" i="13" s="1"/>
  <c r="A159" i="13"/>
  <c r="A184" i="13" l="1"/>
  <c r="A185" i="13" s="1"/>
  <c r="A189" i="13" s="1"/>
  <c r="A190" i="13" s="1"/>
  <c r="A191" i="13" s="1"/>
  <c r="A192" i="13" s="1"/>
  <c r="A196" i="13" s="1"/>
  <c r="A200" i="13" s="1"/>
  <c r="A201" i="13" s="1"/>
  <c r="A202" i="13" l="1"/>
  <c r="A206" i="13" s="1"/>
  <c r="A210" i="13" s="1"/>
  <c r="A214" i="13" s="1"/>
  <c r="A218" i="13" s="1"/>
  <c r="A219" i="13" l="1"/>
  <c r="A223" i="13" s="1"/>
  <c r="A224" i="13"/>
  <c r="A228" i="13" s="1"/>
  <c r="A232" i="13" s="1"/>
  <c r="A233" i="13" l="1"/>
  <c r="A237" i="13" s="1"/>
  <c r="A241" i="13" s="1"/>
  <c r="A249" i="13" l="1"/>
  <c r="A245" i="13"/>
</calcChain>
</file>

<file path=xl/sharedStrings.xml><?xml version="1.0" encoding="utf-8"?>
<sst xmlns="http://schemas.openxmlformats.org/spreadsheetml/2006/main" count="2006" uniqueCount="697">
  <si>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</si>
  <si>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</si>
  <si>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</si>
  <si>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</si>
  <si>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</si>
  <si>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</si>
  <si>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</si>
  <si>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</si>
  <si>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</si>
  <si>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</si>
  <si>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</si>
  <si>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</si>
  <si>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</si>
  <si>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</si>
  <si>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</si>
  <si>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</si>
  <si>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</si>
  <si>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</si>
  <si>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</si>
  <si>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</si>
  <si>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</si>
  <si>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</si>
  <si>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</si>
  <si>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</si>
  <si>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</si>
  <si>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</si>
  <si>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</si>
  <si>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</si>
  <si>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</si>
  <si>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</si>
  <si>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</si>
  <si>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</si>
  <si>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</si>
  <si>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</si>
  <si>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</si>
  <si>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</si>
  <si>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</si>
  <si>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</si>
  <si>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</si>
  <si>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</si>
  <si>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</si>
  <si>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</si>
  <si>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</si>
  <si>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</si>
  <si>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</si>
  <si>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</si>
  <si>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</si>
  <si>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</si>
  <si>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</si>
  <si>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</si>
  <si>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</si>
  <si>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</si>
  <si>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</si>
  <si>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</si>
  <si>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</si>
  <si>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</si>
  <si>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</si>
  <si>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</si>
  <si>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</si>
  <si>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</si>
  <si>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</si>
  <si>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</si>
  <si>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</si>
  <si>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</si>
  <si>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</si>
  <si>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</si>
  <si>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</si>
  <si>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</si>
  <si>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</si>
  <si>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</si>
  <si>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</si>
  <si>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</si>
  <si>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</si>
  <si>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</si>
  <si>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</si>
  <si>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</si>
  <si>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</si>
  <si>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</si>
  <si>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</si>
  <si>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</si>
  <si>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</si>
  <si>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</si>
  <si>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</si>
  <si>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</si>
  <si>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</si>
  <si>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</si>
  <si>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</si>
  <si>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</si>
  <si>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</si>
  <si>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</si>
  <si>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</si>
  <si>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</si>
  <si>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</si>
  <si>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</si>
  <si>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</si>
  <si>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</si>
  <si>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</si>
  <si>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</si>
  <si>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</si>
  <si>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</si>
  <si>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</si>
  <si>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</si>
  <si>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</si>
  <si>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</si>
  <si>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</si>
  <si>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</si>
  <si>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</si>
  <si>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</si>
  <si>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</si>
  <si>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</si>
  <si>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</si>
  <si>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</si>
  <si>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</si>
  <si>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</si>
  <si>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</si>
  <si>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</si>
  <si>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</si>
  <si>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</si>
  <si>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</si>
  <si>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</si>
  <si>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</si>
  <si>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</si>
  <si>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</si>
  <si>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</si>
  <si>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</si>
  <si>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</si>
  <si>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</si>
  <si>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</si>
  <si>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</si>
  <si>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</si>
  <si>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</si>
  <si>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</si>
  <si>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</si>
  <si>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</si>
  <si>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</si>
  <si>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</si>
  <si>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</si>
  <si>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</si>
  <si>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</si>
  <si>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</si>
  <si>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</si>
  <si>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</si>
  <si>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</si>
  <si>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</si>
  <si>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</si>
  <si>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</si>
  <si>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</si>
  <si>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</si>
  <si>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</si>
  <si>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</si>
  <si>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</si>
  <si>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</si>
  <si>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</si>
  <si>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</si>
  <si>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</si>
  <si>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</si>
  <si>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</si>
  <si>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</si>
  <si>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</si>
  <si>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</si>
  <si>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</si>
  <si>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</si>
  <si>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</si>
  <si>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</si>
  <si>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</si>
  <si>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</si>
  <si>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</si>
  <si>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</si>
  <si>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</si>
  <si>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</si>
  <si>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</si>
  <si>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</si>
  <si>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</si>
  <si>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</si>
  <si>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</si>
  <si>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</si>
  <si>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</si>
  <si>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</si>
  <si>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</si>
  <si>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</si>
  <si>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</si>
  <si>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</si>
  <si>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</si>
  <si>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</si>
  <si>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</si>
  <si>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</si>
  <si>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</si>
  <si>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</si>
  <si>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</si>
  <si>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</si>
  <si>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</si>
  <si>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</si>
  <si>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</si>
  <si>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</si>
  <si>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</si>
  <si>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</si>
  <si>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</si>
  <si>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</si>
  <si>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</si>
  <si>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</si>
  <si>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</si>
  <si>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</si>
  <si>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</si>
  <si>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</si>
  <si>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</si>
  <si>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</si>
  <si>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</si>
  <si>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</si>
  <si>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</si>
  <si>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</si>
  <si>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</si>
  <si>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</si>
  <si>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</si>
  <si>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</si>
  <si>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</si>
  <si>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</si>
  <si>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</si>
  <si>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</si>
  <si>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</si>
  <si>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</si>
  <si>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</si>
  <si>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</si>
  <si>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</si>
  <si>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</si>
  <si>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</si>
  <si>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</si>
  <si>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</si>
  <si>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</si>
  <si>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</si>
  <si>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</si>
  <si>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</si>
  <si>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</si>
  <si>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</si>
  <si>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</si>
  <si>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</si>
  <si>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</si>
  <si>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</si>
  <si>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</si>
  <si>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</si>
  <si>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</si>
  <si>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</si>
  <si>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</si>
  <si>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</si>
  <si>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</si>
  <si>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</si>
  <si>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</si>
  <si>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</si>
  <si>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</si>
  <si>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</si>
  <si>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</si>
  <si>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</si>
  <si>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</si>
  <si>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</si>
  <si>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</si>
  <si>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</si>
  <si>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</si>
  <si>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</si>
  <si>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</si>
  <si>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</si>
  <si>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</si>
  <si>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</si>
  <si>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</si>
  <si>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</si>
  <si>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</si>
  <si>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</si>
  <si>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</si>
  <si>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</si>
  <si>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</si>
  <si>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</si>
  <si>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</si>
  <si>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</si>
  <si>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</si>
  <si>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</si>
  <si>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</si>
  <si>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</si>
  <si>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</si>
  <si>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</si>
  <si>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</si>
  <si>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</si>
  <si>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</si>
  <si>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</si>
  <si>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</si>
  <si>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</si>
  <si>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</si>
  <si>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</si>
  <si>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</si>
  <si>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</si>
  <si>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</si>
  <si>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</si>
  <si>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</si>
  <si>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</si>
  <si>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</si>
  <si>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</si>
  <si>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</si>
  <si>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</si>
  <si>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</si>
  <si>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</si>
  <si>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</si>
  <si>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</si>
  <si>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</si>
  <si>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</si>
  <si>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</si>
  <si>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</si>
  <si>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</si>
  <si>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</si>
  <si>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</si>
  <si>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</si>
  <si>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>BIENVENIDO DÍAZ COLLADO</t>
  </si>
  <si>
    <t xml:space="preserve">JUAN JOSÉ SÁNCHEZ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</si>
  <si>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</si>
  <si>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</si>
  <si>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</si>
  <si>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</si>
  <si>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</si>
  <si>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</si>
  <si>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</si>
  <si>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</si>
  <si>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</si>
  <si>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</si>
  <si>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</si>
  <si>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</si>
  <si>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</si>
  <si>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</si>
  <si>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</si>
  <si>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</si>
  <si>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</si>
  <si>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</si>
  <si>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</si>
  <si>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</si>
  <si>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</si>
  <si>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</si>
  <si>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</si>
  <si>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</si>
  <si>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</si>
  <si>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</si>
  <si>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</si>
  <si>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</si>
  <si>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</si>
  <si>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</si>
  <si>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</si>
  <si>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</si>
  <si>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</si>
  <si>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</si>
  <si>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</si>
  <si>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</si>
  <si>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</si>
  <si>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</si>
  <si>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</si>
  <si>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</si>
  <si>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</si>
  <si>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</si>
  <si>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</si>
  <si>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</si>
  <si>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</si>
  <si>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</si>
  <si>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</si>
  <si>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</si>
  <si>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</si>
  <si>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</si>
  <si>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</si>
  <si>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</si>
  <si>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</si>
  <si>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</si>
  <si>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</si>
  <si>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</si>
  <si>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</si>
  <si>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</si>
  <si>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</si>
  <si>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</si>
  <si>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</si>
  <si>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</si>
  <si>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</si>
  <si>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</si>
  <si>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</si>
  <si>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</si>
  <si>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</si>
  <si>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</si>
  <si>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</si>
  <si>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</si>
  <si>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</si>
  <si>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</si>
  <si>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</si>
  <si>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</si>
  <si>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</si>
  <si>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</si>
  <si>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</si>
  <si>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</si>
  <si>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</si>
  <si>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</si>
  <si>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</si>
  <si>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</si>
  <si>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</si>
  <si>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</si>
  <si>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</si>
  <si>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</si>
  <si>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</si>
  <si>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</si>
  <si>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</si>
  <si>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</si>
  <si>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</si>
  <si>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</si>
  <si>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</si>
  <si>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</si>
  <si>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</si>
  <si>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</si>
  <si>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</si>
  <si>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</si>
  <si>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</si>
  <si>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</si>
  <si>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</si>
  <si>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</si>
  <si>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</si>
  <si>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</si>
  <si>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</si>
  <si>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</si>
  <si>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</si>
  <si>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</si>
  <si>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</si>
  <si>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</si>
  <si>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</si>
  <si>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</si>
  <si>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</si>
  <si>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</si>
  <si>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</si>
  <si>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</si>
  <si>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</si>
  <si>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</si>
  <si>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</si>
  <si>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</si>
  <si>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</si>
  <si>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</si>
  <si>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</si>
  <si>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</si>
  <si>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</si>
  <si>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</si>
  <si>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</si>
  <si>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</si>
  <si>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</si>
  <si>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</si>
  <si>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</si>
  <si>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</si>
  <si>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</si>
  <si>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</si>
  <si>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</si>
  <si>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</si>
  <si>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</si>
  <si>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</si>
  <si>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</si>
  <si>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</si>
  <si>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</si>
  <si>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</si>
  <si>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</si>
  <si>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</si>
  <si>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</si>
  <si>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</si>
  <si>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</si>
  <si>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</si>
  <si>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</si>
  <si>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</si>
  <si>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</si>
  <si>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</si>
  <si>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</si>
  <si>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</si>
  <si>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</si>
  <si>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</si>
  <si>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</si>
  <si>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</si>
  <si>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</si>
  <si>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</si>
  <si>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</si>
  <si>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</si>
  <si>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</si>
  <si>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</si>
  <si>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</si>
  <si>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</si>
  <si>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</si>
  <si>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</si>
  <si>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</si>
  <si>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</si>
  <si>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</si>
  <si>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</si>
  <si>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</si>
  <si>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</si>
  <si>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</si>
  <si>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</si>
  <si>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</si>
  <si>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</si>
  <si>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</si>
  <si>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</si>
  <si>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</si>
  <si>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</si>
  <si>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</si>
  <si>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</si>
  <si>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</si>
  <si>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</si>
  <si>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</si>
  <si>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</si>
  <si>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</si>
  <si>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</si>
  <si>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</si>
  <si>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</si>
  <si>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</si>
  <si>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</si>
  <si>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</si>
  <si>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</si>
  <si>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JOSÉ EDIBERTO GERMÁN RAY</t>
  </si>
  <si>
    <t>ANALISTA DE NORMAS Y METODOLOGÍA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</si>
  <si>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</si>
  <si>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</si>
  <si>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</si>
  <si>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</si>
  <si>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</si>
  <si>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</si>
  <si>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</si>
  <si>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</si>
  <si>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</si>
  <si>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</si>
  <si>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</si>
  <si>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</si>
  <si>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</si>
  <si>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</si>
  <si>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</si>
  <si>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</si>
  <si>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</si>
  <si>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</si>
  <si>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</si>
  <si>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</si>
  <si>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</si>
  <si>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</si>
  <si>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</si>
  <si>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</si>
  <si>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>ANALISTA DE REGISTRO Y CONTROL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</si>
  <si>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</si>
  <si>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</si>
  <si>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</si>
  <si>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</si>
  <si>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</si>
  <si>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 xml:space="preserve">ENCARGADA  DE DIVISION REGISTRO, CONTROL Y NÓMINA </t>
  </si>
  <si>
    <t>IVÁN GÁLVEZ DE LA CRUZ</t>
  </si>
  <si>
    <t xml:space="preserve"> 01 DE DICIEMBRE DEL 2022</t>
  </si>
  <si>
    <t>SANTA DIGNA RIVERA DE ALEJO</t>
  </si>
  <si>
    <t xml:space="preserve">SOCORRO HERNANDEZ VALDEZ </t>
  </si>
  <si>
    <t>01 DE ENERO DEL 2023</t>
  </si>
  <si>
    <t>26 DE ENERO DEL 2023</t>
  </si>
  <si>
    <t>02 DE ENERO DEL 2023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</si>
  <si>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</si>
  <si>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</si>
  <si>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</si>
  <si>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</si>
  <si>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</si>
  <si>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</si>
  <si>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</si>
  <si>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</si>
  <si>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</si>
  <si>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14 DE FEBRERO DEL 2023</t>
  </si>
  <si>
    <t>02 DE FEBRERO DEL 2023</t>
  </si>
  <si>
    <t>01 DE FEBRERO DEL 2023</t>
  </si>
  <si>
    <t>25 DE FEBRERO DEL 2023</t>
  </si>
  <si>
    <t>24 DE FEBRERO DEL 2023</t>
  </si>
  <si>
    <t>18 DE FEBRERO DEL 2023</t>
  </si>
  <si>
    <t>21 DE FEBRERO DEL 2023</t>
  </si>
  <si>
    <t>10 DE FEBRERO DEL 2023</t>
  </si>
  <si>
    <t>22 DE FEBRERO DEL 2023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</si>
  <si>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</si>
  <si>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</si>
  <si>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</si>
  <si>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</si>
  <si>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</si>
  <si>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</si>
  <si>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01 DE MARZO DEL 2023</t>
  </si>
  <si>
    <t>KEVIN JOSÉ RODRÍGUEZ ACOSTA</t>
  </si>
  <si>
    <t>02 DE MARZO DEL 2023</t>
  </si>
  <si>
    <t>FERNANDO LUIS SAN MIGUEL ÁLVAREZ</t>
  </si>
  <si>
    <t>15 DE MARZO DEL 2023</t>
  </si>
  <si>
    <t>03 DE MARZO DEL 2023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</si>
  <si>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</si>
  <si>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</si>
  <si>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</si>
  <si>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</si>
  <si>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</si>
  <si>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</si>
  <si>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>18 DE ABRIL DEL 2023</t>
  </si>
  <si>
    <t>01 DE ABRIL DEL 2023</t>
  </si>
  <si>
    <t>5 DE ABRIL DEL 2023</t>
  </si>
  <si>
    <t xml:space="preserve">JUAN ALFONSO PAULINO RODRIGUEZ </t>
  </si>
  <si>
    <t>15 DE ABRIL DEL 2023</t>
  </si>
  <si>
    <t>ANALISTA DE ANÁLISIS DE ESTUDIOS ECONÓMICOS I</t>
  </si>
  <si>
    <t>01 DE MAYO DE 2023</t>
  </si>
  <si>
    <t xml:space="preserve">JEREMY ELIAM BISONO SENA </t>
  </si>
  <si>
    <t xml:space="preserve">EDWIN AMADO MEJIA </t>
  </si>
  <si>
    <t>TECNICO DE TESORERIA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</si>
  <si>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</si>
  <si>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</si>
  <si>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</si>
  <si>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</si>
  <si>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</si>
  <si>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</si>
  <si>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</si>
  <si>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</si>
  <si>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</si>
  <si>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</si>
  <si>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</si>
  <si>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</si>
  <si>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 1 DE DICIEMBRE DEL 2022</t>
  </si>
  <si>
    <t xml:space="preserve"> 01 DE JUNIO DEL 2023</t>
  </si>
  <si>
    <t xml:space="preserve">PATRICIA CAROLINA DILONE GIL </t>
  </si>
  <si>
    <t xml:space="preserve">SORANGEL GONZALEZ DIAZ </t>
  </si>
  <si>
    <t>NICKOL RODRÍGUEZ FERNÁNDEZ</t>
  </si>
  <si>
    <t xml:space="preserve">ENCARGADA DE ANALISIS Y ESTUDIOS ECONOMICOS </t>
  </si>
  <si>
    <t>01 DE JUNIO DE 2023</t>
  </si>
  <si>
    <t xml:space="preserve">EUSEBIA PEREZ AGRAMONTE </t>
  </si>
  <si>
    <t xml:space="preserve">EMPRESAS PUBLICAS NO FINANCIERAS </t>
  </si>
  <si>
    <t xml:space="preserve">RAYDAN DE JESUS DIA DE LA ROSA </t>
  </si>
  <si>
    <t xml:space="preserve">ENCARGADO ADMINISTRATIVO Y FINANCIERO </t>
  </si>
  <si>
    <t>04 DE JUNIO DE 2023</t>
  </si>
  <si>
    <t>04 DE ENERO DE 2023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</si>
  <si>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</si>
  <si>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</si>
  <si>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</si>
  <si>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</si>
  <si>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</si>
  <si>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</si>
  <si>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</si>
  <si>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</si>
  <si>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</si>
  <si>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</si>
  <si>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</si>
  <si>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CARMEN MILAGROS CUEVAS GUZMAN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</si>
  <si>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</si>
  <si>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</si>
  <si>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</si>
  <si>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</si>
  <si>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</si>
  <si>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</si>
  <si>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02 DE JULIO DEL 2023</t>
  </si>
  <si>
    <t>15 DE OCTUBRDE DEL 2023</t>
  </si>
  <si>
    <t>26 DE JULIO DEL 2023</t>
  </si>
  <si>
    <t>15 DE OCTUBRE DEL 2023</t>
  </si>
  <si>
    <t>01 DE SEPTIEMBRE DEL 2023</t>
  </si>
  <si>
    <t>26 DE JULIO DE 2023</t>
  </si>
  <si>
    <t>01 DE JULIO DEL 2023</t>
  </si>
  <si>
    <t>15 DE SEPTIEMBRE DEL 2023</t>
  </si>
  <si>
    <t>02 DE AGOSTO DEL 2023</t>
  </si>
  <si>
    <t>01 DE AGOSTO DEL 2023</t>
  </si>
  <si>
    <t>02 DE SEPTIEMBRE DEL 2023</t>
  </si>
  <si>
    <t>5  DE OCTUBRE DEL 2023</t>
  </si>
  <si>
    <t>01 DE NOVIEMBRE DE 2023</t>
  </si>
  <si>
    <t>18 DE OCTUBRE DEL 2023</t>
  </si>
  <si>
    <t>25 DE AGOSTO DEL 2023</t>
  </si>
  <si>
    <t>01 DE OCTUBRE DEL 2023</t>
  </si>
  <si>
    <t>18 DE AGOSTO DEL 2023</t>
  </si>
  <si>
    <t>21 DE AGOSTO DEL 2023</t>
  </si>
  <si>
    <t>14 DE AGOSTO DEL 2023</t>
  </si>
  <si>
    <t>10 DE AGOSTO DEL 2023</t>
  </si>
  <si>
    <t>22 DE AGOSTO DEL 2023</t>
  </si>
  <si>
    <t>03 DE SEPTIEMBRE DEL 2023</t>
  </si>
  <si>
    <t xml:space="preserve">Saldo a Fvaor </t>
  </si>
  <si>
    <t>f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</si>
  <si>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</si>
  <si>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</si>
  <si>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</si>
  <si>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</si>
  <si>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</si>
  <si>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</si>
  <si>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</si>
  <si>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</si>
  <si>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</si>
  <si>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</si>
  <si>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 xml:space="preserve">RESPONSABLE DE OFICINA DE LIBRE ACCESO A LA INFORMACION </t>
  </si>
  <si>
    <t>Correspondiente al mes de mayo del año 2023</t>
  </si>
  <si>
    <t xml:space="preserve">MARIA ELENA ROQUEL LORA </t>
  </si>
  <si>
    <t>CRISTAL THALIA MARTES PAULINO</t>
  </si>
  <si>
    <t>NICOLE ARISLEYDI RODRIGUEZ SANTANA</t>
  </si>
  <si>
    <t>DIVISIÓN DE  DE PODER JUDICIAL, CÁMARA DE DIPUTADOS Y SENADO DE LA REPÚBLICA</t>
  </si>
  <si>
    <t>SUSANA MARIA MORALES FULGENCIO</t>
  </si>
  <si>
    <t xml:space="preserve">AUXILIAR DE ENFERMERIA 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</si>
  <si>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</si>
  <si>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</si>
  <si>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</si>
  <si>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</si>
  <si>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</si>
  <si>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</si>
  <si>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</si>
  <si>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DIVISIÓN ADMINISTRATIV</t>
  </si>
  <si>
    <t>ALCY LOPEZ SEGURA</t>
  </si>
  <si>
    <t>ENCARGADO ADMINISTRATIVO</t>
  </si>
  <si>
    <t>SECCION DE DOCUMENTACION</t>
  </si>
  <si>
    <t xml:space="preserve">ENCARGADA DE DOCUMENTACION 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</si>
  <si>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</si>
  <si>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</si>
  <si>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</si>
  <si>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</si>
  <si>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</si>
  <si>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</si>
  <si>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>SECCIÓN DE ALMACEN Y SUMINISTRO</t>
  </si>
  <si>
    <t xml:space="preserve">JOSE ROBERTO MORTEA DE LEON  </t>
  </si>
  <si>
    <t xml:space="preserve">AUXILIAR DE ALMACEN Y SUMINISTRO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</si>
</sst>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</cellStyleXfs>
  <cellXfs count="307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0" fillId="0" borderId="1" xfId="0" applyFont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19" xfId="1" applyFont="1" applyFill="1" applyBorder="1"/>
    <xf numFmtId="0" fontId="3" fillId="2" borderId="2" xfId="0" applyFont="1" applyFill="1" applyBorder="1"/>
    <xf numFmtId="0" fontId="3" fillId="2" borderId="14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43" fontId="6" fillId="4" borderId="22" xfId="1" applyFont="1" applyFill="1" applyBorder="1"/>
    <xf numFmtId="0" fontId="3" fillId="0" borderId="20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Border="1" applyAlignment="1">
      <alignment wrapText="1"/>
    </xf>
    <xf numFmtId="0" fontId="16" fillId="0" borderId="1" xfId="0" applyFont="1" applyBorder="1"/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3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19" xfId="1" applyFont="1" applyFill="1" applyBorder="1"/>
    <xf numFmtId="0" fontId="4" fillId="0" borderId="0" xfId="0" applyFont="1"/>
    <xf numFmtId="43" fontId="5" fillId="5" borderId="0" xfId="1" applyFont="1" applyFill="1" applyBorder="1"/>
    <xf numFmtId="0" fontId="4" fillId="2" borderId="0" xfId="0" applyFont="1" applyFill="1"/>
    <xf numFmtId="0" fontId="0" fillId="2" borderId="0" xfId="0" applyFill="1"/>
    <xf numFmtId="43" fontId="15" fillId="2" borderId="0" xfId="1" applyFont="1" applyFill="1" applyBorder="1" applyAlignment="1"/>
    <xf numFmtId="165" fontId="12" fillId="2" borderId="12" xfId="0" applyNumberFormat="1" applyFont="1" applyFill="1" applyBorder="1" applyAlignment="1">
      <alignment horizontal="left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0" fontId="14" fillId="3" borderId="0" xfId="0" applyFont="1" applyFill="1" applyAlignment="1">
      <alignment horizontal="center" vertical="center"/>
    </xf>
    <xf numFmtId="0" fontId="14" fillId="3" borderId="16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6" fillId="2" borderId="10" xfId="0" applyFont="1" applyFill="1" applyBorder="1"/>
    <xf numFmtId="0" fontId="16" fillId="2" borderId="12" xfId="0" applyFont="1" applyFill="1" applyBorder="1"/>
    <xf numFmtId="0" fontId="16" fillId="2" borderId="11" xfId="0" applyFont="1" applyFill="1" applyBorder="1"/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2" borderId="3" xfId="0" applyFont="1" applyFill="1" applyBorder="1" applyAlignment="1">
      <alignment wrapText="1"/>
    </xf>
    <xf numFmtId="0" fontId="14" fillId="2" borderId="5" xfId="0" applyFont="1" applyFill="1" applyBorder="1" applyAlignment="1">
      <alignment wrapText="1"/>
    </xf>
    <xf numFmtId="0" fontId="16" fillId="2" borderId="4" xfId="0" applyFont="1" applyFill="1" applyBorder="1"/>
    <xf numFmtId="0" fontId="16" fillId="2" borderId="3" xfId="0" applyFont="1" applyFill="1" applyBorder="1"/>
    <xf numFmtId="0" fontId="16" fillId="2" borderId="5" xfId="0" applyFont="1" applyFill="1" applyBorder="1"/>
    <xf numFmtId="0" fontId="16" fillId="2" borderId="19" xfId="0" applyFont="1" applyFill="1" applyBorder="1"/>
    <xf numFmtId="0" fontId="14" fillId="2" borderId="17" xfId="0" applyFont="1" applyFill="1" applyBorder="1"/>
    <xf numFmtId="0" fontId="14" fillId="2" borderId="18" xfId="0" applyFont="1" applyFill="1" applyBorder="1"/>
    <xf numFmtId="0" fontId="16" fillId="2" borderId="0" xfId="0" applyFont="1" applyFill="1"/>
    <xf numFmtId="0" fontId="14" fillId="3" borderId="26" xfId="0" applyFont="1" applyFill="1" applyBorder="1" applyAlignment="1">
      <alignment vertical="center"/>
    </xf>
    <xf numFmtId="0" fontId="14" fillId="3" borderId="19" xfId="0" applyFont="1" applyFill="1" applyBorder="1" applyAlignment="1">
      <alignment vertical="center"/>
    </xf>
    <xf numFmtId="0" fontId="6" fillId="2" borderId="4" xfId="0" applyFont="1" applyFill="1" applyBorder="1"/>
    <xf numFmtId="0" fontId="6" fillId="2" borderId="3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6" fillId="2" borderId="12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6" fillId="2" borderId="20" xfId="0" applyFont="1" applyFill="1" applyBorder="1" applyAlignment="1">
      <alignment wrapText="1"/>
    </xf>
    <xf numFmtId="0" fontId="7" fillId="2" borderId="4" xfId="0" applyFont="1" applyFill="1" applyBorder="1"/>
    <xf numFmtId="0" fontId="7" fillId="2" borderId="3" xfId="0" applyFont="1" applyFill="1" applyBorder="1"/>
    <xf numFmtId="0" fontId="6" fillId="2" borderId="16" xfId="0" applyFont="1" applyFill="1" applyBorder="1"/>
    <xf numFmtId="0" fontId="6" fillId="2" borderId="21" xfId="0" applyFont="1" applyFill="1" applyBorder="1"/>
    <xf numFmtId="0" fontId="6" fillId="2" borderId="0" xfId="0" applyFont="1" applyFill="1" applyAlignment="1">
      <alignment wrapText="1"/>
    </xf>
    <xf numFmtId="0" fontId="14" fillId="3" borderId="5" xfId="0" applyFont="1" applyFill="1" applyBorder="1" applyAlignment="1">
      <alignment horizontal="center" vertical="center"/>
    </xf>
    <xf numFmtId="43" fontId="10" fillId="2" borderId="0" xfId="0" applyNumberFormat="1" applyFont="1" applyFill="1"/>
    <xf numFmtId="0" fontId="14" fillId="3" borderId="27" xfId="0" applyFont="1" applyFill="1" applyBorder="1" applyAlignment="1">
      <alignment horizontal="center" vertical="center" wrapText="1"/>
    </xf>
    <xf numFmtId="0" fontId="14" fillId="3" borderId="29" xfId="0" applyFont="1" applyFill="1" applyBorder="1" applyAlignment="1">
      <alignment horizontal="center" vertical="center"/>
    </xf>
    <xf numFmtId="0" fontId="3" fillId="6" borderId="0" xfId="0" applyFont="1" applyFill="1"/>
    <xf numFmtId="43" fontId="10" fillId="6" borderId="0" xfId="1" applyFont="1" applyFill="1" applyBorder="1"/>
    <xf numFmtId="0" fontId="13" fillId="6" borderId="0" xfId="0" applyFont="1" applyFill="1" applyAlignment="1">
      <alignment horizontal="left"/>
    </xf>
    <xf numFmtId="0" fontId="15" fillId="6" borderId="0" xfId="0" applyFont="1" applyFill="1"/>
    <xf numFmtId="43" fontId="15" fillId="6" borderId="0" xfId="1" applyFont="1" applyFill="1" applyBorder="1"/>
    <xf numFmtId="43" fontId="16" fillId="6" borderId="0" xfId="1" applyFont="1" applyFill="1" applyBorder="1"/>
    <xf numFmtId="0" fontId="13" fillId="6" borderId="0" xfId="0" applyFont="1" applyFill="1"/>
    <xf numFmtId="43" fontId="15" fillId="6" borderId="0" xfId="1" applyFont="1" applyFill="1" applyBorder="1" applyAlignment="1">
      <alignment horizontal="left"/>
    </xf>
    <xf numFmtId="0" fontId="0" fillId="6" borderId="0" xfId="0" applyFill="1"/>
    <xf numFmtId="43" fontId="15" fillId="6" borderId="0" xfId="1" applyFont="1" applyFill="1" applyBorder="1" applyAlignment="1"/>
    <xf numFmtId="43" fontId="16" fillId="6" borderId="0" xfId="1" applyFont="1" applyFill="1" applyBorder="1" applyAlignment="1">
      <alignment horizontal="left"/>
    </xf>
    <xf numFmtId="43" fontId="3" fillId="6" borderId="0" xfId="0" applyNumberFormat="1" applyFont="1" applyFill="1"/>
    <xf numFmtId="0" fontId="3" fillId="6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14" fillId="2" borderId="4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14" fillId="3" borderId="17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27" xfId="0" applyFont="1" applyFill="1" applyBorder="1" applyAlignment="1">
      <alignment horizontal="center" wrapText="1"/>
    </xf>
    <xf numFmtId="0" fontId="6" fillId="2" borderId="28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3" fillId="2" borderId="1" xfId="3" applyFont="1" applyFill="1" applyBorder="1" applyAlignment="1">
      <alignment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4" xfId="3" xr:uid="{49F575B4-BF73-497E-8529-01B56A6E4F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2378724</xdr:colOff>
      <xdr:row>4</xdr:row>
      <xdr:rowOff>248073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523403" cy="12902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4</xdr:row>
      <xdr:rowOff>79768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gprd.sharepoint.com/sites/RRHH/Shared%20Documents/General/Registro-Control%20y%20Nomina/NOMINA%20II/NOMINA/NOMINAS/NOMINAS%202023/MAYO%202023/NOMINA%20MAYO%202023.xlsx" TargetMode="External"/><Relationship Id="rId1" Type="http://schemas.openxmlformats.org/officeDocument/2006/relationships/externalLinkPath" Target="/sites/RRHH/Shared%20Documents/General/Registro-Control%20y%20Nomina/NOMINA%20II/NOMINA/NOMINAS/NOMINAS%202023/MAYO%202023/NOMINA%20MAYO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DetalleIR13 23-3-2023 "/>
      <sheetName val="Hoja1"/>
      <sheetName val="NOMINA INTERINATO "/>
      <sheetName val="ADMFIJOS MAYO 2023"/>
      <sheetName val="ADMTEMP MAYO 2023"/>
      <sheetName val="SUST.4FIJO MAYO 2023 "/>
      <sheetName val="SUST.4TEMP MAYO 2023"/>
      <sheetName val="SUST.5FIJO MAYO 2023 "/>
      <sheetName val="SUST.5TEMP MAYO 2023"/>
      <sheetName val="PENSION, SEGURIDAD Y OTROS "/>
      <sheetName val="TSS"/>
      <sheetName val="Hoja3"/>
    </sheetNames>
    <sheetDataSet>
      <sheetData sheetId="0"/>
      <sheetData sheetId="1"/>
      <sheetData sheetId="2"/>
      <sheetData sheetId="3">
        <row r="253">
          <cell r="G253">
            <v>15407418.5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00248"/>
  <sheetViews>
    <sheetView showGridLines="0" view="pageBreakPreview" zoomScale="25" zoomScaleNormal="85" zoomScaleSheetLayoutView="25" workbookViewId="0">
      <pane xSplit="2" ySplit="7" topLeftCell="C329" activePane="bottomRight" state="frozen"/>
      <selection pane="topRight" activeCell="C1" sqref="C1"/>
      <selection pane="bottomLeft" activeCell="A9" sqref="A9"/>
      <selection pane="bottomRight" activeCell="H408" sqref="H408"/>
    </sheetView>
  </sheetViews>
  <sheetFormatPr baseColWidth="10" defaultColWidth="11.42578125" defaultRowHeight="12.75" x14ac:dyDescent="0.2"/>
  <cols>
    <col min="1" max="1" width="6.85546875" style="4" customWidth="1"/>
    <col min="2" max="2" width="37" style="25" customWidth="1"/>
    <col min="3" max="3" width="9.140625" style="4" customWidth="1"/>
    <col min="4" max="4" width="37.7109375" style="25" customWidth="1"/>
    <col min="5" max="5" width="29.28515625" style="25" customWidth="1"/>
    <col min="6" max="6" width="18.7109375" style="2" customWidth="1"/>
    <col min="7" max="7" width="20.28515625" style="1" customWidth="1"/>
    <col min="8" max="8" width="24" style="1" customWidth="1"/>
    <col min="9" max="9" width="13.42578125" style="1" customWidth="1"/>
    <col min="10" max="10" width="16" style="1" customWidth="1"/>
    <col min="11" max="11" width="24" style="1" customWidth="1"/>
    <col min="12" max="12" width="22.28515625" style="1" customWidth="1"/>
    <col min="13" max="13" width="22.28515625" style="1" hidden="1" customWidth="1"/>
    <col min="14" max="14" width="19" style="1" customWidth="1"/>
    <col min="15" max="16" width="22.85546875" style="1" customWidth="1"/>
    <col min="17" max="17" width="17" style="260" customWidth="1"/>
    <col min="18" max="18" width="11.42578125" style="110"/>
    <col min="19" max="16384" width="11.42578125" style="1"/>
  </cols>
  <sheetData>
    <row r="1" spans="1:18" ht="23.25" x14ac:dyDescent="0.35">
      <c r="A1" s="279" t="s">
        <v>414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</row>
    <row r="2" spans="1:18" ht="21" customHeight="1" x14ac:dyDescent="0.35">
      <c r="A2" s="280" t="s">
        <v>418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</row>
    <row r="3" spans="1:18" ht="18.75" customHeight="1" x14ac:dyDescent="0.3">
      <c r="A3" s="281" t="s">
        <v>669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</row>
    <row r="4" spans="1:18" ht="19.5" customHeight="1" thickBot="1" x14ac:dyDescent="0.35">
      <c r="A4" s="216"/>
      <c r="B4" s="216"/>
      <c r="C4" s="17"/>
      <c r="D4" s="24"/>
      <c r="E4" s="24"/>
      <c r="F4" s="17"/>
    </row>
    <row r="5" spans="1:18" ht="25.5" customHeight="1" thickBot="1" x14ac:dyDescent="0.3">
      <c r="A5" s="31" t="s">
        <v>601</v>
      </c>
      <c r="B5" s="32"/>
      <c r="C5" s="31"/>
      <c r="D5" s="32"/>
      <c r="E5" s="32"/>
      <c r="F5" s="33"/>
      <c r="G5" s="276" t="s">
        <v>120</v>
      </c>
      <c r="H5" s="277"/>
      <c r="I5" s="277"/>
      <c r="J5" s="278"/>
      <c r="K5" s="222"/>
      <c r="L5" s="34"/>
      <c r="M5" s="34"/>
      <c r="N5" s="34"/>
      <c r="O5" s="34"/>
      <c r="P5" s="34"/>
    </row>
    <row r="6" spans="1:18" s="18" customFormat="1" ht="30" customHeight="1" thickBot="1" x14ac:dyDescent="0.3">
      <c r="A6" s="35" t="s">
        <v>0</v>
      </c>
      <c r="B6" s="35" t="s">
        <v>365</v>
      </c>
      <c r="C6" s="35" t="s">
        <v>427</v>
      </c>
      <c r="D6" s="35" t="s">
        <v>448</v>
      </c>
      <c r="E6" s="35" t="s">
        <v>114</v>
      </c>
      <c r="F6" s="223" t="s">
        <v>124</v>
      </c>
      <c r="G6" s="224" t="s">
        <v>1</v>
      </c>
      <c r="H6" s="225" t="s">
        <v>2</v>
      </c>
      <c r="I6" s="258" t="s">
        <v>616</v>
      </c>
      <c r="J6" s="259" t="s">
        <v>617</v>
      </c>
      <c r="K6" s="256" t="s">
        <v>618</v>
      </c>
      <c r="L6" s="37" t="s">
        <v>115</v>
      </c>
      <c r="M6" s="37" t="s">
        <v>621</v>
      </c>
      <c r="N6" s="37" t="s">
        <v>117</v>
      </c>
      <c r="O6" s="37" t="s">
        <v>3</v>
      </c>
      <c r="P6" s="37" t="s">
        <v>116</v>
      </c>
      <c r="Q6" s="261"/>
      <c r="R6" s="101"/>
    </row>
    <row r="7" spans="1:18" s="32" customFormat="1" ht="30" customHeight="1" thickBot="1" x14ac:dyDescent="0.3">
      <c r="A7" s="234" t="s">
        <v>240</v>
      </c>
      <c r="B7" s="235"/>
      <c r="C7" s="235"/>
      <c r="D7" s="235"/>
      <c r="E7" s="235"/>
      <c r="F7" s="235"/>
      <c r="G7" s="237"/>
      <c r="H7" s="237"/>
      <c r="I7" s="237"/>
      <c r="J7" s="237"/>
      <c r="K7" s="235"/>
      <c r="L7" s="235"/>
      <c r="M7" s="235"/>
      <c r="N7" s="235"/>
      <c r="O7" s="235"/>
      <c r="P7" s="236"/>
      <c r="Q7" s="262"/>
    </row>
    <row r="8" spans="1:18" s="34" customFormat="1" ht="30" customHeight="1" x14ac:dyDescent="0.25">
      <c r="A8" s="131">
        <v>1</v>
      </c>
      <c r="B8" s="121" t="s">
        <v>239</v>
      </c>
      <c r="C8" s="131" t="s">
        <v>425</v>
      </c>
      <c r="D8" s="121" t="s">
        <v>235</v>
      </c>
      <c r="E8" s="135" t="s">
        <v>449</v>
      </c>
      <c r="F8" s="115">
        <v>245000</v>
      </c>
      <c r="G8" s="115">
        <f t="shared" ref="G8:G14" si="0">F8*2.87%</f>
        <v>7031.5</v>
      </c>
      <c r="H8" s="118">
        <f>187020*3.04%</f>
        <v>5685.4080000000004</v>
      </c>
      <c r="I8" s="115"/>
      <c r="J8" s="83">
        <f t="shared" ref="J8:J76" si="1">+G8+H8+I8</f>
        <v>12716.907999999999</v>
      </c>
      <c r="K8" s="83">
        <f t="shared" ref="K8:K9" si="2">+F8-J8</f>
        <v>232283.092</v>
      </c>
      <c r="L8" s="83">
        <f>+IF(K8*12&lt;=416220.01,0,IF(K8*12&lt;=624329.01,(((K8*12-416220.01)*0.15)/12),IF((K8*12&lt;=867123.01),(31216+0.2*(K8*12-624329.01))/12,((79776+0.25*(K8*12-867123.01))/12))))</f>
        <v>46653.710291666677</v>
      </c>
      <c r="M8" s="83"/>
      <c r="N8" s="119">
        <v>25</v>
      </c>
      <c r="O8" s="115">
        <f>+N8+I8+H8+G8+L8</f>
        <v>59395.618291666673</v>
      </c>
      <c r="P8" s="119">
        <f t="shared" ref="P8:P14" si="3">+F8-O8</f>
        <v>185604.38170833333</v>
      </c>
      <c r="Q8" s="263"/>
      <c r="R8" s="85"/>
    </row>
    <row r="9" spans="1:18" s="41" customFormat="1" ht="30" customHeight="1" x14ac:dyDescent="0.25">
      <c r="A9" s="38">
        <v>2</v>
      </c>
      <c r="B9" s="87" t="s">
        <v>236</v>
      </c>
      <c r="C9" s="86" t="s">
        <v>426</v>
      </c>
      <c r="D9" s="87" t="s">
        <v>104</v>
      </c>
      <c r="E9" s="197" t="s">
        <v>122</v>
      </c>
      <c r="F9" s="88">
        <v>140000</v>
      </c>
      <c r="G9" s="118">
        <f t="shared" si="0"/>
        <v>4018</v>
      </c>
      <c r="H9" s="118">
        <f t="shared" ref="H9:H14" si="4">+F9*3.04%</f>
        <v>4256</v>
      </c>
      <c r="I9" s="118"/>
      <c r="J9" s="83">
        <f t="shared" si="1"/>
        <v>8274</v>
      </c>
      <c r="K9" s="83">
        <f t="shared" si="2"/>
        <v>131726</v>
      </c>
      <c r="L9" s="83">
        <f t="shared" ref="L9:L20" si="5">+IF(K9*12&lt;=416220.01,0,IF(K9*12&lt;=624329.01,(((K9*12-416220.01)*0.15)/12),IF((K9*12&lt;=867123.01),(31216+0.2*(K9*12-624329.01))/12,((79776+0.25*(K9*12-867123.01))/12))))</f>
        <v>21514.437291666665</v>
      </c>
      <c r="M9" s="83"/>
      <c r="N9" s="119">
        <v>25</v>
      </c>
      <c r="O9" s="115">
        <f t="shared" ref="O9:O76" si="6">+N9+I9+H9+G9+L9</f>
        <v>29813.437291666665</v>
      </c>
      <c r="P9" s="119">
        <f t="shared" si="3"/>
        <v>110186.56270833334</v>
      </c>
      <c r="Q9" s="264"/>
      <c r="R9" s="55"/>
    </row>
    <row r="10" spans="1:18" s="41" customFormat="1" ht="33" customHeight="1" x14ac:dyDescent="0.25">
      <c r="A10" s="38">
        <v>3</v>
      </c>
      <c r="B10" s="177" t="s">
        <v>205</v>
      </c>
      <c r="C10" s="131" t="s">
        <v>426</v>
      </c>
      <c r="D10" s="177" t="s">
        <v>206</v>
      </c>
      <c r="E10" s="116" t="s">
        <v>231</v>
      </c>
      <c r="F10" s="115">
        <v>55000</v>
      </c>
      <c r="G10" s="83">
        <f t="shared" si="0"/>
        <v>1578.5</v>
      </c>
      <c r="H10" s="83">
        <f t="shared" si="4"/>
        <v>1672</v>
      </c>
      <c r="I10" s="83">
        <v>1577.45</v>
      </c>
      <c r="J10" s="83">
        <f>+G10+H10+I10</f>
        <v>4827.95</v>
      </c>
      <c r="K10" s="83">
        <f>+F10-J10</f>
        <v>50172.05</v>
      </c>
      <c r="L10" s="83">
        <f t="shared" si="5"/>
        <v>2323.0573750000008</v>
      </c>
      <c r="M10" s="83"/>
      <c r="N10" s="84">
        <v>125</v>
      </c>
      <c r="O10" s="115">
        <f t="shared" si="6"/>
        <v>7276.007375000001</v>
      </c>
      <c r="P10" s="84">
        <f t="shared" si="3"/>
        <v>47723.992624999999</v>
      </c>
      <c r="Q10" s="264"/>
      <c r="R10" s="55"/>
    </row>
    <row r="11" spans="1:18" s="41" customFormat="1" ht="30" customHeight="1" x14ac:dyDescent="0.25">
      <c r="A11" s="38">
        <v>4</v>
      </c>
      <c r="B11" s="116" t="s">
        <v>24</v>
      </c>
      <c r="C11" s="38" t="s">
        <v>426</v>
      </c>
      <c r="D11" s="116" t="s">
        <v>88</v>
      </c>
      <c r="E11" s="135" t="s">
        <v>122</v>
      </c>
      <c r="F11" s="118">
        <v>35000</v>
      </c>
      <c r="G11" s="118">
        <f t="shared" si="0"/>
        <v>1004.5</v>
      </c>
      <c r="H11" s="118">
        <f t="shared" si="4"/>
        <v>1064</v>
      </c>
      <c r="I11" s="118"/>
      <c r="J11" s="83">
        <f t="shared" si="1"/>
        <v>2068.5</v>
      </c>
      <c r="K11" s="83">
        <f t="shared" ref="K11:K80" si="7">+F11-J11</f>
        <v>32931.5</v>
      </c>
      <c r="L11" s="83">
        <f t="shared" si="5"/>
        <v>0</v>
      </c>
      <c r="M11" s="83"/>
      <c r="N11" s="119">
        <v>1125</v>
      </c>
      <c r="O11" s="115">
        <f t="shared" si="6"/>
        <v>3193.5</v>
      </c>
      <c r="P11" s="119">
        <f t="shared" si="3"/>
        <v>31806.5</v>
      </c>
      <c r="Q11" s="264"/>
      <c r="R11" s="55"/>
    </row>
    <row r="12" spans="1:18" s="41" customFormat="1" ht="30" customHeight="1" x14ac:dyDescent="0.25">
      <c r="A12" s="38">
        <v>5</v>
      </c>
      <c r="B12" s="116" t="s">
        <v>237</v>
      </c>
      <c r="C12" s="38" t="s">
        <v>426</v>
      </c>
      <c r="D12" s="116" t="s">
        <v>88</v>
      </c>
      <c r="E12" s="135" t="s">
        <v>122</v>
      </c>
      <c r="F12" s="118">
        <v>35000</v>
      </c>
      <c r="G12" s="118">
        <f t="shared" si="0"/>
        <v>1004.5</v>
      </c>
      <c r="H12" s="118">
        <f t="shared" si="4"/>
        <v>1064</v>
      </c>
      <c r="I12" s="118"/>
      <c r="J12" s="83">
        <f t="shared" si="1"/>
        <v>2068.5</v>
      </c>
      <c r="K12" s="83">
        <f t="shared" si="7"/>
        <v>32931.5</v>
      </c>
      <c r="L12" s="83">
        <f t="shared" si="5"/>
        <v>0</v>
      </c>
      <c r="M12" s="83"/>
      <c r="N12" s="119">
        <v>2125</v>
      </c>
      <c r="O12" s="115">
        <f t="shared" si="6"/>
        <v>4193.5</v>
      </c>
      <c r="P12" s="119">
        <f t="shared" si="3"/>
        <v>30806.5</v>
      </c>
      <c r="Q12" s="264"/>
      <c r="R12" s="55"/>
    </row>
    <row r="13" spans="1:18" s="41" customFormat="1" ht="30" customHeight="1" x14ac:dyDescent="0.25">
      <c r="A13" s="38">
        <v>6</v>
      </c>
      <c r="B13" s="116" t="s">
        <v>238</v>
      </c>
      <c r="C13" s="38" t="s">
        <v>426</v>
      </c>
      <c r="D13" s="116" t="s">
        <v>88</v>
      </c>
      <c r="E13" s="135" t="s">
        <v>122</v>
      </c>
      <c r="F13" s="118">
        <v>35000</v>
      </c>
      <c r="G13" s="118">
        <f t="shared" si="0"/>
        <v>1004.5</v>
      </c>
      <c r="H13" s="118">
        <f t="shared" si="4"/>
        <v>1064</v>
      </c>
      <c r="I13" s="118"/>
      <c r="J13" s="83">
        <f t="shared" si="1"/>
        <v>2068.5</v>
      </c>
      <c r="K13" s="83">
        <f t="shared" si="7"/>
        <v>32931.5</v>
      </c>
      <c r="L13" s="83">
        <f t="shared" si="5"/>
        <v>0</v>
      </c>
      <c r="M13" s="83"/>
      <c r="N13" s="119">
        <v>8778.26</v>
      </c>
      <c r="O13" s="115">
        <f>+N13+I13+H13+G13+L13</f>
        <v>10846.76</v>
      </c>
      <c r="P13" s="119">
        <f t="shared" si="3"/>
        <v>24153.239999999998</v>
      </c>
      <c r="Q13" s="264"/>
      <c r="R13" s="55"/>
    </row>
    <row r="14" spans="1:18" s="41" customFormat="1" ht="30" customHeight="1" x14ac:dyDescent="0.25">
      <c r="A14" s="38">
        <v>7</v>
      </c>
      <c r="B14" s="121" t="s">
        <v>594</v>
      </c>
      <c r="C14" s="131" t="s">
        <v>426</v>
      </c>
      <c r="D14" s="132" t="s">
        <v>104</v>
      </c>
      <c r="E14" s="116" t="s">
        <v>121</v>
      </c>
      <c r="F14" s="115">
        <v>80000</v>
      </c>
      <c r="G14" s="115">
        <f t="shared" si="0"/>
        <v>2296</v>
      </c>
      <c r="H14" s="115">
        <f t="shared" si="4"/>
        <v>2432</v>
      </c>
      <c r="I14" s="115"/>
      <c r="J14" s="83">
        <f t="shared" si="1"/>
        <v>4728</v>
      </c>
      <c r="K14" s="83">
        <f t="shared" si="7"/>
        <v>75272</v>
      </c>
      <c r="L14" s="83">
        <f t="shared" si="5"/>
        <v>7400.9372916666662</v>
      </c>
      <c r="M14" s="83"/>
      <c r="N14" s="120">
        <v>25</v>
      </c>
      <c r="O14" s="115">
        <f t="shared" si="6"/>
        <v>12153.937291666665</v>
      </c>
      <c r="P14" s="119">
        <f t="shared" si="3"/>
        <v>67846.062708333338</v>
      </c>
      <c r="Q14" s="264"/>
      <c r="R14" s="55"/>
    </row>
    <row r="15" spans="1:18" s="55" customFormat="1" ht="30" customHeight="1" x14ac:dyDescent="0.25">
      <c r="A15" s="38">
        <v>8</v>
      </c>
      <c r="B15" s="121" t="s">
        <v>41</v>
      </c>
      <c r="C15" s="131" t="s">
        <v>426</v>
      </c>
      <c r="D15" s="157" t="s">
        <v>521</v>
      </c>
      <c r="E15" s="121" t="s">
        <v>121</v>
      </c>
      <c r="F15" s="115">
        <v>135000</v>
      </c>
      <c r="G15" s="83">
        <f>F15*2.87%</f>
        <v>3874.5</v>
      </c>
      <c r="H15" s="83">
        <f>+F15*3.04%</f>
        <v>4104</v>
      </c>
      <c r="I15" s="83"/>
      <c r="J15" s="83">
        <f>+G15+H15+I15</f>
        <v>7978.5</v>
      </c>
      <c r="K15" s="83">
        <f t="shared" ref="K15:K20" si="8">+F15-J15</f>
        <v>127021.5</v>
      </c>
      <c r="L15" s="83">
        <f t="shared" si="5"/>
        <v>20338.312291666665</v>
      </c>
      <c r="M15" s="83"/>
      <c r="N15" s="90">
        <v>125</v>
      </c>
      <c r="O15" s="115">
        <f>+N15+I15+H15+G15+L15</f>
        <v>28441.812291666665</v>
      </c>
      <c r="P15" s="90">
        <f>+F15-O15</f>
        <v>106558.18770833334</v>
      </c>
      <c r="Q15" s="264"/>
    </row>
    <row r="16" spans="1:18" s="55" customFormat="1" ht="30" customHeight="1" x14ac:dyDescent="0.25">
      <c r="A16" s="38">
        <v>9</v>
      </c>
      <c r="B16" s="121" t="s">
        <v>622</v>
      </c>
      <c r="C16" s="131" t="s">
        <v>426</v>
      </c>
      <c r="D16" s="157" t="s">
        <v>88</v>
      </c>
      <c r="E16" s="121" t="s">
        <v>121</v>
      </c>
      <c r="F16" s="115">
        <v>35000</v>
      </c>
      <c r="G16" s="83">
        <f>F16*2.87%</f>
        <v>1004.5</v>
      </c>
      <c r="H16" s="83">
        <f>+F16*3.04%</f>
        <v>1064</v>
      </c>
      <c r="I16" s="83"/>
      <c r="J16" s="83">
        <f>+G16+H16+I16</f>
        <v>2068.5</v>
      </c>
      <c r="K16" s="83">
        <f t="shared" si="8"/>
        <v>32931.5</v>
      </c>
      <c r="L16" s="83">
        <f t="shared" si="5"/>
        <v>0</v>
      </c>
      <c r="M16" s="83"/>
      <c r="N16" s="90">
        <v>25</v>
      </c>
      <c r="O16" s="115">
        <f>+N16+I16+H16+G16+L16</f>
        <v>2093.5</v>
      </c>
      <c r="P16" s="90">
        <f>+F16-O16</f>
        <v>32906.5</v>
      </c>
      <c r="Q16" s="264"/>
    </row>
    <row r="17" spans="1:18" s="55" customFormat="1" ht="30" customHeight="1" x14ac:dyDescent="0.25">
      <c r="A17" s="38">
        <v>10</v>
      </c>
      <c r="B17" s="121" t="s">
        <v>670</v>
      </c>
      <c r="C17" s="131" t="s">
        <v>426</v>
      </c>
      <c r="D17" s="157" t="s">
        <v>88</v>
      </c>
      <c r="E17" s="121" t="s">
        <v>121</v>
      </c>
      <c r="F17" s="115">
        <v>35000</v>
      </c>
      <c r="G17" s="83">
        <f t="shared" ref="G17:G20" si="9">F17*2.87%</f>
        <v>1004.5</v>
      </c>
      <c r="H17" s="83">
        <f t="shared" ref="H17:H20" si="10">+F17*3.04%</f>
        <v>1064</v>
      </c>
      <c r="I17" s="83"/>
      <c r="J17" s="83">
        <f t="shared" ref="J17:J20" si="11">+G17+H17+I17</f>
        <v>2068.5</v>
      </c>
      <c r="K17" s="83">
        <f t="shared" si="8"/>
        <v>32931.5</v>
      </c>
      <c r="L17" s="83">
        <f t="shared" si="5"/>
        <v>0</v>
      </c>
      <c r="M17" s="83"/>
      <c r="N17" s="90">
        <v>25</v>
      </c>
      <c r="O17" s="115">
        <f t="shared" ref="O17:O20" si="12">+N17+I17+H17+G17+L17</f>
        <v>2093.5</v>
      </c>
      <c r="P17" s="90">
        <f t="shared" ref="P17:P20" si="13">+F17-O17</f>
        <v>32906.5</v>
      </c>
      <c r="Q17" s="264"/>
    </row>
    <row r="18" spans="1:18" s="55" customFormat="1" ht="30" customHeight="1" x14ac:dyDescent="0.25">
      <c r="A18" s="38">
        <v>11</v>
      </c>
      <c r="B18" s="121" t="s">
        <v>671</v>
      </c>
      <c r="C18" s="131" t="s">
        <v>426</v>
      </c>
      <c r="D18" s="157" t="s">
        <v>88</v>
      </c>
      <c r="E18" s="121" t="s">
        <v>121</v>
      </c>
      <c r="F18" s="115">
        <v>35000</v>
      </c>
      <c r="G18" s="83">
        <f t="shared" si="9"/>
        <v>1004.5</v>
      </c>
      <c r="H18" s="83">
        <f t="shared" si="10"/>
        <v>1064</v>
      </c>
      <c r="I18" s="83"/>
      <c r="J18" s="83">
        <f t="shared" si="11"/>
        <v>2068.5</v>
      </c>
      <c r="K18" s="83">
        <f t="shared" si="8"/>
        <v>32931.5</v>
      </c>
      <c r="L18" s="83">
        <f t="shared" si="5"/>
        <v>0</v>
      </c>
      <c r="M18" s="83"/>
      <c r="N18" s="90">
        <v>25</v>
      </c>
      <c r="O18" s="115">
        <f t="shared" si="12"/>
        <v>2093.5</v>
      </c>
      <c r="P18" s="90">
        <f t="shared" si="13"/>
        <v>32906.5</v>
      </c>
      <c r="Q18" s="264"/>
    </row>
    <row r="19" spans="1:18" s="55" customFormat="1" ht="30" customHeight="1" x14ac:dyDescent="0.25">
      <c r="A19" s="38">
        <v>12</v>
      </c>
      <c r="B19" s="121" t="s">
        <v>672</v>
      </c>
      <c r="C19" s="131" t="s">
        <v>426</v>
      </c>
      <c r="D19" s="157" t="s">
        <v>88</v>
      </c>
      <c r="E19" s="121" t="s">
        <v>121</v>
      </c>
      <c r="F19" s="115">
        <v>40000</v>
      </c>
      <c r="G19" s="83">
        <f t="shared" si="9"/>
        <v>1148</v>
      </c>
      <c r="H19" s="83">
        <f t="shared" si="10"/>
        <v>1216</v>
      </c>
      <c r="I19" s="83"/>
      <c r="J19" s="83">
        <f t="shared" si="11"/>
        <v>2364</v>
      </c>
      <c r="K19" s="83">
        <f t="shared" si="8"/>
        <v>37636</v>
      </c>
      <c r="L19" s="83">
        <f t="shared" si="5"/>
        <v>442.64987499999984</v>
      </c>
      <c r="M19" s="83"/>
      <c r="N19" s="90">
        <v>25</v>
      </c>
      <c r="O19" s="115">
        <f t="shared" si="12"/>
        <v>2831.6498750000001</v>
      </c>
      <c r="P19" s="90">
        <f t="shared" si="13"/>
        <v>37168.350124999997</v>
      </c>
      <c r="Q19" s="264"/>
    </row>
    <row r="20" spans="1:18" s="55" customFormat="1" ht="30" customHeight="1" x14ac:dyDescent="0.25">
      <c r="A20" s="38">
        <v>13</v>
      </c>
      <c r="B20" s="121" t="s">
        <v>76</v>
      </c>
      <c r="C20" s="131" t="s">
        <v>426</v>
      </c>
      <c r="D20" s="157" t="s">
        <v>369</v>
      </c>
      <c r="E20" s="121" t="s">
        <v>121</v>
      </c>
      <c r="F20" s="115">
        <v>90000</v>
      </c>
      <c r="G20" s="83">
        <f t="shared" si="9"/>
        <v>2583</v>
      </c>
      <c r="H20" s="83">
        <f t="shared" si="10"/>
        <v>2736</v>
      </c>
      <c r="I20" s="83"/>
      <c r="J20" s="83">
        <f t="shared" si="11"/>
        <v>5319</v>
      </c>
      <c r="K20" s="83">
        <f t="shared" si="8"/>
        <v>84681</v>
      </c>
      <c r="L20" s="83">
        <f t="shared" si="5"/>
        <v>9753.1872916666671</v>
      </c>
      <c r="M20" s="83"/>
      <c r="N20" s="90">
        <v>25</v>
      </c>
      <c r="O20" s="115">
        <f t="shared" si="12"/>
        <v>15097.187291666667</v>
      </c>
      <c r="P20" s="90">
        <f t="shared" si="13"/>
        <v>74902.812708333338</v>
      </c>
      <c r="Q20" s="264"/>
    </row>
    <row r="21" spans="1:18" s="42" customFormat="1" ht="30" customHeight="1" x14ac:dyDescent="0.25">
      <c r="A21" s="226" t="s">
        <v>125</v>
      </c>
      <c r="B21" s="227"/>
      <c r="C21" s="227"/>
      <c r="D21" s="227"/>
      <c r="E21" s="227"/>
      <c r="F21" s="39">
        <f t="shared" ref="F21:P21" si="14">SUM(F8:F20)</f>
        <v>995000</v>
      </c>
      <c r="G21" s="39">
        <f t="shared" si="14"/>
        <v>28556.5</v>
      </c>
      <c r="H21" s="39">
        <f t="shared" si="14"/>
        <v>28485.407999999999</v>
      </c>
      <c r="I21" s="39">
        <f t="shared" si="14"/>
        <v>1577.45</v>
      </c>
      <c r="J21" s="39">
        <f t="shared" si="14"/>
        <v>58619.358</v>
      </c>
      <c r="K21" s="39">
        <f t="shared" si="14"/>
        <v>936380.64199999999</v>
      </c>
      <c r="L21" s="39">
        <f t="shared" si="14"/>
        <v>108426.29170833333</v>
      </c>
      <c r="M21" s="39">
        <f t="shared" si="14"/>
        <v>0</v>
      </c>
      <c r="N21" s="39">
        <f t="shared" si="14"/>
        <v>12478.26</v>
      </c>
      <c r="O21" s="39">
        <f t="shared" si="14"/>
        <v>179523.90970833332</v>
      </c>
      <c r="P21" s="39">
        <f t="shared" si="14"/>
        <v>815476.09029166668</v>
      </c>
      <c r="Q21" s="265"/>
      <c r="R21" s="92"/>
    </row>
    <row r="22" spans="1:18" s="33" customFormat="1" ht="22.5" customHeight="1" thickBot="1" x14ac:dyDescent="0.3">
      <c r="A22" s="43"/>
      <c r="B22" s="44"/>
      <c r="C22" s="46"/>
      <c r="D22" s="45"/>
      <c r="E22" s="45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266"/>
    </row>
    <row r="23" spans="1:18" s="76" customFormat="1" ht="28.5" customHeight="1" thickBot="1" x14ac:dyDescent="0.3">
      <c r="A23" s="229" t="s">
        <v>153</v>
      </c>
      <c r="B23" s="230"/>
      <c r="C23" s="230"/>
      <c r="D23" s="230"/>
      <c r="E23" s="230"/>
      <c r="F23" s="230"/>
      <c r="G23" s="230"/>
      <c r="H23" s="230"/>
      <c r="I23" s="230"/>
      <c r="J23" s="230"/>
      <c r="K23" s="230"/>
      <c r="L23" s="230"/>
      <c r="M23" s="230"/>
      <c r="N23" s="230"/>
      <c r="O23" s="230"/>
      <c r="P23" s="231"/>
      <c r="Q23" s="262"/>
      <c r="R23" s="32"/>
    </row>
    <row r="24" spans="1:18" s="41" customFormat="1" ht="30" customHeight="1" x14ac:dyDescent="0.25">
      <c r="A24" s="131">
        <f>+A20+1</f>
        <v>14</v>
      </c>
      <c r="B24" s="121" t="s">
        <v>183</v>
      </c>
      <c r="C24" s="131" t="s">
        <v>426</v>
      </c>
      <c r="D24" s="132" t="s">
        <v>106</v>
      </c>
      <c r="E24" s="116" t="s">
        <v>122</v>
      </c>
      <c r="F24" s="115">
        <v>200000</v>
      </c>
      <c r="G24" s="115">
        <f>F24*2.87%</f>
        <v>5740</v>
      </c>
      <c r="H24" s="115">
        <f>187020*3.04%</f>
        <v>5685.4080000000004</v>
      </c>
      <c r="I24" s="115">
        <v>1577.45</v>
      </c>
      <c r="J24" s="83">
        <f>+G24+H24+I24</f>
        <v>13002.858</v>
      </c>
      <c r="K24" s="83">
        <f>+F24-J24</f>
        <v>186997.14199999999</v>
      </c>
      <c r="L24" s="83">
        <f t="shared" ref="L24:L79" si="15">+IF(K24*12&lt;=416220.01,0,IF(K24*12&lt;=624329.01,(((K24*12-416220.01)*0.15)/12),IF((K24*12&lt;=867123.01),(31216+0.2*(K24*12-624329.01))/12,((79776+0.25*(K24*12-867123.01))/12))))</f>
        <v>35332.222791666667</v>
      </c>
      <c r="M24" s="83"/>
      <c r="N24" s="120">
        <v>25</v>
      </c>
      <c r="O24" s="115">
        <f>+N24+I24+H24+G24+L24</f>
        <v>48360.080791666667</v>
      </c>
      <c r="P24" s="119">
        <f>+F24-O24</f>
        <v>151639.91920833333</v>
      </c>
      <c r="Q24" s="264"/>
      <c r="R24" s="55"/>
    </row>
    <row r="25" spans="1:18" s="41" customFormat="1" ht="30" customHeight="1" x14ac:dyDescent="0.25">
      <c r="A25" s="131">
        <f>+A24+1</f>
        <v>15</v>
      </c>
      <c r="B25" s="121" t="s">
        <v>541</v>
      </c>
      <c r="C25" s="131" t="s">
        <v>426</v>
      </c>
      <c r="D25" s="132" t="s">
        <v>123</v>
      </c>
      <c r="E25" s="116" t="s">
        <v>122</v>
      </c>
      <c r="F25" s="115">
        <v>90000</v>
      </c>
      <c r="G25" s="115">
        <f>F25*2.87%</f>
        <v>2583</v>
      </c>
      <c r="H25" s="115">
        <f>F25*3.04%</f>
        <v>2736</v>
      </c>
      <c r="I25" s="115"/>
      <c r="J25" s="83">
        <f>+G25+H25+I25</f>
        <v>5319</v>
      </c>
      <c r="K25" s="83">
        <f>+F25-J25</f>
        <v>84681</v>
      </c>
      <c r="L25" s="83">
        <f>+IF(K25*12&lt;=416220.01,0,IF(K25*12&lt;=624329.01,(((K25*12-416220.01)*0.15)/12),IF((K25*12&lt;=867123.01),(31216+0.2*(K25*12-624329.01))/12,((79776+0.25*(K25*12-867123.01))/12))))</f>
        <v>9753.1872916666671</v>
      </c>
      <c r="M25" s="83"/>
      <c r="N25" s="120">
        <v>25</v>
      </c>
      <c r="O25" s="115">
        <f>+N25+I25+H25+G25+L25</f>
        <v>15097.187291666667</v>
      </c>
      <c r="P25" s="119">
        <f>+F25-O25</f>
        <v>74902.812708333338</v>
      </c>
      <c r="Q25" s="264"/>
      <c r="R25" s="55"/>
    </row>
    <row r="26" spans="1:18" s="42" customFormat="1" ht="30" customHeight="1" x14ac:dyDescent="0.25">
      <c r="A26" s="226" t="s">
        <v>125</v>
      </c>
      <c r="B26" s="227"/>
      <c r="C26" s="227"/>
      <c r="D26" s="227"/>
      <c r="E26" s="227"/>
      <c r="F26" s="39">
        <f>SUM(F24:F25)</f>
        <v>290000</v>
      </c>
      <c r="G26" s="39">
        <f t="shared" ref="G26:P26" si="16">SUM(G24:G25)</f>
        <v>8323</v>
      </c>
      <c r="H26" s="39">
        <f t="shared" si="16"/>
        <v>8421.4079999999994</v>
      </c>
      <c r="I26" s="39">
        <f t="shared" si="16"/>
        <v>1577.45</v>
      </c>
      <c r="J26" s="39">
        <f t="shared" si="16"/>
        <v>18321.858</v>
      </c>
      <c r="K26" s="39">
        <f>SUM(K24:K25)</f>
        <v>271678.14199999999</v>
      </c>
      <c r="L26" s="39">
        <f t="shared" si="16"/>
        <v>45085.410083333336</v>
      </c>
      <c r="M26" s="39">
        <f t="shared" si="16"/>
        <v>0</v>
      </c>
      <c r="N26" s="39">
        <f t="shared" si="16"/>
        <v>50</v>
      </c>
      <c r="O26" s="39">
        <f t="shared" si="16"/>
        <v>63457.268083333336</v>
      </c>
      <c r="P26" s="39">
        <f t="shared" si="16"/>
        <v>226542.73191666667</v>
      </c>
      <c r="Q26" s="265"/>
      <c r="R26" s="92"/>
    </row>
    <row r="27" spans="1:18" s="33" customFormat="1" ht="15" customHeight="1" thickBot="1" x14ac:dyDescent="0.3">
      <c r="A27" s="43"/>
      <c r="B27" s="44"/>
      <c r="C27" s="46"/>
      <c r="D27" s="45"/>
      <c r="E27" s="45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266"/>
    </row>
    <row r="28" spans="1:18" s="32" customFormat="1" ht="30" customHeight="1" thickBot="1" x14ac:dyDescent="0.3">
      <c r="A28" s="229" t="s">
        <v>179</v>
      </c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62"/>
    </row>
    <row r="29" spans="1:18" s="42" customFormat="1" ht="30" customHeight="1" x14ac:dyDescent="0.25">
      <c r="A29" s="38">
        <f>+A25+1</f>
        <v>16</v>
      </c>
      <c r="B29" s="116" t="s">
        <v>139</v>
      </c>
      <c r="C29" s="38" t="s">
        <v>426</v>
      </c>
      <c r="D29" s="117" t="s">
        <v>468</v>
      </c>
      <c r="E29" s="116" t="s">
        <v>121</v>
      </c>
      <c r="F29" s="118">
        <v>170500</v>
      </c>
      <c r="G29" s="118">
        <f>F29*2.87%</f>
        <v>4893.3500000000004</v>
      </c>
      <c r="H29" s="115">
        <f>+F29*3.04%</f>
        <v>5183.2</v>
      </c>
      <c r="I29" s="115"/>
      <c r="J29" s="83">
        <f t="shared" si="1"/>
        <v>10076.549999999999</v>
      </c>
      <c r="K29" s="83">
        <f>+F29-J29</f>
        <v>160423.45000000001</v>
      </c>
      <c r="L29" s="83">
        <f t="shared" si="15"/>
        <v>28688.799791666668</v>
      </c>
      <c r="M29" s="83"/>
      <c r="N29" s="120">
        <v>7527.87</v>
      </c>
      <c r="O29" s="115">
        <f>+N29+I29+H29+G29+L29</f>
        <v>46293.219791666663</v>
      </c>
      <c r="P29" s="119">
        <f>+F29-O29</f>
        <v>124206.78020833334</v>
      </c>
      <c r="Q29" s="265"/>
      <c r="R29" s="92"/>
    </row>
    <row r="30" spans="1:18" s="42" customFormat="1" ht="22.5" customHeight="1" x14ac:dyDescent="0.25">
      <c r="A30" s="226" t="s">
        <v>125</v>
      </c>
      <c r="B30" s="227"/>
      <c r="C30" s="227"/>
      <c r="D30" s="227"/>
      <c r="E30" s="227"/>
      <c r="F30" s="39">
        <f>SUM(F29)</f>
        <v>170500</v>
      </c>
      <c r="G30" s="39">
        <f t="shared" ref="G30:P30" si="17">SUM(G29)</f>
        <v>4893.3500000000004</v>
      </c>
      <c r="H30" s="39">
        <f t="shared" si="17"/>
        <v>5183.2</v>
      </c>
      <c r="I30" s="39"/>
      <c r="J30" s="39">
        <f>+G30+H30+I30</f>
        <v>10076.549999999999</v>
      </c>
      <c r="K30" s="39">
        <f>+F30-J30</f>
        <v>160423.45000000001</v>
      </c>
      <c r="L30" s="39">
        <f t="shared" si="15"/>
        <v>28688.799791666668</v>
      </c>
      <c r="M30" s="39"/>
      <c r="N30" s="39">
        <f t="shared" si="17"/>
        <v>7527.87</v>
      </c>
      <c r="O30" s="39">
        <f>+N30+I30+H30+G30+L30</f>
        <v>46293.219791666663</v>
      </c>
      <c r="P30" s="39">
        <f t="shared" si="17"/>
        <v>124206.78020833334</v>
      </c>
      <c r="Q30" s="265"/>
      <c r="R30" s="92"/>
    </row>
    <row r="31" spans="1:18" s="33" customFormat="1" ht="18" customHeight="1" thickBot="1" x14ac:dyDescent="0.3">
      <c r="A31" s="43"/>
      <c r="B31" s="44"/>
      <c r="C31" s="46"/>
      <c r="D31" s="45"/>
      <c r="E31" s="45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266"/>
    </row>
    <row r="32" spans="1:18" s="76" customFormat="1" ht="30" customHeight="1" thickBot="1" x14ac:dyDescent="0.3">
      <c r="A32" s="229" t="s">
        <v>154</v>
      </c>
      <c r="B32" s="230"/>
      <c r="C32" s="230"/>
      <c r="D32" s="230"/>
      <c r="E32" s="230"/>
      <c r="F32" s="230"/>
      <c r="G32" s="230"/>
      <c r="H32" s="230"/>
      <c r="I32" s="230"/>
      <c r="J32" s="230"/>
      <c r="K32" s="230"/>
      <c r="L32" s="230"/>
      <c r="M32" s="230"/>
      <c r="N32" s="230"/>
      <c r="O32" s="230"/>
      <c r="P32" s="230"/>
      <c r="Q32" s="262"/>
      <c r="R32" s="32"/>
    </row>
    <row r="33" spans="1:18" s="41" customFormat="1" ht="46.5" customHeight="1" x14ac:dyDescent="0.25">
      <c r="A33" s="86">
        <f>+A29+1</f>
        <v>17</v>
      </c>
      <c r="B33" s="116" t="s">
        <v>253</v>
      </c>
      <c r="C33" s="38" t="s">
        <v>426</v>
      </c>
      <c r="D33" s="117" t="s">
        <v>51</v>
      </c>
      <c r="E33" s="116" t="s">
        <v>122</v>
      </c>
      <c r="F33" s="118">
        <v>104000</v>
      </c>
      <c r="G33" s="88">
        <f>F33*2.87%</f>
        <v>2984.8</v>
      </c>
      <c r="H33" s="88">
        <f>+F33*3.04%</f>
        <v>3161.6</v>
      </c>
      <c r="I33" s="88">
        <v>3154.9</v>
      </c>
      <c r="J33" s="83">
        <f t="shared" si="1"/>
        <v>9301.2999999999993</v>
      </c>
      <c r="K33" s="83">
        <f t="shared" si="7"/>
        <v>94698.7</v>
      </c>
      <c r="L33" s="83">
        <f>+IF(K33*12&lt;=416220.01,0,IF(K33*12&lt;=624329.01,(((K33*12-416220.01)*0.15)/12),IF((K33*12&lt;=867123.01),(31216+0.2*(K33*12-624329.01))/12,((79776+0.25*(K33*12-867123.01))/12))))</f>
        <v>12257.612291666665</v>
      </c>
      <c r="M33" s="83"/>
      <c r="N33" s="90">
        <v>10846.13</v>
      </c>
      <c r="O33" s="115">
        <f t="shared" si="6"/>
        <v>32405.042291666661</v>
      </c>
      <c r="P33" s="84">
        <f>+F33-O33</f>
        <v>71594.957708333342</v>
      </c>
      <c r="Q33" s="264"/>
      <c r="R33" s="55"/>
    </row>
    <row r="34" spans="1:18" s="133" customFormat="1" ht="30" customHeight="1" x14ac:dyDescent="0.25">
      <c r="A34" s="131">
        <f>+A33+1</f>
        <v>18</v>
      </c>
      <c r="B34" s="116" t="s">
        <v>67</v>
      </c>
      <c r="C34" s="131" t="s">
        <v>426</v>
      </c>
      <c r="D34" s="116" t="s">
        <v>51</v>
      </c>
      <c r="E34" s="116" t="s">
        <v>121</v>
      </c>
      <c r="F34" s="118">
        <v>90000</v>
      </c>
      <c r="G34" s="118">
        <f>F34*2.87%</f>
        <v>2583</v>
      </c>
      <c r="H34" s="118">
        <f>+F34*3.04%</f>
        <v>2736</v>
      </c>
      <c r="I34" s="118"/>
      <c r="J34" s="83">
        <f t="shared" si="1"/>
        <v>5319</v>
      </c>
      <c r="K34" s="83">
        <f t="shared" si="7"/>
        <v>84681</v>
      </c>
      <c r="L34" s="83">
        <f t="shared" ref="L34:L35" si="18">+IF(K34*12&lt;=416220.01,0,IF(K34*12&lt;=624329.01,(((K34*12-416220.01)*0.15)/12),IF((K34*12&lt;=867123.01),(31216+0.2*(K34*12-624329.01))/12,((79776+0.25*(K34*12-867123.01))/12))))</f>
        <v>9753.1872916666671</v>
      </c>
      <c r="M34" s="83"/>
      <c r="N34" s="120">
        <v>165</v>
      </c>
      <c r="O34" s="115">
        <f t="shared" si="6"/>
        <v>15237.187291666667</v>
      </c>
      <c r="P34" s="119">
        <f>+F34-O34</f>
        <v>74762.812708333338</v>
      </c>
      <c r="Q34" s="266"/>
      <c r="R34" s="33"/>
    </row>
    <row r="35" spans="1:18" s="49" customFormat="1" ht="30" customHeight="1" x14ac:dyDescent="0.25">
      <c r="A35" s="131">
        <f>+A34+1</f>
        <v>19</v>
      </c>
      <c r="B35" s="116" t="s">
        <v>57</v>
      </c>
      <c r="C35" s="131" t="s">
        <v>426</v>
      </c>
      <c r="D35" s="117" t="s">
        <v>51</v>
      </c>
      <c r="E35" s="116" t="s">
        <v>121</v>
      </c>
      <c r="F35" s="118">
        <v>80000</v>
      </c>
      <c r="G35" s="118">
        <f>F35*2.87%</f>
        <v>2296</v>
      </c>
      <c r="H35" s="118">
        <f>+F35*3.04%</f>
        <v>2432</v>
      </c>
      <c r="I35" s="118"/>
      <c r="J35" s="83">
        <f t="shared" si="1"/>
        <v>4728</v>
      </c>
      <c r="K35" s="83">
        <f t="shared" si="7"/>
        <v>75272</v>
      </c>
      <c r="L35" s="83">
        <f t="shared" si="18"/>
        <v>7400.9372916666662</v>
      </c>
      <c r="M35" s="83"/>
      <c r="N35" s="120">
        <v>4548.07</v>
      </c>
      <c r="O35" s="115">
        <f t="shared" si="6"/>
        <v>16677.007291666665</v>
      </c>
      <c r="P35" s="119">
        <f>+F35-O35</f>
        <v>63322.992708333331</v>
      </c>
      <c r="Q35" s="267"/>
      <c r="R35" s="93"/>
    </row>
    <row r="36" spans="1:18" s="41" customFormat="1" ht="27" customHeight="1" x14ac:dyDescent="0.25">
      <c r="A36" s="226" t="s">
        <v>125</v>
      </c>
      <c r="B36" s="227"/>
      <c r="C36" s="227"/>
      <c r="D36" s="227"/>
      <c r="E36" s="228"/>
      <c r="F36" s="39">
        <f>SUM(F33:F35)</f>
        <v>274000</v>
      </c>
      <c r="G36" s="39">
        <f t="shared" ref="G36:P36" si="19">SUM(G33:G35)</f>
        <v>7863.8</v>
      </c>
      <c r="H36" s="39">
        <f t="shared" si="19"/>
        <v>8329.6</v>
      </c>
      <c r="I36" s="39">
        <f t="shared" si="19"/>
        <v>3154.9</v>
      </c>
      <c r="J36" s="39">
        <f t="shared" si="19"/>
        <v>19348.3</v>
      </c>
      <c r="K36" s="39">
        <f t="shared" si="19"/>
        <v>254651.7</v>
      </c>
      <c r="L36" s="39">
        <f t="shared" si="19"/>
        <v>29411.736874999999</v>
      </c>
      <c r="M36" s="39">
        <f t="shared" si="19"/>
        <v>0</v>
      </c>
      <c r="N36" s="39">
        <f t="shared" si="19"/>
        <v>15559.199999999999</v>
      </c>
      <c r="O36" s="39">
        <f t="shared" si="19"/>
        <v>64319.236874999988</v>
      </c>
      <c r="P36" s="39">
        <f t="shared" si="19"/>
        <v>209680.76312500003</v>
      </c>
      <c r="Q36" s="264"/>
      <c r="R36" s="55"/>
    </row>
    <row r="37" spans="1:18" s="41" customFormat="1" ht="13.5" customHeight="1" thickBot="1" x14ac:dyDescent="0.3">
      <c r="A37" s="52"/>
      <c r="B37" s="52"/>
      <c r="C37" s="52"/>
      <c r="D37" s="52"/>
      <c r="E37" s="52"/>
      <c r="F37" s="42"/>
      <c r="G37" s="42"/>
      <c r="H37" s="42"/>
      <c r="I37" s="42"/>
      <c r="J37" s="83">
        <f t="shared" si="1"/>
        <v>0</v>
      </c>
      <c r="K37" s="83">
        <f t="shared" si="7"/>
        <v>0</v>
      </c>
      <c r="L37" s="83">
        <f t="shared" si="15"/>
        <v>0</v>
      </c>
      <c r="M37" s="55"/>
      <c r="N37" s="42"/>
      <c r="O37" s="115">
        <f t="shared" si="6"/>
        <v>0</v>
      </c>
      <c r="P37" s="42"/>
      <c r="Q37" s="264"/>
      <c r="R37" s="55"/>
    </row>
    <row r="38" spans="1:18" s="34" customFormat="1" ht="30" customHeight="1" thickBot="1" x14ac:dyDescent="0.3">
      <c r="A38" s="229" t="s">
        <v>155</v>
      </c>
      <c r="B38" s="230"/>
      <c r="C38" s="230"/>
      <c r="D38" s="230"/>
      <c r="E38" s="230"/>
      <c r="F38" s="230"/>
      <c r="G38" s="230"/>
      <c r="H38" s="230"/>
      <c r="I38" s="230"/>
      <c r="J38" s="230"/>
      <c r="K38" s="230"/>
      <c r="L38" s="230"/>
      <c r="M38" s="230"/>
      <c r="N38" s="230"/>
      <c r="O38" s="230"/>
      <c r="P38" s="230"/>
      <c r="Q38" s="263"/>
      <c r="R38" s="85"/>
    </row>
    <row r="39" spans="1:18" s="41" customFormat="1" ht="32.25" customHeight="1" x14ac:dyDescent="0.25">
      <c r="A39" s="131">
        <f>+A35+1</f>
        <v>20</v>
      </c>
      <c r="B39" s="121" t="s">
        <v>241</v>
      </c>
      <c r="C39" s="131" t="s">
        <v>426</v>
      </c>
      <c r="D39" s="157" t="s">
        <v>180</v>
      </c>
      <c r="E39" s="116" t="s">
        <v>122</v>
      </c>
      <c r="F39" s="115">
        <v>155000</v>
      </c>
      <c r="G39" s="118">
        <f>F39*2.87%</f>
        <v>4448.5</v>
      </c>
      <c r="H39" s="118">
        <f>F39*3.04%</f>
        <v>4712</v>
      </c>
      <c r="I39" s="115"/>
      <c r="J39" s="83">
        <f t="shared" si="1"/>
        <v>9160.5</v>
      </c>
      <c r="K39" s="83">
        <f t="shared" si="7"/>
        <v>145839.5</v>
      </c>
      <c r="L39" s="83">
        <f>+IF(K39*12&lt;=416220.01,0,IF(K39*12&lt;=624329.01,(((K39*12-416220.01)*0.15)/12),IF((K39*12&lt;=867123.01),(31216+0.2*(K39*12-624329.01))/12,((79776+0.25*(K39*12-867123.01))/12))))</f>
        <v>25042.812291666665</v>
      </c>
      <c r="M39" s="83"/>
      <c r="N39" s="120">
        <v>5858.55</v>
      </c>
      <c r="O39" s="115">
        <f t="shared" si="6"/>
        <v>40061.862291666665</v>
      </c>
      <c r="P39" s="119">
        <f>+F39-O39</f>
        <v>114938.13770833334</v>
      </c>
      <c r="Q39" s="264"/>
      <c r="R39" s="55"/>
    </row>
    <row r="40" spans="1:18" s="133" customFormat="1" ht="30" customHeight="1" x14ac:dyDescent="0.25">
      <c r="A40" s="131">
        <f>+A39+1</f>
        <v>21</v>
      </c>
      <c r="B40" s="116" t="s">
        <v>53</v>
      </c>
      <c r="C40" s="131" t="s">
        <v>426</v>
      </c>
      <c r="D40" s="116" t="s">
        <v>51</v>
      </c>
      <c r="E40" s="116" t="s">
        <v>122</v>
      </c>
      <c r="F40" s="118">
        <v>100000</v>
      </c>
      <c r="G40" s="118">
        <f>F40*2.87%</f>
        <v>2870</v>
      </c>
      <c r="H40" s="118">
        <f>+F40*3.04%</f>
        <v>3040</v>
      </c>
      <c r="I40" s="118"/>
      <c r="J40" s="83">
        <f t="shared" si="1"/>
        <v>5910</v>
      </c>
      <c r="K40" s="83">
        <f>+F40-J40</f>
        <v>94090</v>
      </c>
      <c r="L40" s="83">
        <f t="shared" ref="L40:L42" si="20">+IF(K40*12&lt;=416220.01,0,IF(K40*12&lt;=624329.01,(((K40*12-416220.01)*0.15)/12),IF((K40*12&lt;=867123.01),(31216+0.2*(K40*12-624329.01))/12,((79776+0.25*(K40*12-867123.01))/12))))</f>
        <v>12105.437291666667</v>
      </c>
      <c r="M40" s="83"/>
      <c r="N40" s="120">
        <v>65</v>
      </c>
      <c r="O40" s="115">
        <f t="shared" si="6"/>
        <v>18080.437291666669</v>
      </c>
      <c r="P40" s="119">
        <f>+F40-O40</f>
        <v>81919.562708333338</v>
      </c>
      <c r="Q40" s="266"/>
      <c r="R40" s="33"/>
    </row>
    <row r="41" spans="1:18" s="49" customFormat="1" ht="30" customHeight="1" x14ac:dyDescent="0.25">
      <c r="A41" s="131">
        <f>+A40+1</f>
        <v>22</v>
      </c>
      <c r="B41" s="116" t="s">
        <v>242</v>
      </c>
      <c r="C41" s="131" t="s">
        <v>426</v>
      </c>
      <c r="D41" s="117" t="s">
        <v>51</v>
      </c>
      <c r="E41" s="116" t="s">
        <v>121</v>
      </c>
      <c r="F41" s="118">
        <v>80000</v>
      </c>
      <c r="G41" s="118">
        <f>F41*2.87%</f>
        <v>2296</v>
      </c>
      <c r="H41" s="118">
        <f>+F41*3.04%</f>
        <v>2432</v>
      </c>
      <c r="I41" s="118"/>
      <c r="J41" s="83">
        <f t="shared" si="1"/>
        <v>4728</v>
      </c>
      <c r="K41" s="83">
        <f t="shared" si="7"/>
        <v>75272</v>
      </c>
      <c r="L41" s="83">
        <f t="shared" si="20"/>
        <v>7400.9372916666662</v>
      </c>
      <c r="M41" s="83"/>
      <c r="N41" s="120">
        <v>125</v>
      </c>
      <c r="O41" s="115">
        <f t="shared" si="6"/>
        <v>12253.937291666665</v>
      </c>
      <c r="P41" s="119">
        <f>+F41-O41</f>
        <v>67746.062708333338</v>
      </c>
      <c r="Q41" s="267"/>
      <c r="R41" s="93"/>
    </row>
    <row r="42" spans="1:18" s="49" customFormat="1" ht="30" customHeight="1" x14ac:dyDescent="0.25">
      <c r="A42" s="131">
        <f>+A41+1</f>
        <v>23</v>
      </c>
      <c r="B42" s="163" t="s">
        <v>467</v>
      </c>
      <c r="C42" s="38" t="s">
        <v>425</v>
      </c>
      <c r="D42" s="135" t="s">
        <v>147</v>
      </c>
      <c r="E42" s="116" t="s">
        <v>121</v>
      </c>
      <c r="F42" s="118">
        <v>70000</v>
      </c>
      <c r="G42" s="118">
        <f>F42*2.87%</f>
        <v>2009</v>
      </c>
      <c r="H42" s="118">
        <f>+F42*3.04%</f>
        <v>2128</v>
      </c>
      <c r="I42" s="118"/>
      <c r="J42" s="83">
        <f t="shared" si="1"/>
        <v>4137</v>
      </c>
      <c r="K42" s="83">
        <f t="shared" si="7"/>
        <v>65863</v>
      </c>
      <c r="L42" s="83">
        <f t="shared" si="20"/>
        <v>5368.4498333333331</v>
      </c>
      <c r="M42" s="83"/>
      <c r="N42" s="120">
        <f>3990.35+25</f>
        <v>4015.35</v>
      </c>
      <c r="O42" s="115">
        <f t="shared" si="6"/>
        <v>13520.799833333334</v>
      </c>
      <c r="P42" s="119">
        <f>F42-O42</f>
        <v>56479.200166666662</v>
      </c>
      <c r="Q42" s="267"/>
      <c r="R42" s="93"/>
    </row>
    <row r="43" spans="1:18" s="41" customFormat="1" ht="30" customHeight="1" thickBot="1" x14ac:dyDescent="0.3">
      <c r="A43" s="226" t="s">
        <v>125</v>
      </c>
      <c r="B43" s="227"/>
      <c r="C43" s="227"/>
      <c r="D43" s="227"/>
      <c r="E43" s="228"/>
      <c r="F43" s="39">
        <f>SUM(F39:F42)</f>
        <v>405000</v>
      </c>
      <c r="G43" s="39">
        <f t="shared" ref="G43:P43" si="21">SUM(G39:G42)</f>
        <v>11623.5</v>
      </c>
      <c r="H43" s="39">
        <f t="shared" si="21"/>
        <v>12312</v>
      </c>
      <c r="I43" s="39">
        <f t="shared" si="21"/>
        <v>0</v>
      </c>
      <c r="J43" s="39">
        <f t="shared" si="21"/>
        <v>23935.5</v>
      </c>
      <c r="K43" s="39">
        <f>SUM(K39:K42)</f>
        <v>381064.5</v>
      </c>
      <c r="L43" s="39">
        <f t="shared" si="21"/>
        <v>49917.636708333332</v>
      </c>
      <c r="M43" s="39">
        <f t="shared" si="21"/>
        <v>0</v>
      </c>
      <c r="N43" s="39">
        <f t="shared" si="21"/>
        <v>10063.9</v>
      </c>
      <c r="O43" s="39">
        <f t="shared" si="21"/>
        <v>83917.03670833334</v>
      </c>
      <c r="P43" s="39">
        <f t="shared" si="21"/>
        <v>321082.9632916667</v>
      </c>
      <c r="Q43" s="264"/>
      <c r="R43" s="55"/>
    </row>
    <row r="44" spans="1:18" s="34" customFormat="1" ht="24" customHeight="1" thickBot="1" x14ac:dyDescent="0.3">
      <c r="A44" s="229" t="s">
        <v>156</v>
      </c>
      <c r="B44" s="230"/>
      <c r="C44" s="230"/>
      <c r="D44" s="230"/>
      <c r="E44" s="230"/>
      <c r="F44" s="230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63"/>
      <c r="R44" s="85"/>
    </row>
    <row r="45" spans="1:18" s="92" customFormat="1" ht="30" customHeight="1" x14ac:dyDescent="0.25">
      <c r="A45" s="81">
        <f>A42+1</f>
        <v>24</v>
      </c>
      <c r="B45" s="82" t="s">
        <v>256</v>
      </c>
      <c r="C45" s="81" t="s">
        <v>426</v>
      </c>
      <c r="D45" s="89" t="s">
        <v>187</v>
      </c>
      <c r="E45" s="87" t="s">
        <v>122</v>
      </c>
      <c r="F45" s="83">
        <v>130000</v>
      </c>
      <c r="G45" s="88">
        <v>3731</v>
      </c>
      <c r="H45" s="88">
        <v>3952</v>
      </c>
      <c r="I45" s="88">
        <v>1577.45</v>
      </c>
      <c r="J45" s="83">
        <f t="shared" si="1"/>
        <v>9260.4500000000007</v>
      </c>
      <c r="K45" s="83">
        <f t="shared" si="7"/>
        <v>120739.55</v>
      </c>
      <c r="L45" s="83">
        <f>+IF(K45*12&lt;=416220.01,0,IF(K45*12&lt;=624329.01,(((K45*12-416220.01)*0.15)/12),IF((K45*12&lt;=867123.01),(31216+0.2*(K45*12-624329.01))/12,((79776+0.25*(K45*12-867123.01))/12))))</f>
        <v>18767.82479166667</v>
      </c>
      <c r="M45" s="83"/>
      <c r="N45" s="90">
        <v>25</v>
      </c>
      <c r="O45" s="115">
        <f t="shared" si="6"/>
        <v>28053.27479166667</v>
      </c>
      <c r="P45" s="84">
        <f>+F45-O45</f>
        <v>101946.72520833333</v>
      </c>
      <c r="Q45" s="265"/>
    </row>
    <row r="46" spans="1:18" s="92" customFormat="1" ht="30" customHeight="1" x14ac:dyDescent="0.25">
      <c r="A46" s="81">
        <f>A45+1</f>
        <v>25</v>
      </c>
      <c r="B46" s="116" t="s">
        <v>49</v>
      </c>
      <c r="C46" s="38" t="s">
        <v>426</v>
      </c>
      <c r="D46" s="116" t="s">
        <v>51</v>
      </c>
      <c r="E46" s="116" t="s">
        <v>122</v>
      </c>
      <c r="F46" s="118">
        <v>90000</v>
      </c>
      <c r="G46" s="118">
        <f>F46*2.87%</f>
        <v>2583</v>
      </c>
      <c r="H46" s="88">
        <f>+F46*3.04%</f>
        <v>2736</v>
      </c>
      <c r="I46" s="88"/>
      <c r="J46" s="83">
        <f t="shared" si="1"/>
        <v>5319</v>
      </c>
      <c r="K46" s="83">
        <f t="shared" si="7"/>
        <v>84681</v>
      </c>
      <c r="L46" s="83">
        <f t="shared" ref="L46:L49" si="22">+IF(K46*12&lt;=416220.01,0,IF(K46*12&lt;=624329.01,(((K46*12-416220.01)*0.15)/12),IF((K46*12&lt;=867123.01),(31216+0.2*(K46*12-624329.01))/12,((79776+0.25*(K46*12-867123.01))/12))))</f>
        <v>9753.1872916666671</v>
      </c>
      <c r="M46" s="83"/>
      <c r="N46" s="90">
        <f>100+25+2146.02</f>
        <v>2271.02</v>
      </c>
      <c r="O46" s="115">
        <f t="shared" si="6"/>
        <v>17343.207291666666</v>
      </c>
      <c r="P46" s="84">
        <f>+F46-O46</f>
        <v>72656.792708333334</v>
      </c>
      <c r="Q46" s="265"/>
    </row>
    <row r="47" spans="1:18" s="55" customFormat="1" ht="30" customHeight="1" x14ac:dyDescent="0.25">
      <c r="A47" s="81">
        <f>A46+1</f>
        <v>26</v>
      </c>
      <c r="B47" s="116" t="s">
        <v>243</v>
      </c>
      <c r="C47" s="38" t="s">
        <v>426</v>
      </c>
      <c r="D47" s="117" t="s">
        <v>51</v>
      </c>
      <c r="E47" s="116" t="s">
        <v>121</v>
      </c>
      <c r="F47" s="118">
        <v>90000</v>
      </c>
      <c r="G47" s="115">
        <f>F47*2.87%</f>
        <v>2583</v>
      </c>
      <c r="H47" s="83">
        <f>+F47*3.04%</f>
        <v>2736</v>
      </c>
      <c r="I47" s="83">
        <v>1577.45</v>
      </c>
      <c r="J47" s="83">
        <f t="shared" si="1"/>
        <v>6896.45</v>
      </c>
      <c r="K47" s="83">
        <f t="shared" si="7"/>
        <v>83103.55</v>
      </c>
      <c r="L47" s="83">
        <f t="shared" si="22"/>
        <v>9358.8247916666678</v>
      </c>
      <c r="M47" s="83"/>
      <c r="N47" s="90">
        <v>8661.6</v>
      </c>
      <c r="O47" s="115">
        <f t="shared" si="6"/>
        <v>24916.874791666669</v>
      </c>
      <c r="P47" s="84">
        <f>+F47-O47</f>
        <v>65083.125208333331</v>
      </c>
      <c r="Q47" s="264"/>
    </row>
    <row r="48" spans="1:18" s="41" customFormat="1" ht="30" customHeight="1" x14ac:dyDescent="0.25">
      <c r="A48" s="81">
        <f t="shared" ref="A48" si="23">A47+1</f>
        <v>27</v>
      </c>
      <c r="B48" s="116" t="s">
        <v>244</v>
      </c>
      <c r="C48" s="38" t="s">
        <v>426</v>
      </c>
      <c r="D48" s="117" t="s">
        <v>51</v>
      </c>
      <c r="E48" s="116" t="s">
        <v>122</v>
      </c>
      <c r="F48" s="118">
        <v>90000</v>
      </c>
      <c r="G48" s="118">
        <f>F48*2.87%</f>
        <v>2583</v>
      </c>
      <c r="H48" s="88">
        <f>+F48*3.04%</f>
        <v>2736</v>
      </c>
      <c r="I48" s="88"/>
      <c r="J48" s="83">
        <f t="shared" si="1"/>
        <v>5319</v>
      </c>
      <c r="K48" s="83">
        <f t="shared" si="7"/>
        <v>84681</v>
      </c>
      <c r="L48" s="83">
        <f t="shared" si="22"/>
        <v>9753.1872916666671</v>
      </c>
      <c r="M48" s="83"/>
      <c r="N48" s="90">
        <v>7064.51</v>
      </c>
      <c r="O48" s="115">
        <f t="shared" si="6"/>
        <v>22136.697291666667</v>
      </c>
      <c r="P48" s="84">
        <f>+F48-O48</f>
        <v>67863.302708333329</v>
      </c>
      <c r="Q48" s="264"/>
      <c r="R48" s="55"/>
    </row>
    <row r="49" spans="1:18" s="41" customFormat="1" ht="30" customHeight="1" x14ac:dyDescent="0.25">
      <c r="A49" s="81">
        <f>A48+1</f>
        <v>28</v>
      </c>
      <c r="B49" s="121" t="s">
        <v>245</v>
      </c>
      <c r="C49" s="38" t="s">
        <v>426</v>
      </c>
      <c r="D49" s="121" t="s">
        <v>51</v>
      </c>
      <c r="E49" s="121" t="s">
        <v>122</v>
      </c>
      <c r="F49" s="115">
        <v>80000</v>
      </c>
      <c r="G49" s="115">
        <f>F49*2.87%</f>
        <v>2296</v>
      </c>
      <c r="H49" s="83">
        <f>+F49*3.04%</f>
        <v>2432</v>
      </c>
      <c r="I49" s="83">
        <v>1577.45</v>
      </c>
      <c r="J49" s="83">
        <f t="shared" si="1"/>
        <v>6305.45</v>
      </c>
      <c r="K49" s="83">
        <f t="shared" si="7"/>
        <v>73694.55</v>
      </c>
      <c r="L49" s="83">
        <f t="shared" si="22"/>
        <v>7006.5747916666687</v>
      </c>
      <c r="M49" s="83"/>
      <c r="N49" s="84">
        <v>11750.55</v>
      </c>
      <c r="O49" s="115">
        <f t="shared" si="6"/>
        <v>25062.57479166667</v>
      </c>
      <c r="P49" s="84">
        <f>+F49-O49</f>
        <v>54937.425208333327</v>
      </c>
      <c r="Q49" s="264"/>
      <c r="R49" s="55"/>
    </row>
    <row r="50" spans="1:18" s="41" customFormat="1" ht="30" customHeight="1" x14ac:dyDescent="0.25">
      <c r="A50" s="226" t="s">
        <v>125</v>
      </c>
      <c r="B50" s="227"/>
      <c r="C50" s="227"/>
      <c r="D50" s="227"/>
      <c r="E50" s="228"/>
      <c r="F50" s="39">
        <f t="shared" ref="F50:P50" si="24">SUM(F45:F49)</f>
        <v>480000</v>
      </c>
      <c r="G50" s="39">
        <f t="shared" si="24"/>
        <v>13776</v>
      </c>
      <c r="H50" s="39">
        <f t="shared" si="24"/>
        <v>14592</v>
      </c>
      <c r="I50" s="39">
        <f t="shared" si="24"/>
        <v>4732.3500000000004</v>
      </c>
      <c r="J50" s="39">
        <f t="shared" si="24"/>
        <v>33100.35</v>
      </c>
      <c r="K50" s="39">
        <f t="shared" si="24"/>
        <v>446899.64999999997</v>
      </c>
      <c r="L50" s="39">
        <f>SUM(L45:L49)</f>
        <v>54639.598958333336</v>
      </c>
      <c r="M50" s="39">
        <f>SUM(M45:M49)</f>
        <v>0</v>
      </c>
      <c r="N50" s="39">
        <f t="shared" si="24"/>
        <v>29772.68</v>
      </c>
      <c r="O50" s="39">
        <f t="shared" si="24"/>
        <v>117512.62895833334</v>
      </c>
      <c r="P50" s="39">
        <f t="shared" si="24"/>
        <v>362487.3710416666</v>
      </c>
      <c r="Q50" s="264"/>
      <c r="R50" s="55"/>
    </row>
    <row r="51" spans="1:18" s="41" customFormat="1" ht="30" customHeight="1" thickBot="1" x14ac:dyDescent="0.3">
      <c r="A51"/>
      <c r="B51"/>
      <c r="C51" s="146"/>
      <c r="D51"/>
      <c r="E51"/>
      <c r="F51"/>
      <c r="G51"/>
      <c r="H51"/>
      <c r="I51"/>
      <c r="J51"/>
      <c r="K51"/>
      <c r="L51"/>
      <c r="M51"/>
      <c r="N51"/>
      <c r="O51"/>
      <c r="P51"/>
      <c r="Q51" s="264"/>
      <c r="R51" s="55"/>
    </row>
    <row r="52" spans="1:18" s="92" customFormat="1" ht="30" customHeight="1" thickBot="1" x14ac:dyDescent="0.3">
      <c r="A52" s="229" t="s">
        <v>469</v>
      </c>
      <c r="B52" s="230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30"/>
      <c r="P52" s="230"/>
      <c r="Q52" s="265"/>
    </row>
    <row r="53" spans="1:18" s="92" customFormat="1" ht="30" customHeight="1" x14ac:dyDescent="0.25">
      <c r="A53" s="81">
        <f>+A49+1</f>
        <v>29</v>
      </c>
      <c r="B53" s="82" t="s">
        <v>56</v>
      </c>
      <c r="C53" s="81" t="s">
        <v>426</v>
      </c>
      <c r="D53" s="89" t="s">
        <v>181</v>
      </c>
      <c r="E53" s="87" t="s">
        <v>122</v>
      </c>
      <c r="F53" s="83">
        <v>126500</v>
      </c>
      <c r="G53" s="83">
        <v>3630.55</v>
      </c>
      <c r="H53" s="83">
        <v>3845.6</v>
      </c>
      <c r="I53" s="83">
        <v>1577.45</v>
      </c>
      <c r="J53" s="83">
        <f t="shared" si="1"/>
        <v>9053.6</v>
      </c>
      <c r="K53" s="83">
        <f t="shared" si="7"/>
        <v>117446.39999999999</v>
      </c>
      <c r="L53" s="83">
        <f t="shared" si="15"/>
        <v>17944.537291666664</v>
      </c>
      <c r="M53" s="83"/>
      <c r="N53" s="90">
        <v>125</v>
      </c>
      <c r="O53" s="115">
        <f t="shared" si="6"/>
        <v>27123.137291666666</v>
      </c>
      <c r="P53" s="119">
        <f>+F53-O53</f>
        <v>99376.862708333327</v>
      </c>
      <c r="Q53" s="265"/>
    </row>
    <row r="54" spans="1:18" s="41" customFormat="1" ht="30" customHeight="1" x14ac:dyDescent="0.25">
      <c r="A54" s="86">
        <f>+A53+1</f>
        <v>30</v>
      </c>
      <c r="B54" s="116" t="s">
        <v>182</v>
      </c>
      <c r="C54" s="38" t="s">
        <v>426</v>
      </c>
      <c r="D54" s="117" t="s">
        <v>94</v>
      </c>
      <c r="E54" s="116" t="s">
        <v>122</v>
      </c>
      <c r="F54" s="118">
        <v>60000</v>
      </c>
      <c r="G54" s="88">
        <f>F54*2.87%</f>
        <v>1722</v>
      </c>
      <c r="H54" s="88">
        <f>+F54*3.04%</f>
        <v>1824</v>
      </c>
      <c r="I54" s="88">
        <v>1577.45</v>
      </c>
      <c r="J54" s="83">
        <f t="shared" si="1"/>
        <v>5123.45</v>
      </c>
      <c r="K54" s="83">
        <f t="shared" si="7"/>
        <v>54876.55</v>
      </c>
      <c r="L54" s="83">
        <f>+IF(K54*12&lt;=416220.01,0,IF(K54*12&lt;=624329.01,(((K54*12-416220.01)*0.15)/12),IF((K54*12&lt;=867123.01),(31216+0.2*(K54*12-624329.01))/12,((79776+0.25*(K54*12-867123.01))/12))))-M54</f>
        <v>-1.6666666488163173E-4</v>
      </c>
      <c r="M54" s="83">
        <v>3171.16</v>
      </c>
      <c r="N54" s="90">
        <v>125</v>
      </c>
      <c r="O54" s="115">
        <f t="shared" si="6"/>
        <v>5248.4498333333349</v>
      </c>
      <c r="P54" s="84">
        <f>+F54-O54</f>
        <v>54751.550166666668</v>
      </c>
      <c r="Q54" s="264"/>
      <c r="R54" s="55"/>
    </row>
    <row r="55" spans="1:18" s="41" customFormat="1" ht="30" customHeight="1" x14ac:dyDescent="0.25">
      <c r="A55" s="226" t="s">
        <v>125</v>
      </c>
      <c r="B55" s="227"/>
      <c r="C55" s="227"/>
      <c r="D55" s="227"/>
      <c r="E55" s="228"/>
      <c r="F55" s="39">
        <f t="shared" ref="F55:P55" si="25">SUM(F53:F54)</f>
        <v>186500</v>
      </c>
      <c r="G55" s="39">
        <f t="shared" si="25"/>
        <v>5352.55</v>
      </c>
      <c r="H55" s="39">
        <f t="shared" si="25"/>
        <v>5669.6</v>
      </c>
      <c r="I55" s="39">
        <f t="shared" si="25"/>
        <v>3154.9</v>
      </c>
      <c r="J55" s="39">
        <f t="shared" si="25"/>
        <v>14177.05</v>
      </c>
      <c r="K55" s="39">
        <f t="shared" si="25"/>
        <v>172322.95</v>
      </c>
      <c r="L55" s="39">
        <f t="shared" si="25"/>
        <v>17944.537124999999</v>
      </c>
      <c r="M55" s="39">
        <f t="shared" si="25"/>
        <v>3171.16</v>
      </c>
      <c r="N55" s="39">
        <f t="shared" si="25"/>
        <v>250</v>
      </c>
      <c r="O55" s="39">
        <f t="shared" si="25"/>
        <v>32371.587125000002</v>
      </c>
      <c r="P55" s="39">
        <f t="shared" si="25"/>
        <v>154128.41287499998</v>
      </c>
      <c r="Q55" s="264"/>
      <c r="R55" s="55"/>
    </row>
    <row r="56" spans="1:18" s="41" customFormat="1" ht="30" customHeight="1" thickBot="1" x14ac:dyDescent="0.3">
      <c r="A56" s="52"/>
      <c r="B56" s="52"/>
      <c r="C56" s="52"/>
      <c r="D56" s="52"/>
      <c r="E56" s="52"/>
      <c r="F56"/>
      <c r="G56"/>
      <c r="H56"/>
      <c r="I56"/>
      <c r="J56"/>
      <c r="K56"/>
      <c r="L56"/>
      <c r="M56"/>
      <c r="N56"/>
      <c r="O56"/>
      <c r="P56"/>
      <c r="Q56" s="264"/>
      <c r="R56" s="55"/>
    </row>
    <row r="57" spans="1:18" s="55" customFormat="1" ht="30" customHeight="1" thickBot="1" x14ac:dyDescent="0.3">
      <c r="A57" s="274" t="s">
        <v>157</v>
      </c>
      <c r="B57" s="275"/>
      <c r="C57" s="232"/>
      <c r="D57" s="232"/>
      <c r="E57" s="232"/>
      <c r="F57" s="232"/>
      <c r="G57" s="232"/>
      <c r="H57" s="232"/>
      <c r="I57" s="232"/>
      <c r="J57" s="232"/>
      <c r="K57" s="232"/>
      <c r="L57" s="232"/>
      <c r="M57" s="232"/>
      <c r="N57" s="232"/>
      <c r="O57" s="232"/>
      <c r="P57" s="232"/>
      <c r="Q57" s="264"/>
    </row>
    <row r="58" spans="1:18" s="55" customFormat="1" ht="30" customHeight="1" x14ac:dyDescent="0.25">
      <c r="A58" s="86">
        <f>+A54+1</f>
        <v>31</v>
      </c>
      <c r="B58" s="116" t="s">
        <v>247</v>
      </c>
      <c r="C58" s="38" t="s">
        <v>426</v>
      </c>
      <c r="D58" s="117" t="s">
        <v>51</v>
      </c>
      <c r="E58" s="116" t="s">
        <v>122</v>
      </c>
      <c r="F58" s="118">
        <v>104000</v>
      </c>
      <c r="G58" s="88">
        <f>F58*2.87%</f>
        <v>2984.8</v>
      </c>
      <c r="H58" s="88">
        <f>+F58*3.04%</f>
        <v>3161.6</v>
      </c>
      <c r="I58" s="88">
        <v>1577.45</v>
      </c>
      <c r="J58" s="83">
        <f t="shared" si="1"/>
        <v>7723.8499999999995</v>
      </c>
      <c r="K58" s="83">
        <f t="shared" si="7"/>
        <v>96276.15</v>
      </c>
      <c r="L58" s="83">
        <f>+IF(K58*12&lt;=416220.01,0,IF(K58*12&lt;=624329.01,(((K58*12-416220.01)*0.15)/12),IF((K58*12&lt;=867123.01),(31216+0.2*(K58*12-624329.01))/12,((79776+0.25*(K58*12-867123.01))/12))))</f>
        <v>12651.974791666662</v>
      </c>
      <c r="M58" s="83"/>
      <c r="N58" s="90">
        <v>4505.74</v>
      </c>
      <c r="O58" s="115">
        <f t="shared" si="6"/>
        <v>24881.564791666664</v>
      </c>
      <c r="P58" s="84">
        <f>+F58-O58</f>
        <v>79118.435208333336</v>
      </c>
      <c r="Q58" s="264"/>
    </row>
    <row r="59" spans="1:18" s="33" customFormat="1" ht="30" customHeight="1" x14ac:dyDescent="0.25">
      <c r="A59" s="86">
        <f>+A58+1</f>
        <v>32</v>
      </c>
      <c r="B59" s="116" t="s">
        <v>248</v>
      </c>
      <c r="C59" s="38" t="s">
        <v>426</v>
      </c>
      <c r="D59" s="117" t="s">
        <v>51</v>
      </c>
      <c r="E59" s="116" t="s">
        <v>122</v>
      </c>
      <c r="F59" s="118">
        <v>95000</v>
      </c>
      <c r="G59" s="88">
        <f>F59*2.87%</f>
        <v>2726.5</v>
      </c>
      <c r="H59" s="88">
        <f>+F59*3.04%</f>
        <v>2888</v>
      </c>
      <c r="I59" s="88"/>
      <c r="J59" s="83">
        <f t="shared" si="1"/>
        <v>5614.5</v>
      </c>
      <c r="K59" s="83">
        <f t="shared" si="7"/>
        <v>89385.5</v>
      </c>
      <c r="L59" s="83">
        <f t="shared" ref="L59:L61" si="26">+IF(K59*12&lt;=416220.01,0,IF(K59*12&lt;=624329.01,(((K59*12-416220.01)*0.15)/12),IF((K59*12&lt;=867123.01),(31216+0.2*(K59*12-624329.01))/12,((79776+0.25*(K59*12-867123.01))/12))))</f>
        <v>10929.312291666667</v>
      </c>
      <c r="M59" s="83"/>
      <c r="N59" s="90">
        <v>7125</v>
      </c>
      <c r="O59" s="115">
        <f t="shared" si="6"/>
        <v>23668.812291666669</v>
      </c>
      <c r="P59" s="84">
        <f>+F59-O59</f>
        <v>71331.187708333338</v>
      </c>
      <c r="Q59" s="266"/>
    </row>
    <row r="60" spans="1:18" s="41" customFormat="1" ht="30" customHeight="1" x14ac:dyDescent="0.25">
      <c r="A60" s="86">
        <f>+A59+1</f>
        <v>33</v>
      </c>
      <c r="B60" s="116" t="s">
        <v>249</v>
      </c>
      <c r="C60" s="38" t="s">
        <v>426</v>
      </c>
      <c r="D60" s="117" t="s">
        <v>51</v>
      </c>
      <c r="E60" s="116" t="s">
        <v>121</v>
      </c>
      <c r="F60" s="118">
        <v>90000</v>
      </c>
      <c r="G60" s="88">
        <f>F60*2.87%</f>
        <v>2583</v>
      </c>
      <c r="H60" s="88">
        <f>+F60*3.04%</f>
        <v>2736</v>
      </c>
      <c r="I60" s="88"/>
      <c r="J60" s="83">
        <f t="shared" si="1"/>
        <v>5319</v>
      </c>
      <c r="K60" s="83">
        <f t="shared" si="7"/>
        <v>84681</v>
      </c>
      <c r="L60" s="83">
        <f t="shared" si="26"/>
        <v>9753.1872916666671</v>
      </c>
      <c r="M60" s="83"/>
      <c r="N60" s="90">
        <v>105</v>
      </c>
      <c r="O60" s="115">
        <f t="shared" si="6"/>
        <v>15177.187291666667</v>
      </c>
      <c r="P60" s="84">
        <f>+F60-O60</f>
        <v>74822.812708333338</v>
      </c>
      <c r="Q60" s="264"/>
      <c r="R60" s="55"/>
    </row>
    <row r="61" spans="1:18" s="41" customFormat="1" ht="30" customHeight="1" x14ac:dyDescent="0.25">
      <c r="A61" s="86">
        <f>A60+1</f>
        <v>34</v>
      </c>
      <c r="B61" s="116" t="s">
        <v>480</v>
      </c>
      <c r="C61" s="38" t="s">
        <v>426</v>
      </c>
      <c r="D61" s="117" t="s">
        <v>51</v>
      </c>
      <c r="E61" s="116" t="s">
        <v>121</v>
      </c>
      <c r="F61" s="118">
        <v>70000</v>
      </c>
      <c r="G61" s="88">
        <f>F61*2.87%</f>
        <v>2009</v>
      </c>
      <c r="H61" s="88">
        <f>+F61*3.04%</f>
        <v>2128</v>
      </c>
      <c r="I61" s="88">
        <v>3154.9</v>
      </c>
      <c r="J61" s="83">
        <f t="shared" si="1"/>
        <v>7291.9</v>
      </c>
      <c r="K61" s="83">
        <f t="shared" si="7"/>
        <v>62708.1</v>
      </c>
      <c r="L61" s="83">
        <f t="shared" si="26"/>
        <v>4737.4698333333326</v>
      </c>
      <c r="M61" s="83"/>
      <c r="N61" s="88">
        <v>25</v>
      </c>
      <c r="O61" s="115">
        <f t="shared" si="6"/>
        <v>12054.369833333332</v>
      </c>
      <c r="P61" s="88">
        <f>+F61-O61</f>
        <v>57945.63016666667</v>
      </c>
      <c r="Q61" s="264"/>
      <c r="R61" s="55"/>
    </row>
    <row r="62" spans="1:18" s="41" customFormat="1" ht="30" customHeight="1" x14ac:dyDescent="0.25">
      <c r="A62" s="226" t="s">
        <v>125</v>
      </c>
      <c r="B62" s="227"/>
      <c r="C62" s="227"/>
      <c r="D62" s="227"/>
      <c r="E62" s="228"/>
      <c r="F62" s="39">
        <f t="shared" ref="F62:P62" si="27">SUM(F58:F61)</f>
        <v>359000</v>
      </c>
      <c r="G62" s="39">
        <f t="shared" si="27"/>
        <v>10303.299999999999</v>
      </c>
      <c r="H62" s="39">
        <f t="shared" si="27"/>
        <v>10913.6</v>
      </c>
      <c r="I62" s="39">
        <f t="shared" si="27"/>
        <v>4732.3500000000004</v>
      </c>
      <c r="J62" s="39">
        <f t="shared" si="27"/>
        <v>25949.25</v>
      </c>
      <c r="K62" s="39">
        <f t="shared" si="27"/>
        <v>333050.75</v>
      </c>
      <c r="L62" s="39">
        <f t="shared" si="27"/>
        <v>38071.944208333327</v>
      </c>
      <c r="M62" s="39">
        <f t="shared" si="27"/>
        <v>0</v>
      </c>
      <c r="N62" s="39">
        <f t="shared" si="27"/>
        <v>11760.74</v>
      </c>
      <c r="O62" s="39">
        <f t="shared" si="27"/>
        <v>75781.934208333332</v>
      </c>
      <c r="P62" s="39">
        <f t="shared" si="27"/>
        <v>283218.06579166668</v>
      </c>
      <c r="Q62" s="264"/>
      <c r="R62" s="55"/>
    </row>
    <row r="63" spans="1:18" s="41" customFormat="1" ht="30" customHeight="1" thickBot="1" x14ac:dyDescent="0.3">
      <c r="A63" s="75"/>
      <c r="B63" s="75"/>
      <c r="C63" s="147"/>
      <c r="D63" s="7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264"/>
      <c r="R63" s="55"/>
    </row>
    <row r="64" spans="1:18" s="33" customFormat="1" ht="30" customHeight="1" thickBot="1" x14ac:dyDescent="0.3">
      <c r="A64" s="274" t="s">
        <v>158</v>
      </c>
      <c r="B64" s="275"/>
      <c r="C64" s="232"/>
      <c r="D64" s="232"/>
      <c r="E64" s="232"/>
      <c r="F64" s="232"/>
      <c r="G64" s="232"/>
      <c r="H64" s="232"/>
      <c r="I64" s="232"/>
      <c r="J64" s="232"/>
      <c r="K64" s="232"/>
      <c r="L64" s="232"/>
      <c r="M64" s="232"/>
      <c r="N64" s="232"/>
      <c r="O64" s="232"/>
      <c r="P64" s="232"/>
      <c r="Q64" s="266"/>
    </row>
    <row r="65" spans="1:18" s="92" customFormat="1" ht="30" customHeight="1" x14ac:dyDescent="0.25">
      <c r="A65" s="131">
        <f>A61+1</f>
        <v>35</v>
      </c>
      <c r="B65" s="121" t="s">
        <v>48</v>
      </c>
      <c r="C65" s="131" t="s">
        <v>426</v>
      </c>
      <c r="D65" s="91" t="s">
        <v>51</v>
      </c>
      <c r="E65" s="121" t="s">
        <v>122</v>
      </c>
      <c r="F65" s="83">
        <v>102000</v>
      </c>
      <c r="G65" s="88">
        <f>F65*2.87%</f>
        <v>2927.4</v>
      </c>
      <c r="H65" s="88">
        <f>+F65*3.04%</f>
        <v>3100.8</v>
      </c>
      <c r="I65" s="83"/>
      <c r="J65" s="83">
        <f t="shared" si="1"/>
        <v>6028.2000000000007</v>
      </c>
      <c r="K65" s="83">
        <f t="shared" si="7"/>
        <v>95971.8</v>
      </c>
      <c r="L65" s="83">
        <f>+IF(K65*12&lt;=416220.01,0,IF(K65*12&lt;=624329.01,(((K65*12-416220.01)*0.15)/12),IF((K65*12&lt;=867123.01),(31216+0.2*(K65*12-624329.01))/12,((79776+0.25*(K65*12-867123.01))/12))))-M65</f>
        <v>12575.887291666668</v>
      </c>
      <c r="M65" s="83"/>
      <c r="N65" s="90">
        <v>125</v>
      </c>
      <c r="O65" s="115">
        <f t="shared" si="6"/>
        <v>18729.08729166667</v>
      </c>
      <c r="P65" s="84">
        <f>+F65-O65</f>
        <v>83270.91270833333</v>
      </c>
      <c r="Q65" s="265"/>
    </row>
    <row r="66" spans="1:18" s="92" customFormat="1" ht="30" customHeight="1" x14ac:dyDescent="0.25">
      <c r="A66" s="38">
        <f>+A65+1</f>
        <v>36</v>
      </c>
      <c r="B66" s="116" t="s">
        <v>63</v>
      </c>
      <c r="C66" s="38" t="s">
        <v>425</v>
      </c>
      <c r="D66" s="117" t="s">
        <v>51</v>
      </c>
      <c r="E66" s="116" t="s">
        <v>122</v>
      </c>
      <c r="F66" s="118">
        <v>102000</v>
      </c>
      <c r="G66" s="118">
        <f>F66*2.87%</f>
        <v>2927.4</v>
      </c>
      <c r="H66" s="88">
        <f>+F66*3.04%</f>
        <v>3100.8</v>
      </c>
      <c r="I66" s="88"/>
      <c r="J66" s="83">
        <f t="shared" si="1"/>
        <v>6028.2000000000007</v>
      </c>
      <c r="K66" s="83">
        <f t="shared" si="7"/>
        <v>95971.8</v>
      </c>
      <c r="L66" s="83">
        <f t="shared" ref="L66:L67" si="28">+IF(K66*12&lt;=416220.01,0,IF(K66*12&lt;=624329.01,(((K66*12-416220.01)*0.15)/12),IF((K66*12&lt;=867123.01),(31216+0.2*(K66*12-624329.01))/12,((79776+0.25*(K66*12-867123.01))/12))))-M66</f>
        <v>12575.887291666668</v>
      </c>
      <c r="M66" s="83"/>
      <c r="N66" s="90">
        <v>65</v>
      </c>
      <c r="O66" s="115">
        <f t="shared" si="6"/>
        <v>18669.08729166667</v>
      </c>
      <c r="P66" s="84">
        <f>+F66-O66</f>
        <v>83330.91270833333</v>
      </c>
      <c r="Q66" s="265"/>
    </row>
    <row r="67" spans="1:18" s="41" customFormat="1" ht="30" customHeight="1" x14ac:dyDescent="0.25">
      <c r="A67" s="38">
        <f>+A66+1</f>
        <v>37</v>
      </c>
      <c r="B67" s="116" t="s">
        <v>290</v>
      </c>
      <c r="C67" s="38" t="s">
        <v>426</v>
      </c>
      <c r="D67" s="117" t="s">
        <v>51</v>
      </c>
      <c r="E67" s="116" t="s">
        <v>121</v>
      </c>
      <c r="F67" s="118">
        <v>80000</v>
      </c>
      <c r="G67" s="118">
        <f>F67*2.87%</f>
        <v>2296</v>
      </c>
      <c r="H67" s="88">
        <f>+F67*3.04%</f>
        <v>2432</v>
      </c>
      <c r="I67" s="88"/>
      <c r="J67" s="83">
        <f t="shared" si="1"/>
        <v>4728</v>
      </c>
      <c r="K67" s="83">
        <f t="shared" si="7"/>
        <v>75272</v>
      </c>
      <c r="L67" s="83">
        <f t="shared" si="28"/>
        <v>7400.9372916666662</v>
      </c>
      <c r="M67" s="83"/>
      <c r="N67" s="90">
        <v>11340.98</v>
      </c>
      <c r="O67" s="115">
        <f t="shared" si="6"/>
        <v>23469.917291666665</v>
      </c>
      <c r="P67" s="84">
        <f>+F67-O67</f>
        <v>56530.082708333335</v>
      </c>
      <c r="Q67" s="264"/>
      <c r="R67" s="55"/>
    </row>
    <row r="68" spans="1:18" s="42" customFormat="1" ht="30" customHeight="1" x14ac:dyDescent="0.25">
      <c r="A68" s="226" t="s">
        <v>125</v>
      </c>
      <c r="B68" s="227"/>
      <c r="C68" s="227"/>
      <c r="D68" s="227"/>
      <c r="E68" s="228"/>
      <c r="F68" s="39">
        <f t="shared" ref="F68:P68" si="29">SUM(F65:F67)</f>
        <v>284000</v>
      </c>
      <c r="G68" s="39">
        <f t="shared" si="29"/>
        <v>8150.8</v>
      </c>
      <c r="H68" s="39">
        <f t="shared" si="29"/>
        <v>8633.6</v>
      </c>
      <c r="I68" s="39">
        <f t="shared" si="29"/>
        <v>0</v>
      </c>
      <c r="J68" s="39">
        <f t="shared" si="29"/>
        <v>16784.400000000001</v>
      </c>
      <c r="K68" s="39">
        <f t="shared" si="29"/>
        <v>267215.59999999998</v>
      </c>
      <c r="L68" s="39">
        <f t="shared" si="29"/>
        <v>32552.711875000001</v>
      </c>
      <c r="M68" s="39">
        <f t="shared" si="29"/>
        <v>0</v>
      </c>
      <c r="N68" s="39">
        <f t="shared" si="29"/>
        <v>11530.98</v>
      </c>
      <c r="O68" s="39">
        <f t="shared" si="29"/>
        <v>60868.091875000006</v>
      </c>
      <c r="P68" s="39">
        <f t="shared" si="29"/>
        <v>223131.90812499999</v>
      </c>
      <c r="Q68" s="265"/>
      <c r="R68" s="92"/>
    </row>
    <row r="69" spans="1:18" s="41" customFormat="1" ht="30" customHeight="1" thickBot="1" x14ac:dyDescent="0.3">
      <c r="A69" s="46"/>
      <c r="B69" s="44"/>
      <c r="C69" s="46"/>
      <c r="D69" s="45"/>
      <c r="E69" s="44"/>
      <c r="Q69" s="264"/>
      <c r="R69" s="55"/>
    </row>
    <row r="70" spans="1:18" s="93" customFormat="1" ht="37.15" customHeight="1" thickBot="1" x14ac:dyDescent="0.3">
      <c r="A70" s="274" t="s">
        <v>185</v>
      </c>
      <c r="B70" s="275"/>
      <c r="C70" s="232"/>
      <c r="D70" s="232"/>
      <c r="E70" s="232"/>
      <c r="F70" s="232"/>
      <c r="G70" s="232"/>
      <c r="H70" s="232"/>
      <c r="I70" s="232"/>
      <c r="J70" s="232"/>
      <c r="K70" s="232"/>
      <c r="L70" s="232"/>
      <c r="M70" s="232"/>
      <c r="N70" s="232"/>
      <c r="O70" s="232"/>
      <c r="P70" s="233"/>
      <c r="Q70" s="267"/>
    </row>
    <row r="71" spans="1:18" s="55" customFormat="1" ht="30" customHeight="1" x14ac:dyDescent="0.25">
      <c r="A71" s="81">
        <f>+A67+1</f>
        <v>38</v>
      </c>
      <c r="B71" s="121" t="s">
        <v>250</v>
      </c>
      <c r="C71" s="131" t="s">
        <v>426</v>
      </c>
      <c r="D71" s="117" t="s">
        <v>251</v>
      </c>
      <c r="E71" s="116" t="s">
        <v>122</v>
      </c>
      <c r="F71" s="115">
        <v>126500</v>
      </c>
      <c r="G71" s="88">
        <f t="shared" ref="G71:G76" si="30">F71*2.87%</f>
        <v>3630.55</v>
      </c>
      <c r="H71" s="88">
        <f t="shared" ref="H71:H76" si="31">+F71*3.04%</f>
        <v>3845.6</v>
      </c>
      <c r="I71" s="88"/>
      <c r="J71" s="83">
        <f t="shared" si="1"/>
        <v>7476.15</v>
      </c>
      <c r="K71" s="83">
        <f t="shared" si="7"/>
        <v>119023.85</v>
      </c>
      <c r="L71" s="83">
        <f>+IF(K71*12&lt;=416220.01,0,IF(K71*12&lt;=624329.01,(((K71*12-416220.01)*0.15)/12),IF((K71*12&lt;=867123.01),(31216+0.2*(K71*12-624329.01))/12,((79776+0.25*(K71*12-867123.01))/12))))-M71</f>
        <v>18338.89979166667</v>
      </c>
      <c r="M71" s="83"/>
      <c r="N71" s="90">
        <v>25</v>
      </c>
      <c r="O71" s="115">
        <f t="shared" si="6"/>
        <v>25840.049791666672</v>
      </c>
      <c r="P71" s="84">
        <f t="shared" ref="P71:P76" si="32">+F71-O71</f>
        <v>100659.95020833332</v>
      </c>
      <c r="Q71" s="264"/>
    </row>
    <row r="72" spans="1:18" s="92" customFormat="1" ht="30" customHeight="1" x14ac:dyDescent="0.25">
      <c r="A72" s="131">
        <f>+A71+1</f>
        <v>39</v>
      </c>
      <c r="B72" s="116" t="s">
        <v>60</v>
      </c>
      <c r="C72" s="38" t="s">
        <v>425</v>
      </c>
      <c r="D72" s="117" t="s">
        <v>51</v>
      </c>
      <c r="E72" s="116" t="s">
        <v>122</v>
      </c>
      <c r="F72" s="118">
        <v>102000</v>
      </c>
      <c r="G72" s="118">
        <f t="shared" si="30"/>
        <v>2927.4</v>
      </c>
      <c r="H72" s="118">
        <f t="shared" si="31"/>
        <v>3100.8</v>
      </c>
      <c r="I72" s="118"/>
      <c r="J72" s="83">
        <f t="shared" si="1"/>
        <v>6028.2000000000007</v>
      </c>
      <c r="K72" s="83">
        <f t="shared" si="7"/>
        <v>95971.8</v>
      </c>
      <c r="L72" s="83">
        <f t="shared" ref="L72:L76" si="33">+IF(K72*12&lt;=416220.01,0,IF(K72*12&lt;=624329.01,(((K72*12-416220.01)*0.15)/12),IF((K72*12&lt;=867123.01),(31216+0.2*(K72*12-624329.01))/12,((79776+0.25*(K72*12-867123.01))/12))))-M72</f>
        <v>12575.887291666668</v>
      </c>
      <c r="M72" s="83"/>
      <c r="N72" s="90">
        <v>10025</v>
      </c>
      <c r="O72" s="115">
        <f t="shared" si="6"/>
        <v>28629.087291666667</v>
      </c>
      <c r="P72" s="84">
        <f t="shared" si="32"/>
        <v>73370.91270833333</v>
      </c>
      <c r="Q72" s="265"/>
    </row>
    <row r="73" spans="1:18" s="85" customFormat="1" ht="30" customHeight="1" x14ac:dyDescent="0.25">
      <c r="A73" s="131">
        <f>+A72+1</f>
        <v>40</v>
      </c>
      <c r="B73" s="116" t="s">
        <v>54</v>
      </c>
      <c r="C73" s="38" t="s">
        <v>426</v>
      </c>
      <c r="D73" s="116" t="s">
        <v>51</v>
      </c>
      <c r="E73" s="116" t="s">
        <v>122</v>
      </c>
      <c r="F73" s="118">
        <v>90000</v>
      </c>
      <c r="G73" s="118">
        <f t="shared" si="30"/>
        <v>2583</v>
      </c>
      <c r="H73" s="118">
        <f t="shared" si="31"/>
        <v>2736</v>
      </c>
      <c r="I73" s="118">
        <v>1577.45</v>
      </c>
      <c r="J73" s="83">
        <f t="shared" si="1"/>
        <v>6896.45</v>
      </c>
      <c r="K73" s="83">
        <f t="shared" si="7"/>
        <v>83103.55</v>
      </c>
      <c r="L73" s="83">
        <f t="shared" si="33"/>
        <v>9358.8247916666678</v>
      </c>
      <c r="M73" s="83"/>
      <c r="N73" s="90">
        <v>725</v>
      </c>
      <c r="O73" s="115">
        <f t="shared" si="6"/>
        <v>16980.274791666667</v>
      </c>
      <c r="P73" s="84">
        <f t="shared" si="32"/>
        <v>73019.72520833333</v>
      </c>
      <c r="Q73" s="263"/>
    </row>
    <row r="74" spans="1:18" s="92" customFormat="1" ht="30" customHeight="1" x14ac:dyDescent="0.25">
      <c r="A74" s="131">
        <f>+A73+1</f>
        <v>41</v>
      </c>
      <c r="B74" s="116" t="s">
        <v>55</v>
      </c>
      <c r="C74" s="38" t="s">
        <v>425</v>
      </c>
      <c r="D74" s="135" t="s">
        <v>51</v>
      </c>
      <c r="E74" s="116" t="s">
        <v>121</v>
      </c>
      <c r="F74" s="118">
        <v>90000</v>
      </c>
      <c r="G74" s="118">
        <f t="shared" si="30"/>
        <v>2583</v>
      </c>
      <c r="H74" s="118">
        <f t="shared" si="31"/>
        <v>2736</v>
      </c>
      <c r="I74" s="118">
        <v>1577.45</v>
      </c>
      <c r="J74" s="83">
        <f t="shared" si="1"/>
        <v>6896.45</v>
      </c>
      <c r="K74" s="83">
        <f t="shared" si="7"/>
        <v>83103.55</v>
      </c>
      <c r="L74" s="83">
        <f t="shared" si="33"/>
        <v>9358.8247916666678</v>
      </c>
      <c r="M74" s="83"/>
      <c r="N74" s="90">
        <v>2025</v>
      </c>
      <c r="O74" s="115">
        <f t="shared" si="6"/>
        <v>18280.27479166667</v>
      </c>
      <c r="P74" s="84">
        <f t="shared" si="32"/>
        <v>71719.72520833333</v>
      </c>
      <c r="Q74" s="265"/>
    </row>
    <row r="75" spans="1:18" s="55" customFormat="1" ht="30" customHeight="1" x14ac:dyDescent="0.25">
      <c r="A75" s="131">
        <f>+A74+1</f>
        <v>42</v>
      </c>
      <c r="B75" s="116" t="s">
        <v>68</v>
      </c>
      <c r="C75" s="38" t="s">
        <v>426</v>
      </c>
      <c r="D75" s="117" t="s">
        <v>51</v>
      </c>
      <c r="E75" s="116" t="s">
        <v>122</v>
      </c>
      <c r="F75" s="118">
        <v>90000</v>
      </c>
      <c r="G75" s="118">
        <f t="shared" si="30"/>
        <v>2583</v>
      </c>
      <c r="H75" s="118">
        <f t="shared" si="31"/>
        <v>2736</v>
      </c>
      <c r="I75" s="118"/>
      <c r="J75" s="83">
        <f t="shared" si="1"/>
        <v>5319</v>
      </c>
      <c r="K75" s="83">
        <f t="shared" si="7"/>
        <v>84681</v>
      </c>
      <c r="L75" s="83">
        <f t="shared" si="33"/>
        <v>9753.1872916666671</v>
      </c>
      <c r="M75" s="83"/>
      <c r="N75" s="90">
        <v>1125</v>
      </c>
      <c r="O75" s="115">
        <f t="shared" si="6"/>
        <v>16197.187291666667</v>
      </c>
      <c r="P75" s="84">
        <f t="shared" si="32"/>
        <v>73802.812708333338</v>
      </c>
      <c r="Q75" s="264"/>
    </row>
    <row r="76" spans="1:18" s="41" customFormat="1" ht="25.5" customHeight="1" x14ac:dyDescent="0.25">
      <c r="A76" s="131">
        <f>+A75+1</f>
        <v>43</v>
      </c>
      <c r="B76" s="116" t="s">
        <v>252</v>
      </c>
      <c r="C76" s="38" t="s">
        <v>425</v>
      </c>
      <c r="D76" s="117" t="s">
        <v>51</v>
      </c>
      <c r="E76" s="116" t="s">
        <v>121</v>
      </c>
      <c r="F76" s="118">
        <v>80000</v>
      </c>
      <c r="G76" s="118">
        <f t="shared" si="30"/>
        <v>2296</v>
      </c>
      <c r="H76" s="118">
        <f t="shared" si="31"/>
        <v>2432</v>
      </c>
      <c r="I76" s="41">
        <v>3154.9</v>
      </c>
      <c r="J76" s="83">
        <f t="shared" si="1"/>
        <v>7882.9</v>
      </c>
      <c r="K76" s="83">
        <f t="shared" si="7"/>
        <v>72117.100000000006</v>
      </c>
      <c r="L76" s="83">
        <f t="shared" si="33"/>
        <v>6619.2698333333346</v>
      </c>
      <c r="M76" s="83"/>
      <c r="N76" s="90">
        <v>2025</v>
      </c>
      <c r="O76" s="115">
        <f t="shared" si="6"/>
        <v>16527.169833333333</v>
      </c>
      <c r="P76" s="84">
        <f t="shared" si="32"/>
        <v>63472.830166666667</v>
      </c>
      <c r="Q76" s="264"/>
      <c r="R76" s="55"/>
    </row>
    <row r="77" spans="1:18" s="41" customFormat="1" ht="30" customHeight="1" thickBot="1" x14ac:dyDescent="0.3">
      <c r="A77" s="226" t="s">
        <v>125</v>
      </c>
      <c r="B77" s="227"/>
      <c r="C77" s="227"/>
      <c r="D77" s="227"/>
      <c r="E77" s="228"/>
      <c r="F77" s="39">
        <f t="shared" ref="F77:P77" si="34">SUM(F71:F76)</f>
        <v>578500</v>
      </c>
      <c r="G77" s="39">
        <f t="shared" si="34"/>
        <v>16602.95</v>
      </c>
      <c r="H77" s="39">
        <f t="shared" si="34"/>
        <v>17586.400000000001</v>
      </c>
      <c r="I77" s="39">
        <f t="shared" si="34"/>
        <v>6309.8</v>
      </c>
      <c r="J77" s="39">
        <f t="shared" si="34"/>
        <v>40499.15</v>
      </c>
      <c r="K77" s="39">
        <f t="shared" si="34"/>
        <v>538000.85</v>
      </c>
      <c r="L77" s="39">
        <f t="shared" si="34"/>
        <v>66004.893791666676</v>
      </c>
      <c r="M77" s="39">
        <f t="shared" si="34"/>
        <v>0</v>
      </c>
      <c r="N77" s="39">
        <f t="shared" si="34"/>
        <v>15950</v>
      </c>
      <c r="O77" s="39">
        <f t="shared" si="34"/>
        <v>122454.04379166667</v>
      </c>
      <c r="P77" s="39">
        <f t="shared" si="34"/>
        <v>456045.95620833337</v>
      </c>
      <c r="Q77" s="264"/>
      <c r="R77" s="55"/>
    </row>
    <row r="78" spans="1:18" s="55" customFormat="1" ht="30" customHeight="1" thickBot="1" x14ac:dyDescent="0.3">
      <c r="A78" s="274" t="s">
        <v>159</v>
      </c>
      <c r="B78" s="275"/>
      <c r="C78" s="275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64"/>
    </row>
    <row r="79" spans="1:18" s="55" customFormat="1" ht="30" customHeight="1" x14ac:dyDescent="0.25">
      <c r="A79" s="81">
        <f>+A76+1</f>
        <v>44</v>
      </c>
      <c r="B79" s="82" t="s">
        <v>62</v>
      </c>
      <c r="C79" s="81" t="s">
        <v>426</v>
      </c>
      <c r="D79" s="91" t="s">
        <v>186</v>
      </c>
      <c r="E79" s="87" t="s">
        <v>122</v>
      </c>
      <c r="F79" s="83">
        <v>138000</v>
      </c>
      <c r="G79" s="88">
        <f>F79*2.87%</f>
        <v>3960.6</v>
      </c>
      <c r="H79" s="88">
        <f>+F79*3.04%</f>
        <v>4195.2</v>
      </c>
      <c r="I79" s="83"/>
      <c r="J79" s="83">
        <f t="shared" ref="J79:J133" si="35">+G79+H79+I79</f>
        <v>8155.7999999999993</v>
      </c>
      <c r="K79" s="83">
        <f t="shared" si="7"/>
        <v>129844.2</v>
      </c>
      <c r="L79" s="83">
        <f t="shared" si="15"/>
        <v>21043.987291666665</v>
      </c>
      <c r="M79" s="83"/>
      <c r="N79" s="90">
        <v>14444.03</v>
      </c>
      <c r="O79" s="115">
        <f t="shared" ref="O79:O137" si="36">+N79+I79+H79+G79+L79</f>
        <v>43643.817291666666</v>
      </c>
      <c r="P79" s="119">
        <f>+F79-O79</f>
        <v>94356.182708333334</v>
      </c>
      <c r="Q79" s="264"/>
    </row>
    <row r="80" spans="1:18" s="41" customFormat="1" ht="30" customHeight="1" x14ac:dyDescent="0.25">
      <c r="A80" s="86">
        <f>+A79+1</f>
        <v>45</v>
      </c>
      <c r="B80" s="116" t="s">
        <v>61</v>
      </c>
      <c r="C80" s="38" t="s">
        <v>426</v>
      </c>
      <c r="D80" s="117" t="s">
        <v>94</v>
      </c>
      <c r="E80" s="116" t="s">
        <v>121</v>
      </c>
      <c r="F80" s="118">
        <v>60000</v>
      </c>
      <c r="G80" s="118">
        <f>F80*2.87%</f>
        <v>1722</v>
      </c>
      <c r="H80" s="88">
        <f>+F80*3.04%</f>
        <v>1824</v>
      </c>
      <c r="I80" s="88"/>
      <c r="J80" s="83">
        <f t="shared" si="35"/>
        <v>3546</v>
      </c>
      <c r="K80" s="83">
        <f t="shared" si="7"/>
        <v>56454</v>
      </c>
      <c r="L80" s="83">
        <f>+IF(K80*12&lt;=416220.01,0,IF(K80*12&lt;=624329.01,(((K80*12-416220.01)*0.15)/12),IF((K80*12&lt;=867123.01),(31216+0.2*(K80*12-624329.01))/12,((79776+0.25*(K80*12-867123.01))/12))))-M80</f>
        <v>3486.6498333333329</v>
      </c>
      <c r="M80" s="83"/>
      <c r="N80" s="84">
        <v>125</v>
      </c>
      <c r="O80" s="115">
        <f t="shared" si="36"/>
        <v>7157.6498333333329</v>
      </c>
      <c r="P80" s="84">
        <f>+F80-O80</f>
        <v>52842.350166666671</v>
      </c>
      <c r="Q80" s="264"/>
      <c r="R80" s="55"/>
    </row>
    <row r="81" spans="1:18" s="42" customFormat="1" ht="30" customHeight="1" x14ac:dyDescent="0.25">
      <c r="A81" s="226" t="s">
        <v>125</v>
      </c>
      <c r="B81" s="227"/>
      <c r="C81" s="227"/>
      <c r="D81" s="227"/>
      <c r="E81" s="228"/>
      <c r="F81" s="39">
        <f t="shared" ref="F81:P81" si="37">SUM(F79:F80)</f>
        <v>198000</v>
      </c>
      <c r="G81" s="39">
        <f t="shared" si="37"/>
        <v>5682.6</v>
      </c>
      <c r="H81" s="39">
        <f t="shared" si="37"/>
        <v>6019.2</v>
      </c>
      <c r="I81" s="39">
        <f t="shared" si="37"/>
        <v>0</v>
      </c>
      <c r="J81" s="39">
        <f t="shared" si="37"/>
        <v>11701.8</v>
      </c>
      <c r="K81" s="39">
        <f t="shared" si="37"/>
        <v>186298.2</v>
      </c>
      <c r="L81" s="39">
        <f t="shared" si="37"/>
        <v>24530.637124999997</v>
      </c>
      <c r="M81" s="39">
        <f t="shared" si="37"/>
        <v>0</v>
      </c>
      <c r="N81" s="39">
        <f t="shared" si="37"/>
        <v>14569.03</v>
      </c>
      <c r="O81" s="39">
        <f t="shared" si="37"/>
        <v>50801.467124999996</v>
      </c>
      <c r="P81" s="39">
        <f t="shared" si="37"/>
        <v>147198.532875</v>
      </c>
      <c r="Q81" s="265"/>
      <c r="R81" s="92"/>
    </row>
    <row r="82" spans="1:18" s="41" customFormat="1" ht="30" customHeight="1" thickBot="1" x14ac:dyDescent="0.3">
      <c r="A82" s="46"/>
      <c r="B82" s="44"/>
      <c r="C82" s="46"/>
      <c r="D82" s="44"/>
      <c r="E82" s="44"/>
      <c r="Q82" s="264"/>
      <c r="R82" s="55"/>
    </row>
    <row r="83" spans="1:18" s="41" customFormat="1" ht="30" customHeight="1" thickBot="1" x14ac:dyDescent="0.3">
      <c r="A83" s="274" t="s">
        <v>160</v>
      </c>
      <c r="B83" s="275"/>
      <c r="C83" s="275"/>
      <c r="D83" s="275"/>
      <c r="E83" s="232"/>
      <c r="F83" s="232"/>
      <c r="G83" s="232"/>
      <c r="H83" s="232"/>
      <c r="I83" s="232"/>
      <c r="J83" s="232"/>
      <c r="K83" s="232"/>
      <c r="L83" s="232"/>
      <c r="M83" s="232"/>
      <c r="N83" s="232"/>
      <c r="O83" s="232"/>
      <c r="P83" s="232"/>
      <c r="Q83" s="264"/>
      <c r="R83" s="55"/>
    </row>
    <row r="84" spans="1:18" s="41" customFormat="1" ht="30" customHeight="1" x14ac:dyDescent="0.25">
      <c r="A84" s="86">
        <f>+A80+1</f>
        <v>46</v>
      </c>
      <c r="B84" s="116" t="s">
        <v>278</v>
      </c>
      <c r="C84" s="38" t="s">
        <v>426</v>
      </c>
      <c r="D84" s="116" t="s">
        <v>51</v>
      </c>
      <c r="E84" s="116" t="s">
        <v>121</v>
      </c>
      <c r="F84" s="118">
        <v>90000</v>
      </c>
      <c r="G84" s="118">
        <f>F84*2.87%</f>
        <v>2583</v>
      </c>
      <c r="H84" s="118">
        <f>+F84*3.04%</f>
        <v>2736</v>
      </c>
      <c r="I84" s="118">
        <v>1577.45</v>
      </c>
      <c r="J84" s="83">
        <f t="shared" si="35"/>
        <v>6896.45</v>
      </c>
      <c r="K84" s="83">
        <f t="shared" ref="K84:K140" si="38">+F84-J84</f>
        <v>83103.55</v>
      </c>
      <c r="L84" s="83">
        <f>+IF(K84*12&lt;=416220.01,0,IF(K84*12&lt;=624329.01,(((K84*12-416220.01)*0.15)/12),IF((K84*12&lt;=867123.01),(31216+0.2*(K84*12-624329.01))/12,((79776+0.25*(K84*12-867123.01))/12))))-M84</f>
        <v>9358.8247916666678</v>
      </c>
      <c r="M84" s="83"/>
      <c r="N84" s="90">
        <v>3328.34</v>
      </c>
      <c r="O84" s="115">
        <f t="shared" si="36"/>
        <v>19583.614791666667</v>
      </c>
      <c r="P84" s="84">
        <f>+F84-O84</f>
        <v>70416.385208333333</v>
      </c>
      <c r="Q84" s="264"/>
      <c r="R84" s="55"/>
    </row>
    <row r="85" spans="1:18" s="41" customFormat="1" ht="30" customHeight="1" x14ac:dyDescent="0.25">
      <c r="A85" s="86">
        <f>+A84+1</f>
        <v>47</v>
      </c>
      <c r="B85" s="116" t="s">
        <v>605</v>
      </c>
      <c r="C85" s="38" t="s">
        <v>426</v>
      </c>
      <c r="D85" s="116" t="s">
        <v>51</v>
      </c>
      <c r="E85" s="116" t="s">
        <v>121</v>
      </c>
      <c r="F85" s="118">
        <v>102000</v>
      </c>
      <c r="G85" s="83">
        <f>F85*2.87%</f>
        <v>2927.4</v>
      </c>
      <c r="H85" s="83">
        <f>+F85*3.04%</f>
        <v>3100.8</v>
      </c>
      <c r="I85" s="83">
        <v>1577.45</v>
      </c>
      <c r="J85" s="83">
        <f t="shared" si="35"/>
        <v>7605.6500000000005</v>
      </c>
      <c r="K85" s="83">
        <f t="shared" si="38"/>
        <v>94394.35</v>
      </c>
      <c r="L85" s="83">
        <f t="shared" ref="L85:L86" si="39">+IF(K85*12&lt;=416220.01,0,IF(K85*12&lt;=624329.01,(((K85*12-416220.01)*0.15)/12),IF((K85*12&lt;=867123.01),(31216+0.2*(K85*12-624329.01))/12,((79776+0.25*(K85*12-867123.01))/12))))-M85</f>
        <v>4.7916666699165944E-3</v>
      </c>
      <c r="M85" s="83">
        <v>12181.52</v>
      </c>
      <c r="N85" s="84">
        <v>25</v>
      </c>
      <c r="O85" s="115">
        <f t="shared" si="36"/>
        <v>7630.6547916666696</v>
      </c>
      <c r="P85" s="84">
        <f>+F85-O85</f>
        <v>94369.345208333325</v>
      </c>
      <c r="Q85" s="264"/>
      <c r="R85" s="55"/>
    </row>
    <row r="86" spans="1:18" s="41" customFormat="1" ht="30" customHeight="1" x14ac:dyDescent="0.25">
      <c r="A86" s="86">
        <f>+A85+1</f>
        <v>48</v>
      </c>
      <c r="B86" s="116" t="s">
        <v>479</v>
      </c>
      <c r="C86" s="38" t="s">
        <v>425</v>
      </c>
      <c r="D86" s="116" t="s">
        <v>51</v>
      </c>
      <c r="E86" s="116" t="s">
        <v>121</v>
      </c>
      <c r="F86" s="118">
        <v>70000</v>
      </c>
      <c r="G86" s="83">
        <f>F86*2.87%</f>
        <v>2009</v>
      </c>
      <c r="H86" s="83">
        <f>+F86*3.04%</f>
        <v>2128</v>
      </c>
      <c r="I86" s="83"/>
      <c r="J86" s="83">
        <f t="shared" si="35"/>
        <v>4137</v>
      </c>
      <c r="K86" s="83">
        <f t="shared" si="38"/>
        <v>65863</v>
      </c>
      <c r="L86" s="83">
        <f t="shared" si="39"/>
        <v>5368.4498333333331</v>
      </c>
      <c r="M86" s="83"/>
      <c r="N86" s="84">
        <v>125</v>
      </c>
      <c r="O86" s="115">
        <f t="shared" si="36"/>
        <v>9630.4498333333322</v>
      </c>
      <c r="P86" s="84">
        <f>+F86-O86</f>
        <v>60369.550166666668</v>
      </c>
      <c r="Q86" s="264"/>
      <c r="R86" s="55"/>
    </row>
    <row r="87" spans="1:18" s="41" customFormat="1" ht="25.5" customHeight="1" x14ac:dyDescent="0.25">
      <c r="A87" s="226" t="s">
        <v>125</v>
      </c>
      <c r="B87" s="227"/>
      <c r="C87" s="227"/>
      <c r="D87" s="227"/>
      <c r="E87" s="228"/>
      <c r="F87" s="39">
        <f>SUM(F84:F86)</f>
        <v>262000</v>
      </c>
      <c r="G87" s="39">
        <f t="shared" ref="G87:P87" si="40">SUM(G84:G86)</f>
        <v>7519.4</v>
      </c>
      <c r="H87" s="39">
        <f t="shared" si="40"/>
        <v>7964.8</v>
      </c>
      <c r="I87" s="39">
        <f t="shared" si="40"/>
        <v>3154.9</v>
      </c>
      <c r="J87" s="39">
        <f t="shared" si="40"/>
        <v>18639.099999999999</v>
      </c>
      <c r="K87" s="39">
        <f t="shared" si="40"/>
        <v>243360.90000000002</v>
      </c>
      <c r="L87" s="39">
        <f t="shared" si="40"/>
        <v>14727.279416666672</v>
      </c>
      <c r="M87" s="39">
        <f t="shared" si="40"/>
        <v>12181.52</v>
      </c>
      <c r="N87" s="39">
        <f t="shared" si="40"/>
        <v>3478.34</v>
      </c>
      <c r="O87" s="39">
        <f t="shared" si="40"/>
        <v>36844.719416666667</v>
      </c>
      <c r="P87" s="39">
        <f t="shared" si="40"/>
        <v>225155.28058333334</v>
      </c>
      <c r="Q87" s="264"/>
      <c r="R87" s="55"/>
    </row>
    <row r="88" spans="1:18" s="41" customFormat="1" ht="30" customHeight="1" thickBot="1" x14ac:dyDescent="0.3">
      <c r="A88" s="46"/>
      <c r="B88" s="44"/>
      <c r="C88" s="46"/>
      <c r="D88" s="45"/>
      <c r="E88" s="44"/>
      <c r="Q88" s="264"/>
      <c r="R88" s="55"/>
    </row>
    <row r="89" spans="1:18" s="33" customFormat="1" ht="30" customHeight="1" thickBot="1" x14ac:dyDescent="0.3">
      <c r="A89" s="274" t="s">
        <v>161</v>
      </c>
      <c r="B89" s="275"/>
      <c r="C89" s="275"/>
      <c r="D89" s="275"/>
      <c r="E89" s="232"/>
      <c r="F89" s="232"/>
      <c r="G89" s="232"/>
      <c r="H89" s="232"/>
      <c r="I89" s="232"/>
      <c r="J89" s="232"/>
      <c r="K89" s="232"/>
      <c r="L89" s="232"/>
      <c r="M89" s="232"/>
      <c r="N89" s="232"/>
      <c r="O89" s="232"/>
      <c r="P89" s="232"/>
      <c r="Q89" s="266"/>
    </row>
    <row r="90" spans="1:18" s="55" customFormat="1" ht="30" customHeight="1" x14ac:dyDescent="0.25">
      <c r="A90" s="81">
        <f>A86+1</f>
        <v>49</v>
      </c>
      <c r="B90" s="178" t="s">
        <v>78</v>
      </c>
      <c r="C90" s="179" t="s">
        <v>426</v>
      </c>
      <c r="D90" s="116" t="s">
        <v>51</v>
      </c>
      <c r="E90" s="116" t="s">
        <v>121</v>
      </c>
      <c r="F90" s="180">
        <v>90000</v>
      </c>
      <c r="G90" s="118">
        <f>F90*2.87%</f>
        <v>2583</v>
      </c>
      <c r="H90" s="88">
        <f>+F90*3.04%</f>
        <v>2736</v>
      </c>
      <c r="I90" s="88">
        <v>1577.45</v>
      </c>
      <c r="J90" s="83">
        <f t="shared" si="35"/>
        <v>6896.45</v>
      </c>
      <c r="K90" s="83">
        <f t="shared" si="38"/>
        <v>83103.55</v>
      </c>
      <c r="L90" s="83">
        <f>+IF(K90*12&lt;=416220.01,0,IF(K90*12&lt;=624329.01,(((K90*12-416220.01)*0.15)/12),IF((K90*12&lt;=867123.01),(31216+0.2*(K90*12-624329.01))/12,((79776+0.25*(K90*12-867123.01))/12))))-M90</f>
        <v>9358.8247916666678</v>
      </c>
      <c r="M90" s="83"/>
      <c r="N90" s="90">
        <v>25</v>
      </c>
      <c r="O90" s="115">
        <f t="shared" si="36"/>
        <v>16280.274791666667</v>
      </c>
      <c r="P90" s="84">
        <f>+F90-O90</f>
        <v>73719.72520833333</v>
      </c>
      <c r="Q90" s="264"/>
    </row>
    <row r="91" spans="1:18" s="55" customFormat="1" ht="30" customHeight="1" x14ac:dyDescent="0.25">
      <c r="A91" s="86">
        <f>+A90+1</f>
        <v>50</v>
      </c>
      <c r="B91" s="116" t="s">
        <v>162</v>
      </c>
      <c r="C91" s="38" t="s">
        <v>426</v>
      </c>
      <c r="D91" s="117" t="s">
        <v>51</v>
      </c>
      <c r="E91" s="116" t="s">
        <v>122</v>
      </c>
      <c r="F91" s="118">
        <v>90000</v>
      </c>
      <c r="G91" s="118">
        <f>F91*2.87%</f>
        <v>2583</v>
      </c>
      <c r="H91" s="88">
        <f>+F91*3.04%</f>
        <v>2736</v>
      </c>
      <c r="I91" s="88">
        <v>3154.9</v>
      </c>
      <c r="J91" s="83">
        <f t="shared" si="35"/>
        <v>8473.9</v>
      </c>
      <c r="K91" s="83">
        <f t="shared" si="38"/>
        <v>81526.100000000006</v>
      </c>
      <c r="L91" s="83">
        <f t="shared" ref="L91:L92" si="41">+IF(K91*12&lt;=416220.01,0,IF(K91*12&lt;=624329.01,(((K91*12-416220.01)*0.15)/12),IF((K91*12&lt;=867123.01),(31216+0.2*(K91*12-624329.01))/12,((79776+0.25*(K91*12-867123.01))/12))))-M91</f>
        <v>8964.4622916666685</v>
      </c>
      <c r="M91" s="83"/>
      <c r="N91" s="90">
        <v>6281.41</v>
      </c>
      <c r="O91" s="115">
        <f t="shared" si="36"/>
        <v>23719.772291666668</v>
      </c>
      <c r="P91" s="84">
        <f>+F91-O91</f>
        <v>66280.227708333332</v>
      </c>
      <c r="Q91" s="264"/>
    </row>
    <row r="92" spans="1:18" s="41" customFormat="1" ht="30" customHeight="1" x14ac:dyDescent="0.25">
      <c r="A92" s="86">
        <f>A91+1</f>
        <v>51</v>
      </c>
      <c r="B92" s="87" t="s">
        <v>268</v>
      </c>
      <c r="C92" s="86" t="s">
        <v>426</v>
      </c>
      <c r="D92" s="91" t="s">
        <v>51</v>
      </c>
      <c r="E92" s="87" t="s">
        <v>121</v>
      </c>
      <c r="F92" s="88">
        <v>90000</v>
      </c>
      <c r="G92" s="88">
        <f>F92*2.87%</f>
        <v>2583</v>
      </c>
      <c r="H92" s="88">
        <f>+F92*3.04%</f>
        <v>2736</v>
      </c>
      <c r="I92" s="88">
        <v>1577.45</v>
      </c>
      <c r="J92" s="83">
        <f t="shared" si="35"/>
        <v>6896.45</v>
      </c>
      <c r="K92" s="83">
        <f t="shared" si="38"/>
        <v>83103.55</v>
      </c>
      <c r="L92" s="83">
        <f t="shared" si="41"/>
        <v>9358.8247916666678</v>
      </c>
      <c r="M92" s="83"/>
      <c r="N92" s="90">
        <v>7264.44</v>
      </c>
      <c r="O92" s="115">
        <f t="shared" si="36"/>
        <v>23519.714791666665</v>
      </c>
      <c r="P92" s="84">
        <f>+F92-O92</f>
        <v>66480.285208333342</v>
      </c>
      <c r="Q92" s="264"/>
      <c r="R92" s="55"/>
    </row>
    <row r="93" spans="1:18" s="41" customFormat="1" ht="30" customHeight="1" x14ac:dyDescent="0.25">
      <c r="A93" s="226" t="s">
        <v>125</v>
      </c>
      <c r="B93" s="227"/>
      <c r="C93" s="227"/>
      <c r="D93" s="227"/>
      <c r="E93" s="228"/>
      <c r="F93" s="39">
        <f t="shared" ref="F93:P93" si="42">SUM(F90:F92)</f>
        <v>270000</v>
      </c>
      <c r="G93" s="39">
        <f t="shared" si="42"/>
        <v>7749</v>
      </c>
      <c r="H93" s="39">
        <f t="shared" si="42"/>
        <v>8208</v>
      </c>
      <c r="I93" s="39">
        <f t="shared" si="42"/>
        <v>6309.8</v>
      </c>
      <c r="J93" s="39">
        <f t="shared" si="42"/>
        <v>22266.799999999999</v>
      </c>
      <c r="K93" s="39">
        <f t="shared" si="42"/>
        <v>247733.2</v>
      </c>
      <c r="L93" s="39">
        <f t="shared" si="42"/>
        <v>27682.111875000002</v>
      </c>
      <c r="M93" s="39">
        <f t="shared" si="42"/>
        <v>0</v>
      </c>
      <c r="N93" s="39">
        <f t="shared" si="42"/>
        <v>13570.849999999999</v>
      </c>
      <c r="O93" s="39">
        <f t="shared" si="42"/>
        <v>63519.761875000004</v>
      </c>
      <c r="P93" s="39">
        <f t="shared" si="42"/>
        <v>206480.238125</v>
      </c>
      <c r="Q93" s="264"/>
      <c r="R93" s="55"/>
    </row>
    <row r="94" spans="1:18" s="41" customFormat="1" ht="30" customHeight="1" thickBot="1" x14ac:dyDescent="0.3">
      <c r="A94" s="46"/>
      <c r="B94" s="44"/>
      <c r="C94" s="46"/>
      <c r="D94" s="45"/>
      <c r="E94" s="44"/>
      <c r="Q94" s="264"/>
      <c r="R94" s="55"/>
    </row>
    <row r="95" spans="1:18" s="93" customFormat="1" ht="30" customHeight="1" thickBot="1" x14ac:dyDescent="0.3">
      <c r="A95" s="274" t="s">
        <v>163</v>
      </c>
      <c r="B95" s="275"/>
      <c r="C95" s="275"/>
      <c r="D95" s="275"/>
      <c r="E95" s="232"/>
      <c r="F95" s="232"/>
      <c r="G95" s="232"/>
      <c r="H95" s="232"/>
      <c r="I95" s="232"/>
      <c r="J95" s="232"/>
      <c r="K95" s="232"/>
      <c r="L95" s="232"/>
      <c r="M95" s="232"/>
      <c r="N95" s="232"/>
      <c r="O95" s="232"/>
      <c r="P95" s="232"/>
      <c r="Q95" s="267"/>
    </row>
    <row r="96" spans="1:18" s="55" customFormat="1" ht="30" customHeight="1" x14ac:dyDescent="0.25">
      <c r="A96" s="81">
        <f>+A92+1</f>
        <v>52</v>
      </c>
      <c r="B96" s="116" t="s">
        <v>257</v>
      </c>
      <c r="C96" s="38" t="s">
        <v>426</v>
      </c>
      <c r="D96" s="117" t="s">
        <v>51</v>
      </c>
      <c r="E96" s="116" t="s">
        <v>121</v>
      </c>
      <c r="F96" s="118">
        <v>90000</v>
      </c>
      <c r="G96" s="118">
        <f>F96*2.87%</f>
        <v>2583</v>
      </c>
      <c r="H96" s="118">
        <f>+F96*3.04%</f>
        <v>2736</v>
      </c>
      <c r="I96" s="118"/>
      <c r="J96" s="83">
        <f t="shared" si="35"/>
        <v>5319</v>
      </c>
      <c r="K96" s="83">
        <f t="shared" si="38"/>
        <v>84681</v>
      </c>
      <c r="L96" s="83">
        <f>+IF(K96*12&lt;=416220.01,0,IF(K96*12&lt;=624329.01,(((K96*12-416220.01)*0.15)/12),IF((K96*12&lt;=867123.01),(31216+0.2*(K96*12-624329.01))/12,((79776+0.25*(K96*12-867123.01))/12))))-M96</f>
        <v>9753.1872916666671</v>
      </c>
      <c r="M96" s="83"/>
      <c r="N96" s="90">
        <v>10771.75</v>
      </c>
      <c r="O96" s="115">
        <f t="shared" si="36"/>
        <v>25843.937291666669</v>
      </c>
      <c r="P96" s="84">
        <f>+F96-O96</f>
        <v>64156.062708333331</v>
      </c>
      <c r="Q96" s="264"/>
    </row>
    <row r="97" spans="1:18" s="92" customFormat="1" ht="30" customHeight="1" x14ac:dyDescent="0.25">
      <c r="A97" s="86">
        <f>+A96+1</f>
        <v>53</v>
      </c>
      <c r="B97" s="87" t="s">
        <v>255</v>
      </c>
      <c r="C97" s="86" t="s">
        <v>426</v>
      </c>
      <c r="D97" s="91" t="s">
        <v>51</v>
      </c>
      <c r="E97" s="87" t="s">
        <v>121</v>
      </c>
      <c r="F97" s="88">
        <v>85000</v>
      </c>
      <c r="G97" s="88">
        <v>2439.5</v>
      </c>
      <c r="H97" s="88">
        <v>2584</v>
      </c>
      <c r="I97" s="88"/>
      <c r="J97" s="83">
        <f t="shared" si="35"/>
        <v>5023.5</v>
      </c>
      <c r="K97" s="83">
        <f t="shared" si="38"/>
        <v>79976.5</v>
      </c>
      <c r="L97" s="83">
        <f t="shared" ref="L97:L99" si="43">+IF(K97*12&lt;=416220.01,0,IF(K97*12&lt;=624329.01,(((K97*12-416220.01)*0.15)/12),IF((K97*12&lt;=867123.01),(31216+0.2*(K97*12-624329.01))/12,((79776+0.25*(K97*12-867123.01))/12))))-M97</f>
        <v>8577.0622916666671</v>
      </c>
      <c r="M97" s="83"/>
      <c r="N97" s="90">
        <v>1911.92</v>
      </c>
      <c r="O97" s="115">
        <f t="shared" si="36"/>
        <v>15512.482291666667</v>
      </c>
      <c r="P97" s="84">
        <f>+F97-O97</f>
        <v>69487.517708333326</v>
      </c>
      <c r="Q97" s="265"/>
    </row>
    <row r="98" spans="1:18" s="41" customFormat="1" ht="30" customHeight="1" x14ac:dyDescent="0.25">
      <c r="A98" s="81">
        <f>+A97+1</f>
        <v>54</v>
      </c>
      <c r="B98" s="116" t="s">
        <v>80</v>
      </c>
      <c r="C98" s="38" t="s">
        <v>425</v>
      </c>
      <c r="D98" s="117" t="s">
        <v>51</v>
      </c>
      <c r="E98" s="116" t="s">
        <v>121</v>
      </c>
      <c r="F98" s="118">
        <v>80000</v>
      </c>
      <c r="G98" s="118">
        <f>F98*2.87%</f>
        <v>2296</v>
      </c>
      <c r="H98" s="118">
        <f>+F98*3.04%</f>
        <v>2432</v>
      </c>
      <c r="I98" s="118"/>
      <c r="J98" s="83">
        <f t="shared" si="35"/>
        <v>4728</v>
      </c>
      <c r="K98" s="83">
        <f t="shared" si="38"/>
        <v>75272</v>
      </c>
      <c r="L98" s="83">
        <f t="shared" si="43"/>
        <v>7400.9372916666662</v>
      </c>
      <c r="M98" s="83"/>
      <c r="N98" s="90">
        <f>1922.84+25</f>
        <v>1947.84</v>
      </c>
      <c r="O98" s="115">
        <f t="shared" si="36"/>
        <v>14076.777291666665</v>
      </c>
      <c r="P98" s="84">
        <f>+F98-O98</f>
        <v>65923.222708333342</v>
      </c>
      <c r="Q98" s="264"/>
      <c r="R98" s="55"/>
    </row>
    <row r="99" spans="1:18" ht="30" customHeight="1" x14ac:dyDescent="0.25">
      <c r="A99" s="81">
        <f>+A98+1</f>
        <v>55</v>
      </c>
      <c r="B99" s="116" t="s">
        <v>89</v>
      </c>
      <c r="C99" s="38" t="s">
        <v>426</v>
      </c>
      <c r="D99" s="117" t="s">
        <v>51</v>
      </c>
      <c r="E99" s="116" t="s">
        <v>122</v>
      </c>
      <c r="F99" s="180">
        <v>80000</v>
      </c>
      <c r="G99" s="118">
        <f>F99*2.87%</f>
        <v>2296</v>
      </c>
      <c r="H99" s="118">
        <f>+F99*3.04%</f>
        <v>2432</v>
      </c>
      <c r="I99" s="118">
        <v>1577.45</v>
      </c>
      <c r="J99" s="83">
        <f t="shared" si="35"/>
        <v>6305.45</v>
      </c>
      <c r="K99" s="83">
        <f t="shared" si="38"/>
        <v>73694.55</v>
      </c>
      <c r="L99" s="83">
        <f t="shared" si="43"/>
        <v>7006.5747916666687</v>
      </c>
      <c r="M99" s="83"/>
      <c r="N99" s="90">
        <v>13010.98</v>
      </c>
      <c r="O99" s="115">
        <f t="shared" si="36"/>
        <v>26323.00479166667</v>
      </c>
      <c r="P99" s="84">
        <f>+F99-O99</f>
        <v>53676.995208333334</v>
      </c>
    </row>
    <row r="100" spans="1:18" s="41" customFormat="1" ht="30" customHeight="1" x14ac:dyDescent="0.25">
      <c r="A100" s="226" t="s">
        <v>125</v>
      </c>
      <c r="B100" s="227"/>
      <c r="C100" s="227"/>
      <c r="D100" s="227"/>
      <c r="E100" s="228"/>
      <c r="F100" s="39">
        <f>SUM(F96:F99)</f>
        <v>335000</v>
      </c>
      <c r="G100" s="39">
        <f t="shared" ref="G100:P100" si="44">SUM(G96:G99)</f>
        <v>9614.5</v>
      </c>
      <c r="H100" s="39">
        <f t="shared" si="44"/>
        <v>10184</v>
      </c>
      <c r="I100" s="39">
        <f t="shared" si="44"/>
        <v>1577.45</v>
      </c>
      <c r="J100" s="39">
        <f t="shared" si="44"/>
        <v>21375.95</v>
      </c>
      <c r="K100" s="39">
        <f t="shared" si="44"/>
        <v>313624.05</v>
      </c>
      <c r="L100" s="39">
        <f t="shared" si="44"/>
        <v>32737.761666666669</v>
      </c>
      <c r="M100" s="39">
        <f t="shared" si="44"/>
        <v>0</v>
      </c>
      <c r="N100" s="39">
        <f t="shared" si="44"/>
        <v>27642.489999999998</v>
      </c>
      <c r="O100" s="39">
        <f t="shared" si="44"/>
        <v>81756.201666666675</v>
      </c>
      <c r="P100" s="39">
        <f t="shared" si="44"/>
        <v>253243.79833333334</v>
      </c>
      <c r="Q100" s="264"/>
      <c r="R100" s="55"/>
    </row>
    <row r="101" spans="1:18" s="55" customFormat="1" ht="30" customHeight="1" thickBot="1" x14ac:dyDescent="0.3">
      <c r="A101" s="4"/>
      <c r="B101" s="25"/>
      <c r="C101" s="4"/>
      <c r="D101" s="25"/>
      <c r="E101" s="25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264"/>
    </row>
    <row r="102" spans="1:18" s="55" customFormat="1" ht="30" customHeight="1" thickBot="1" x14ac:dyDescent="0.3">
      <c r="A102" s="274" t="s">
        <v>164</v>
      </c>
      <c r="B102" s="275"/>
      <c r="C102" s="275"/>
      <c r="D102" s="275"/>
      <c r="E102" s="275"/>
      <c r="F102" s="232"/>
      <c r="G102" s="232"/>
      <c r="H102" s="232"/>
      <c r="I102" s="232"/>
      <c r="J102" s="232"/>
      <c r="K102" s="232"/>
      <c r="L102" s="232"/>
      <c r="M102" s="232"/>
      <c r="N102" s="232"/>
      <c r="O102" s="232"/>
      <c r="P102" s="232"/>
      <c r="Q102" s="264"/>
    </row>
    <row r="103" spans="1:18" s="41" customFormat="1" ht="30" customHeight="1" x14ac:dyDescent="0.25">
      <c r="A103" s="86">
        <f>+A99+1</f>
        <v>56</v>
      </c>
      <c r="B103" s="87" t="s">
        <v>52</v>
      </c>
      <c r="C103" s="86" t="s">
        <v>426</v>
      </c>
      <c r="D103" s="91" t="s">
        <v>51</v>
      </c>
      <c r="E103" s="87" t="s">
        <v>121</v>
      </c>
      <c r="F103" s="88">
        <v>102000</v>
      </c>
      <c r="G103" s="88">
        <f>F103*2.87%</f>
        <v>2927.4</v>
      </c>
      <c r="H103" s="88">
        <f>+F103*3.04%</f>
        <v>3100.8</v>
      </c>
      <c r="I103" s="88"/>
      <c r="J103" s="83">
        <f t="shared" si="35"/>
        <v>6028.2000000000007</v>
      </c>
      <c r="K103" s="83">
        <f t="shared" si="38"/>
        <v>95971.8</v>
      </c>
      <c r="L103" s="83">
        <f>+IF(K103*12&lt;=416220.01,0,IF(K103*12&lt;=624329.01,(((K103*12-416220.01)*0.15)/12),IF((K103*12&lt;=867123.01),(31216+0.2*(K103*12-624329.01))/12,((79776+0.25*(K103*12-867123.01))/12))))-M103</f>
        <v>12575.887291666668</v>
      </c>
      <c r="M103" s="83"/>
      <c r="N103" s="90">
        <v>25</v>
      </c>
      <c r="O103" s="115">
        <f t="shared" si="36"/>
        <v>18629.08729166667</v>
      </c>
      <c r="P103" s="84">
        <f>+F103-O103</f>
        <v>83370.91270833333</v>
      </c>
      <c r="Q103" s="264"/>
      <c r="R103" s="55"/>
    </row>
    <row r="104" spans="1:18" s="55" customFormat="1" ht="30" customHeight="1" thickBot="1" x14ac:dyDescent="0.3">
      <c r="A104" s="226" t="s">
        <v>125</v>
      </c>
      <c r="B104" s="227"/>
      <c r="C104" s="227"/>
      <c r="D104" s="227"/>
      <c r="E104" s="228"/>
      <c r="F104" s="39">
        <f t="shared" ref="F104:P104" si="45">SUM(F103:F103)</f>
        <v>102000</v>
      </c>
      <c r="G104" s="39">
        <f t="shared" si="45"/>
        <v>2927.4</v>
      </c>
      <c r="H104" s="39">
        <f t="shared" si="45"/>
        <v>3100.8</v>
      </c>
      <c r="I104" s="39">
        <f t="shared" si="45"/>
        <v>0</v>
      </c>
      <c r="J104" s="39">
        <f t="shared" si="45"/>
        <v>6028.2000000000007</v>
      </c>
      <c r="K104" s="39">
        <f t="shared" si="45"/>
        <v>95971.8</v>
      </c>
      <c r="L104" s="39">
        <f t="shared" si="45"/>
        <v>12575.887291666668</v>
      </c>
      <c r="M104" s="39"/>
      <c r="N104" s="39">
        <f t="shared" si="45"/>
        <v>25</v>
      </c>
      <c r="O104" s="39">
        <f t="shared" si="45"/>
        <v>18629.08729166667</v>
      </c>
      <c r="P104" s="39">
        <f t="shared" si="45"/>
        <v>83370.91270833333</v>
      </c>
      <c r="Q104" s="264"/>
    </row>
    <row r="105" spans="1:18" s="55" customFormat="1" ht="30" customHeight="1" thickBot="1" x14ac:dyDescent="0.3">
      <c r="A105" s="274" t="s">
        <v>165</v>
      </c>
      <c r="B105" s="275"/>
      <c r="C105" s="275"/>
      <c r="D105" s="275"/>
      <c r="E105" s="275"/>
      <c r="F105" s="232"/>
      <c r="G105" s="232"/>
      <c r="H105" s="232"/>
      <c r="I105" s="232"/>
      <c r="J105" s="232"/>
      <c r="K105" s="232"/>
      <c r="L105" s="232"/>
      <c r="M105" s="232"/>
      <c r="N105" s="232"/>
      <c r="O105" s="232"/>
      <c r="P105" s="232"/>
      <c r="Q105" s="264"/>
    </row>
    <row r="106" spans="1:18" s="41" customFormat="1" ht="30" customHeight="1" x14ac:dyDescent="0.25">
      <c r="A106" s="81">
        <f>A103+1</f>
        <v>57</v>
      </c>
      <c r="B106" s="82" t="s">
        <v>65</v>
      </c>
      <c r="C106" s="81" t="s">
        <v>426</v>
      </c>
      <c r="D106" s="94" t="s">
        <v>188</v>
      </c>
      <c r="E106" s="87" t="s">
        <v>122</v>
      </c>
      <c r="F106" s="83">
        <v>155250</v>
      </c>
      <c r="G106" s="83">
        <v>4455.6750000000002</v>
      </c>
      <c r="H106" s="88">
        <f>+F106*3.04%</f>
        <v>4719.6000000000004</v>
      </c>
      <c r="I106" s="83">
        <v>1577.45</v>
      </c>
      <c r="J106" s="83">
        <f t="shared" si="35"/>
        <v>10752.725000000002</v>
      </c>
      <c r="K106" s="83">
        <f t="shared" si="38"/>
        <v>144497.27499999999</v>
      </c>
      <c r="L106" s="83">
        <f>+IF(K106*12&lt;=416220.01,0,IF(K106*12&lt;=624329.01,(((K106*12-416220.01)*0.15)/12),IF((K106*12&lt;=867123.01),(31216+0.2*(K106*12-624329.01))/12,((79776+0.25*(K106*12-867123.01))/12))))-M106</f>
        <v>24707.256041666664</v>
      </c>
      <c r="M106" s="83"/>
      <c r="N106" s="90">
        <v>10125</v>
      </c>
      <c r="O106" s="115">
        <f t="shared" si="36"/>
        <v>45584.981041666666</v>
      </c>
      <c r="P106" s="84">
        <f>+F106-O106</f>
        <v>109665.01895833333</v>
      </c>
      <c r="Q106" s="264"/>
      <c r="R106" s="55"/>
    </row>
    <row r="107" spans="1:18" customFormat="1" ht="30" customHeight="1" x14ac:dyDescent="0.25">
      <c r="A107" s="86">
        <f>A106+1</f>
        <v>58</v>
      </c>
      <c r="B107" s="116" t="s">
        <v>259</v>
      </c>
      <c r="C107" s="38" t="s">
        <v>426</v>
      </c>
      <c r="D107" s="116" t="s">
        <v>66</v>
      </c>
      <c r="E107" s="116" t="s">
        <v>122</v>
      </c>
      <c r="F107" s="118">
        <v>60000</v>
      </c>
      <c r="G107" s="88">
        <f>F107*2.87%</f>
        <v>1722</v>
      </c>
      <c r="H107" s="88">
        <f>+F107*3.04%</f>
        <v>1824</v>
      </c>
      <c r="I107" s="88"/>
      <c r="J107" s="83">
        <f t="shared" si="35"/>
        <v>3546</v>
      </c>
      <c r="K107" s="83">
        <f t="shared" si="38"/>
        <v>56454</v>
      </c>
      <c r="L107" s="83">
        <f>+IF(K107*12&lt;=416220.01,0,IF(K107*12&lt;=624329.01,(((K107*12-416220.01)*0.15)/12),IF((K107*12&lt;=867123.01),(31216+0.2*(K107*12-624329.01))/12,((79776+0.25*(K107*12-867123.01))/12))))-M107</f>
        <v>3486.6498333333329</v>
      </c>
      <c r="M107" s="83"/>
      <c r="N107" s="84">
        <v>125</v>
      </c>
      <c r="O107" s="115">
        <f t="shared" si="36"/>
        <v>7157.6498333333329</v>
      </c>
      <c r="P107" s="84">
        <f>+F107-O107</f>
        <v>52842.350166666671</v>
      </c>
      <c r="Q107" s="268"/>
    </row>
    <row r="108" spans="1:18" s="41" customFormat="1" ht="30" customHeight="1" x14ac:dyDescent="0.25">
      <c r="A108" s="226" t="s">
        <v>125</v>
      </c>
      <c r="B108" s="227"/>
      <c r="C108" s="227"/>
      <c r="D108" s="227"/>
      <c r="E108" s="228"/>
      <c r="F108" s="39">
        <f t="shared" ref="F108:P108" si="46">SUM(F106:F107)</f>
        <v>215250</v>
      </c>
      <c r="G108" s="39">
        <f t="shared" si="46"/>
        <v>6177.6750000000002</v>
      </c>
      <c r="H108" s="39">
        <f t="shared" si="46"/>
        <v>6543.6</v>
      </c>
      <c r="I108" s="39">
        <f t="shared" si="46"/>
        <v>1577.45</v>
      </c>
      <c r="J108" s="39">
        <f t="shared" si="46"/>
        <v>14298.725000000002</v>
      </c>
      <c r="K108" s="39">
        <f t="shared" si="46"/>
        <v>200951.27499999999</v>
      </c>
      <c r="L108" s="39">
        <f t="shared" si="46"/>
        <v>28193.905874999997</v>
      </c>
      <c r="M108" s="39">
        <f t="shared" si="46"/>
        <v>0</v>
      </c>
      <c r="N108" s="39">
        <f t="shared" si="46"/>
        <v>10250</v>
      </c>
      <c r="O108" s="39">
        <f t="shared" si="46"/>
        <v>52742.630875000003</v>
      </c>
      <c r="P108" s="39">
        <f t="shared" si="46"/>
        <v>162507.369125</v>
      </c>
      <c r="Q108" s="264"/>
      <c r="R108" s="55"/>
    </row>
    <row r="109" spans="1:18" s="92" customFormat="1" ht="30" customHeight="1" thickBot="1" x14ac:dyDescent="0.3">
      <c r="A109"/>
      <c r="B109"/>
      <c r="C109" s="146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 s="265"/>
    </row>
    <row r="110" spans="1:18" s="55" customFormat="1" ht="30" customHeight="1" thickBot="1" x14ac:dyDescent="0.3">
      <c r="A110" s="274" t="s">
        <v>167</v>
      </c>
      <c r="B110" s="275"/>
      <c r="C110" s="275"/>
      <c r="D110" s="275"/>
      <c r="E110" s="275"/>
      <c r="F110" s="232"/>
      <c r="G110" s="232"/>
      <c r="H110" s="232"/>
      <c r="I110" s="232"/>
      <c r="J110" s="232"/>
      <c r="K110" s="232"/>
      <c r="L110" s="232"/>
      <c r="M110" s="232"/>
      <c r="N110" s="232"/>
      <c r="O110" s="232"/>
      <c r="P110" s="232"/>
      <c r="Q110" s="264"/>
    </row>
    <row r="111" spans="1:18" s="55" customFormat="1" ht="30" customHeight="1" x14ac:dyDescent="0.25">
      <c r="A111" s="81">
        <f>+A107+1</f>
        <v>59</v>
      </c>
      <c r="B111" s="121" t="s">
        <v>260</v>
      </c>
      <c r="C111" s="131" t="s">
        <v>426</v>
      </c>
      <c r="D111" s="132" t="s">
        <v>261</v>
      </c>
      <c r="E111" s="121" t="s">
        <v>121</v>
      </c>
      <c r="F111" s="115">
        <v>155000</v>
      </c>
      <c r="G111" s="118">
        <f t="shared" ref="G111:G115" si="47">F111*2.87%</f>
        <v>4448.5</v>
      </c>
      <c r="H111" s="118">
        <f t="shared" ref="H111:H115" si="48">+F111*3.04%</f>
        <v>4712</v>
      </c>
      <c r="I111" s="115"/>
      <c r="J111" s="83">
        <f t="shared" si="35"/>
        <v>9160.5</v>
      </c>
      <c r="K111" s="83">
        <f t="shared" si="38"/>
        <v>145839.5</v>
      </c>
      <c r="L111" s="83">
        <f>+IF(K111*12&lt;=416220.01,0,IF(K111*12&lt;=624329.01,(((K111*12-416220.01)*0.15)/12),IF((K111*12&lt;=867123.01),(31216+0.2*(K111*12-624329.01))/12,((79776+0.25*(K111*12-867123.01))/12))))-M111</f>
        <v>25042.812291666665</v>
      </c>
      <c r="M111" s="83"/>
      <c r="N111" s="90">
        <v>125</v>
      </c>
      <c r="O111" s="115">
        <f t="shared" si="36"/>
        <v>34328.312291666662</v>
      </c>
      <c r="P111" s="84">
        <f>+F111-O111</f>
        <v>120671.68770833334</v>
      </c>
      <c r="Q111" s="264"/>
    </row>
    <row r="112" spans="1:18" s="55" customFormat="1" ht="30" customHeight="1" x14ac:dyDescent="0.25">
      <c r="A112" s="81">
        <f>+A111+1</f>
        <v>60</v>
      </c>
      <c r="B112" s="116" t="s">
        <v>262</v>
      </c>
      <c r="C112" s="38" t="s">
        <v>426</v>
      </c>
      <c r="D112" s="117" t="s">
        <v>51</v>
      </c>
      <c r="E112" s="116" t="s">
        <v>121</v>
      </c>
      <c r="F112" s="118">
        <v>90000</v>
      </c>
      <c r="G112" s="118">
        <f t="shared" si="47"/>
        <v>2583</v>
      </c>
      <c r="H112" s="118">
        <f t="shared" si="48"/>
        <v>2736</v>
      </c>
      <c r="I112" s="118"/>
      <c r="J112" s="83">
        <f t="shared" si="35"/>
        <v>5319</v>
      </c>
      <c r="K112" s="83">
        <f t="shared" si="38"/>
        <v>84681</v>
      </c>
      <c r="L112" s="83">
        <f t="shared" ref="L112:L115" si="49">+IF(K112*12&lt;=416220.01,0,IF(K112*12&lt;=624329.01,(((K112*12-416220.01)*0.15)/12),IF((K112*12&lt;=867123.01),(31216+0.2*(K112*12-624329.01))/12,((79776+0.25*(K112*12-867123.01))/12))))-M112</f>
        <v>9753.1872916666671</v>
      </c>
      <c r="M112" s="83"/>
      <c r="N112" s="90">
        <v>125</v>
      </c>
      <c r="O112" s="115">
        <f t="shared" si="36"/>
        <v>15197.187291666667</v>
      </c>
      <c r="P112" s="84">
        <f>+F112-O112</f>
        <v>74802.812708333338</v>
      </c>
      <c r="Q112" s="264"/>
    </row>
    <row r="113" spans="1:18" s="55" customFormat="1" ht="30" customHeight="1" x14ac:dyDescent="0.25">
      <c r="A113" s="86">
        <f t="shared" ref="A113:A115" si="50">+A112+1</f>
        <v>61</v>
      </c>
      <c r="B113" s="87" t="s">
        <v>258</v>
      </c>
      <c r="C113" s="86" t="s">
        <v>425</v>
      </c>
      <c r="D113" s="91" t="s">
        <v>51</v>
      </c>
      <c r="E113" s="87" t="s">
        <v>121</v>
      </c>
      <c r="F113" s="88">
        <v>90000</v>
      </c>
      <c r="G113" s="88">
        <f t="shared" si="47"/>
        <v>2583</v>
      </c>
      <c r="H113" s="88">
        <f t="shared" si="48"/>
        <v>2736</v>
      </c>
      <c r="I113" s="88"/>
      <c r="J113" s="83">
        <f t="shared" si="35"/>
        <v>5319</v>
      </c>
      <c r="K113" s="83">
        <f t="shared" si="38"/>
        <v>84681</v>
      </c>
      <c r="L113" s="83">
        <f t="shared" si="49"/>
        <v>9753.1872916666671</v>
      </c>
      <c r="M113" s="83"/>
      <c r="N113" s="90">
        <v>11082.03</v>
      </c>
      <c r="O113" s="115">
        <f t="shared" si="36"/>
        <v>26154.217291666668</v>
      </c>
      <c r="P113" s="84">
        <f>+F113-O113</f>
        <v>63845.782708333332</v>
      </c>
      <c r="Q113" s="264"/>
    </row>
    <row r="114" spans="1:18" s="49" customFormat="1" ht="30" customHeight="1" x14ac:dyDescent="0.25">
      <c r="A114" s="81">
        <f t="shared" si="50"/>
        <v>62</v>
      </c>
      <c r="B114" s="116" t="s">
        <v>69</v>
      </c>
      <c r="C114" s="38" t="s">
        <v>425</v>
      </c>
      <c r="D114" s="117" t="s">
        <v>51</v>
      </c>
      <c r="E114" s="116" t="s">
        <v>121</v>
      </c>
      <c r="F114" s="118">
        <v>80000</v>
      </c>
      <c r="G114" s="118">
        <f t="shared" si="47"/>
        <v>2296</v>
      </c>
      <c r="H114" s="118">
        <f t="shared" si="48"/>
        <v>2432</v>
      </c>
      <c r="I114" s="134">
        <v>1577.45</v>
      </c>
      <c r="J114" s="83">
        <f t="shared" si="35"/>
        <v>6305.45</v>
      </c>
      <c r="K114" s="83">
        <f t="shared" si="38"/>
        <v>73694.55</v>
      </c>
      <c r="L114" s="83">
        <f t="shared" si="49"/>
        <v>7006.5747916666687</v>
      </c>
      <c r="M114" s="83"/>
      <c r="N114" s="90">
        <v>15964.04</v>
      </c>
      <c r="O114" s="115">
        <f t="shared" si="36"/>
        <v>29276.064791666671</v>
      </c>
      <c r="P114" s="84">
        <f>+F114-O114</f>
        <v>50723.935208333329</v>
      </c>
      <c r="Q114" s="267"/>
      <c r="R114" s="93"/>
    </row>
    <row r="115" spans="1:18" s="41" customFormat="1" ht="30" customHeight="1" x14ac:dyDescent="0.25">
      <c r="A115" s="86">
        <f t="shared" si="50"/>
        <v>63</v>
      </c>
      <c r="B115" s="116" t="s">
        <v>140</v>
      </c>
      <c r="C115" s="38" t="s">
        <v>426</v>
      </c>
      <c r="D115" s="117" t="s">
        <v>51</v>
      </c>
      <c r="E115" s="116" t="s">
        <v>121</v>
      </c>
      <c r="F115" s="118">
        <v>80000</v>
      </c>
      <c r="G115" s="118">
        <f t="shared" si="47"/>
        <v>2296</v>
      </c>
      <c r="H115" s="118">
        <f t="shared" si="48"/>
        <v>2432</v>
      </c>
      <c r="I115" s="118"/>
      <c r="J115" s="83">
        <f t="shared" si="35"/>
        <v>4728</v>
      </c>
      <c r="K115" s="83">
        <f t="shared" si="38"/>
        <v>75272</v>
      </c>
      <c r="L115" s="83">
        <f t="shared" si="49"/>
        <v>7400.9372916666662</v>
      </c>
      <c r="M115" s="83"/>
      <c r="N115" s="90">
        <v>25</v>
      </c>
      <c r="O115" s="115">
        <f t="shared" si="36"/>
        <v>12153.937291666665</v>
      </c>
      <c r="P115" s="84">
        <f>+F115-O115</f>
        <v>67846.062708333338</v>
      </c>
      <c r="Q115" s="264"/>
      <c r="R115" s="55"/>
    </row>
    <row r="116" spans="1:18" s="41" customFormat="1" ht="30" customHeight="1" x14ac:dyDescent="0.25">
      <c r="A116" s="38"/>
      <c r="B116" s="48"/>
      <c r="C116" s="148"/>
      <c r="D116" s="226" t="s">
        <v>125</v>
      </c>
      <c r="E116" s="228"/>
      <c r="F116" s="39">
        <f t="shared" ref="F116:P116" si="51">SUM(F111:F115)</f>
        <v>495000</v>
      </c>
      <c r="G116" s="39">
        <f t="shared" si="51"/>
        <v>14206.5</v>
      </c>
      <c r="H116" s="39">
        <f t="shared" si="51"/>
        <v>15048</v>
      </c>
      <c r="I116" s="39">
        <f t="shared" si="51"/>
        <v>1577.45</v>
      </c>
      <c r="J116" s="39">
        <f t="shared" si="51"/>
        <v>30831.95</v>
      </c>
      <c r="K116" s="39">
        <f t="shared" si="51"/>
        <v>464168.05</v>
      </c>
      <c r="L116" s="39">
        <f t="shared" si="51"/>
        <v>58956.698958333334</v>
      </c>
      <c r="M116" s="39">
        <f t="shared" si="51"/>
        <v>0</v>
      </c>
      <c r="N116" s="39">
        <f t="shared" si="51"/>
        <v>27321.07</v>
      </c>
      <c r="O116" s="39">
        <f t="shared" si="51"/>
        <v>117109.71895833334</v>
      </c>
      <c r="P116" s="39">
        <f t="shared" si="51"/>
        <v>377890.28104166663</v>
      </c>
      <c r="Q116" s="264"/>
      <c r="R116" s="55"/>
    </row>
    <row r="117" spans="1:18" s="55" customFormat="1" ht="30" customHeight="1" thickBot="1" x14ac:dyDescent="0.3">
      <c r="A117" s="46"/>
      <c r="B117" s="44"/>
      <c r="C117" s="46"/>
      <c r="D117" s="45"/>
      <c r="E117" s="44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264"/>
    </row>
    <row r="118" spans="1:18" s="49" customFormat="1" ht="30" customHeight="1" thickBot="1" x14ac:dyDescent="0.3">
      <c r="A118" s="274" t="s">
        <v>168</v>
      </c>
      <c r="B118" s="275"/>
      <c r="C118" s="275"/>
      <c r="D118" s="275"/>
      <c r="E118" s="275"/>
      <c r="F118" s="232"/>
      <c r="G118" s="232"/>
      <c r="H118" s="232"/>
      <c r="I118" s="232"/>
      <c r="J118" s="232"/>
      <c r="K118" s="232"/>
      <c r="L118" s="232"/>
      <c r="M118" s="232"/>
      <c r="N118" s="232"/>
      <c r="O118" s="232"/>
      <c r="P118" s="232"/>
      <c r="Q118" s="267"/>
      <c r="R118" s="93"/>
    </row>
    <row r="119" spans="1:18" s="41" customFormat="1" ht="30" customHeight="1" x14ac:dyDescent="0.25">
      <c r="A119" s="86">
        <f>+A115+1</f>
        <v>64</v>
      </c>
      <c r="B119" s="116" t="s">
        <v>70</v>
      </c>
      <c r="C119" s="38" t="s">
        <v>426</v>
      </c>
      <c r="D119" s="117" t="s">
        <v>94</v>
      </c>
      <c r="E119" s="116" t="s">
        <v>122</v>
      </c>
      <c r="F119" s="118">
        <v>60000</v>
      </c>
      <c r="G119" s="118">
        <f>F119*2.87%</f>
        <v>1722</v>
      </c>
      <c r="H119" s="88">
        <f>+F119*3.04%</f>
        <v>1824</v>
      </c>
      <c r="I119" s="88">
        <v>3154.9</v>
      </c>
      <c r="J119" s="83">
        <f t="shared" si="35"/>
        <v>6700.9</v>
      </c>
      <c r="K119" s="83">
        <f t="shared" si="38"/>
        <v>53299.1</v>
      </c>
      <c r="L119" s="83">
        <f>+IF(K119*12&lt;=416220.01,0,IF(K119*12&lt;=624329.01,(((K119*12-416220.01)*0.15)/12),IF((K119*12&lt;=867123.01),(31216+0.2*(K119*12-624329.01))/12,((79776+0.25*(K119*12-867123.01))/12))))-M119</f>
        <v>2855.669833333332</v>
      </c>
      <c r="M119" s="83"/>
      <c r="N119" s="90">
        <v>3111.92</v>
      </c>
      <c r="O119" s="115">
        <f t="shared" si="36"/>
        <v>12668.489833333331</v>
      </c>
      <c r="P119" s="84">
        <f>+F119-O119</f>
        <v>47331.510166666667</v>
      </c>
      <c r="Q119" s="264"/>
      <c r="R119" s="55"/>
    </row>
    <row r="120" spans="1:18" s="41" customFormat="1" ht="30" customHeight="1" x14ac:dyDescent="0.25">
      <c r="A120" s="168">
        <f>+A119+1</f>
        <v>65</v>
      </c>
      <c r="B120" s="122" t="s">
        <v>75</v>
      </c>
      <c r="C120" s="187" t="s">
        <v>425</v>
      </c>
      <c r="D120" s="219" t="s">
        <v>596</v>
      </c>
      <c r="E120" s="116" t="s">
        <v>122</v>
      </c>
      <c r="F120" s="118">
        <v>110000</v>
      </c>
      <c r="G120" s="118">
        <f>F120*2.87%</f>
        <v>3157</v>
      </c>
      <c r="H120" s="88">
        <f>+F120*3.04%</f>
        <v>3344</v>
      </c>
      <c r="I120" s="88">
        <v>1577.45</v>
      </c>
      <c r="J120" s="83">
        <f t="shared" si="35"/>
        <v>8078.45</v>
      </c>
      <c r="K120" s="83">
        <f t="shared" si="38"/>
        <v>101921.55</v>
      </c>
      <c r="L120" s="83">
        <f>+IF(K120*12&lt;=416220.01,0,IF(K120*12&lt;=624329.01,(((K120*12-416220.01)*0.15)/12),IF((K120*12&lt;=867123.01),(31216+0.2*(K120*12-624329.01))/12,((79776+0.25*(K120*12-867123.01))/12))))-M120</f>
        <v>14063.324791666668</v>
      </c>
      <c r="M120" s="83"/>
      <c r="N120" s="90">
        <v>25</v>
      </c>
      <c r="O120" s="115">
        <f t="shared" si="36"/>
        <v>22166.774791666667</v>
      </c>
      <c r="P120" s="84">
        <f>+F120-O120</f>
        <v>87833.22520833333</v>
      </c>
      <c r="Q120" s="264"/>
      <c r="R120" s="55"/>
    </row>
    <row r="121" spans="1:18" s="41" customFormat="1" ht="30" customHeight="1" x14ac:dyDescent="0.25">
      <c r="A121" s="226" t="s">
        <v>125</v>
      </c>
      <c r="B121" s="227"/>
      <c r="C121" s="227"/>
      <c r="D121" s="227"/>
      <c r="E121" s="228"/>
      <c r="F121" s="39">
        <f>SUM(F119:F120)</f>
        <v>170000</v>
      </c>
      <c r="G121" s="39">
        <f t="shared" ref="G121:P121" si="52">SUM(G119:G120)</f>
        <v>4879</v>
      </c>
      <c r="H121" s="39">
        <f t="shared" si="52"/>
        <v>5168</v>
      </c>
      <c r="I121" s="39">
        <f t="shared" si="52"/>
        <v>4732.3500000000004</v>
      </c>
      <c r="J121" s="39">
        <f t="shared" si="52"/>
        <v>14779.349999999999</v>
      </c>
      <c r="K121" s="39">
        <f t="shared" si="52"/>
        <v>155220.65</v>
      </c>
      <c r="L121" s="39">
        <f t="shared" si="52"/>
        <v>16918.994624999999</v>
      </c>
      <c r="M121" s="39">
        <f t="shared" si="52"/>
        <v>0</v>
      </c>
      <c r="N121" s="39">
        <f t="shared" si="52"/>
        <v>3136.92</v>
      </c>
      <c r="O121" s="39">
        <f t="shared" si="52"/>
        <v>34835.264624999996</v>
      </c>
      <c r="P121" s="39">
        <f t="shared" si="52"/>
        <v>135164.73537499999</v>
      </c>
      <c r="Q121" s="264"/>
      <c r="R121" s="55"/>
    </row>
    <row r="122" spans="1:18" s="55" customFormat="1" ht="30" customHeight="1" thickBot="1" x14ac:dyDescent="0.3">
      <c r="A122" s="43"/>
      <c r="B122" s="50"/>
      <c r="C122" s="149"/>
      <c r="D122" s="50"/>
      <c r="E122" s="50"/>
      <c r="F122" s="5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264"/>
    </row>
    <row r="123" spans="1:18" s="92" customFormat="1" ht="30" customHeight="1" thickBot="1" x14ac:dyDescent="0.3">
      <c r="A123" s="274" t="s">
        <v>169</v>
      </c>
      <c r="B123" s="275"/>
      <c r="C123" s="275"/>
      <c r="D123" s="275"/>
      <c r="E123" s="275"/>
      <c r="F123" s="232"/>
      <c r="G123" s="232"/>
      <c r="H123" s="232"/>
      <c r="I123" s="232"/>
      <c r="J123" s="232"/>
      <c r="K123" s="232"/>
      <c r="L123" s="232"/>
      <c r="M123" s="232"/>
      <c r="N123" s="232"/>
      <c r="O123" s="232"/>
      <c r="P123" s="232"/>
      <c r="Q123" s="265"/>
    </row>
    <row r="124" spans="1:18" s="55" customFormat="1" ht="30" customHeight="1" x14ac:dyDescent="0.25">
      <c r="A124" s="86">
        <f>+A120+1</f>
        <v>66</v>
      </c>
      <c r="B124" s="116" t="s">
        <v>264</v>
      </c>
      <c r="C124" s="38" t="s">
        <v>426</v>
      </c>
      <c r="D124" s="117" t="s">
        <v>51</v>
      </c>
      <c r="E124" s="116" t="s">
        <v>122</v>
      </c>
      <c r="F124" s="118">
        <v>90000</v>
      </c>
      <c r="G124" s="88">
        <f>F124*2.87%</f>
        <v>2583</v>
      </c>
      <c r="H124" s="88">
        <f>+F124*3.04%</f>
        <v>2736</v>
      </c>
      <c r="I124" s="88"/>
      <c r="J124" s="83">
        <f t="shared" si="35"/>
        <v>5319</v>
      </c>
      <c r="K124" s="83">
        <f t="shared" si="38"/>
        <v>84681</v>
      </c>
      <c r="L124" s="83">
        <f>+IF(K124*12&lt;=416220.01,0,IF(K124*12&lt;=624329.01,(((K124*12-416220.01)*0.15)/12),IF((K124*12&lt;=867123.01),(31216+0.2*(K124*12-624329.01))/12,((79776+0.25*(K124*12-867123.01))/12))))-M124</f>
        <v>9753.1872916666671</v>
      </c>
      <c r="M124" s="83"/>
      <c r="N124" s="90">
        <v>13692.99</v>
      </c>
      <c r="O124" s="115">
        <f t="shared" si="36"/>
        <v>28765.177291666667</v>
      </c>
      <c r="P124" s="84">
        <f>+F124-O124</f>
        <v>61234.822708333333</v>
      </c>
      <c r="Q124" s="264"/>
    </row>
    <row r="125" spans="1:18" s="41" customFormat="1" ht="30" customHeight="1" x14ac:dyDescent="0.25">
      <c r="A125" s="86">
        <f>+A124+1</f>
        <v>67</v>
      </c>
      <c r="B125" s="121" t="s">
        <v>64</v>
      </c>
      <c r="C125" s="131" t="s">
        <v>426</v>
      </c>
      <c r="D125" s="117" t="s">
        <v>51</v>
      </c>
      <c r="E125" s="116" t="s">
        <v>121</v>
      </c>
      <c r="F125" s="115">
        <v>80000</v>
      </c>
      <c r="G125" s="83">
        <f>F125*2.87%</f>
        <v>2296</v>
      </c>
      <c r="H125" s="83">
        <f>+F125*3.04%</f>
        <v>2432</v>
      </c>
      <c r="I125" s="83"/>
      <c r="J125" s="83">
        <f t="shared" si="35"/>
        <v>4728</v>
      </c>
      <c r="K125" s="83">
        <f t="shared" si="38"/>
        <v>75272</v>
      </c>
      <c r="L125" s="83">
        <f t="shared" ref="L125:L127" si="53">+IF(K125*12&lt;=416220.01,0,IF(K125*12&lt;=624329.01,(((K125*12-416220.01)*0.15)/12),IF((K125*12&lt;=867123.01),(31216+0.2*(K125*12-624329.01))/12,((79776+0.25*(K125*12-867123.01))/12))))-M125</f>
        <v>7400.9372916666662</v>
      </c>
      <c r="M125" s="83"/>
      <c r="N125" s="90">
        <v>10126.85</v>
      </c>
      <c r="O125" s="115">
        <f t="shared" si="36"/>
        <v>22255.787291666667</v>
      </c>
      <c r="P125" s="84">
        <f>+F125-O125</f>
        <v>57744.212708333333</v>
      </c>
      <c r="Q125" s="264"/>
      <c r="R125" s="55"/>
    </row>
    <row r="126" spans="1:18" s="49" customFormat="1" ht="24" customHeight="1" x14ac:dyDescent="0.25">
      <c r="A126" s="86">
        <f>+A125+1</f>
        <v>68</v>
      </c>
      <c r="B126" s="116" t="s">
        <v>265</v>
      </c>
      <c r="C126" s="38" t="s">
        <v>425</v>
      </c>
      <c r="D126" s="117" t="s">
        <v>51</v>
      </c>
      <c r="E126" s="116" t="s">
        <v>121</v>
      </c>
      <c r="F126" s="118">
        <v>80000</v>
      </c>
      <c r="G126" s="88">
        <f>F126*2.87%</f>
        <v>2296</v>
      </c>
      <c r="H126" s="88">
        <f>+F126*3.04%</f>
        <v>2432</v>
      </c>
      <c r="I126" s="88"/>
      <c r="J126" s="83">
        <f t="shared" si="35"/>
        <v>4728</v>
      </c>
      <c r="K126" s="83">
        <f t="shared" si="38"/>
        <v>75272</v>
      </c>
      <c r="L126" s="83">
        <f t="shared" si="53"/>
        <v>7400.9372916666662</v>
      </c>
      <c r="M126" s="83"/>
      <c r="N126" s="90">
        <v>3025</v>
      </c>
      <c r="O126" s="115">
        <f t="shared" si="36"/>
        <v>15153.937291666665</v>
      </c>
      <c r="P126" s="84">
        <f>+F126-O126</f>
        <v>64846.062708333338</v>
      </c>
      <c r="Q126" s="267"/>
      <c r="R126" s="93"/>
    </row>
    <row r="127" spans="1:18" s="41" customFormat="1" ht="30" customHeight="1" x14ac:dyDescent="0.25">
      <c r="A127" s="86">
        <f>+A126+1</f>
        <v>69</v>
      </c>
      <c r="B127" s="116" t="s">
        <v>273</v>
      </c>
      <c r="C127" s="38" t="s">
        <v>425</v>
      </c>
      <c r="D127" s="117" t="s">
        <v>51</v>
      </c>
      <c r="E127" s="116" t="s">
        <v>121</v>
      </c>
      <c r="F127" s="118">
        <v>80000</v>
      </c>
      <c r="G127" s="88">
        <f>F127*2.87%</f>
        <v>2296</v>
      </c>
      <c r="H127" s="88">
        <f>+F127*3.04%</f>
        <v>2432</v>
      </c>
      <c r="I127" s="88"/>
      <c r="J127" s="83">
        <f t="shared" si="35"/>
        <v>4728</v>
      </c>
      <c r="K127" s="83">
        <f t="shared" si="38"/>
        <v>75272</v>
      </c>
      <c r="L127" s="83">
        <f t="shared" si="53"/>
        <v>7400.9372916666662</v>
      </c>
      <c r="M127" s="83"/>
      <c r="N127" s="90">
        <v>25</v>
      </c>
      <c r="O127" s="115">
        <f t="shared" si="36"/>
        <v>12153.937291666665</v>
      </c>
      <c r="P127" s="84">
        <f>+F127-O127</f>
        <v>67846.062708333338</v>
      </c>
      <c r="Q127" s="264"/>
      <c r="R127" s="55"/>
    </row>
    <row r="128" spans="1:18" s="55" customFormat="1" ht="30" customHeight="1" thickBot="1" x14ac:dyDescent="0.3">
      <c r="A128" s="226" t="s">
        <v>125</v>
      </c>
      <c r="B128" s="227"/>
      <c r="C128" s="227"/>
      <c r="D128" s="227"/>
      <c r="E128" s="228"/>
      <c r="F128" s="39">
        <f t="shared" ref="F128:P128" si="54">SUM(F124:F127)</f>
        <v>330000</v>
      </c>
      <c r="G128" s="39">
        <f t="shared" si="54"/>
        <v>9471</v>
      </c>
      <c r="H128" s="39">
        <f t="shared" si="54"/>
        <v>10032</v>
      </c>
      <c r="I128" s="39">
        <f t="shared" si="54"/>
        <v>0</v>
      </c>
      <c r="J128" s="39">
        <f t="shared" si="54"/>
        <v>19503</v>
      </c>
      <c r="K128" s="39">
        <f t="shared" si="54"/>
        <v>310497</v>
      </c>
      <c r="L128" s="39">
        <f t="shared" si="54"/>
        <v>31955.999166666665</v>
      </c>
      <c r="M128" s="39">
        <f t="shared" si="54"/>
        <v>0</v>
      </c>
      <c r="N128" s="39">
        <f t="shared" si="54"/>
        <v>26869.84</v>
      </c>
      <c r="O128" s="39">
        <f t="shared" si="54"/>
        <v>78328.839166666658</v>
      </c>
      <c r="P128" s="39">
        <f t="shared" si="54"/>
        <v>251671.16083333336</v>
      </c>
      <c r="Q128" s="264"/>
    </row>
    <row r="129" spans="1:18" s="55" customFormat="1" ht="30" customHeight="1" thickBot="1" x14ac:dyDescent="0.3">
      <c r="A129" s="274" t="s">
        <v>170</v>
      </c>
      <c r="B129" s="275"/>
      <c r="C129" s="275"/>
      <c r="D129" s="275"/>
      <c r="E129" s="275"/>
      <c r="F129" s="232"/>
      <c r="G129" s="232"/>
      <c r="H129" s="232"/>
      <c r="I129" s="232"/>
      <c r="J129" s="232"/>
      <c r="K129" s="232"/>
      <c r="L129" s="232"/>
      <c r="M129" s="232"/>
      <c r="N129" s="232"/>
      <c r="O129" s="232"/>
      <c r="P129" s="232"/>
      <c r="Q129" s="264"/>
    </row>
    <row r="130" spans="1:18" s="55" customFormat="1" ht="30" customHeight="1" x14ac:dyDescent="0.25">
      <c r="A130" s="38">
        <f>A127+1</f>
        <v>70</v>
      </c>
      <c r="B130" s="116" t="s">
        <v>189</v>
      </c>
      <c r="C130" s="38" t="s">
        <v>426</v>
      </c>
      <c r="D130" s="117" t="s">
        <v>51</v>
      </c>
      <c r="E130" s="116" t="s">
        <v>122</v>
      </c>
      <c r="F130" s="118">
        <v>90000</v>
      </c>
      <c r="G130" s="118">
        <f>F130*2.87%</f>
        <v>2583</v>
      </c>
      <c r="H130" s="88">
        <f>+F130*3.04%</f>
        <v>2736</v>
      </c>
      <c r="I130" s="88"/>
      <c r="J130" s="83">
        <f t="shared" si="35"/>
        <v>5319</v>
      </c>
      <c r="K130" s="83">
        <f t="shared" si="38"/>
        <v>84681</v>
      </c>
      <c r="L130" s="83">
        <f>+IF(K130*12&lt;=416220.01,0,IF(K130*12&lt;=624329.01,(((K130*12-416220.01)*0.15)/12),IF((K130*12&lt;=867123.01),(31216+0.2*(K130*12-624329.01))/12,((79776+0.25*(K130*12-867123.01))/12))))-M130</f>
        <v>9753.1872916666671</v>
      </c>
      <c r="M130" s="83"/>
      <c r="N130" s="90">
        <f>10010.34+25</f>
        <v>10035.34</v>
      </c>
      <c r="O130" s="115">
        <f t="shared" si="36"/>
        <v>25107.527291666665</v>
      </c>
      <c r="P130" s="84">
        <f>+F130-O130</f>
        <v>64892.472708333335</v>
      </c>
      <c r="Q130" s="264"/>
    </row>
    <row r="131" spans="1:18" s="55" customFormat="1" ht="30" customHeight="1" x14ac:dyDescent="0.25">
      <c r="A131" s="38">
        <f>+A130+1</f>
        <v>71</v>
      </c>
      <c r="B131" s="116" t="s">
        <v>519</v>
      </c>
      <c r="C131" s="38" t="s">
        <v>425</v>
      </c>
      <c r="D131" s="117" t="s">
        <v>51</v>
      </c>
      <c r="E131" s="116" t="s">
        <v>122</v>
      </c>
      <c r="F131" s="118">
        <v>90000</v>
      </c>
      <c r="G131" s="118">
        <f>F131*2.87%</f>
        <v>2583</v>
      </c>
      <c r="H131" s="88">
        <f>+F131*3.04%</f>
        <v>2736</v>
      </c>
      <c r="I131" s="88"/>
      <c r="J131" s="83">
        <f t="shared" si="35"/>
        <v>5319</v>
      </c>
      <c r="K131" s="83">
        <f t="shared" si="38"/>
        <v>84681</v>
      </c>
      <c r="L131" s="83">
        <f t="shared" ref="L131:L133" si="55">+IF(K131*12&lt;=416220.01,0,IF(K131*12&lt;=624329.01,(((K131*12-416220.01)*0.15)/12),IF((K131*12&lt;=867123.01),(31216+0.2*(K131*12-624329.01))/12,((79776+0.25*(K131*12-867123.01))/12))))-M131</f>
        <v>9753.1872916666671</v>
      </c>
      <c r="M131" s="83"/>
      <c r="N131" s="90">
        <v>18622.96</v>
      </c>
      <c r="O131" s="115">
        <f t="shared" si="36"/>
        <v>33695.147291666668</v>
      </c>
      <c r="P131" s="84">
        <f>+F131-O131</f>
        <v>56304.852708333332</v>
      </c>
      <c r="Q131" s="264"/>
    </row>
    <row r="132" spans="1:18" s="49" customFormat="1" ht="30" customHeight="1" x14ac:dyDescent="0.25">
      <c r="A132" s="38">
        <f>+A131+1</f>
        <v>72</v>
      </c>
      <c r="B132" s="116" t="s">
        <v>267</v>
      </c>
      <c r="C132" s="38" t="s">
        <v>426</v>
      </c>
      <c r="D132" s="117" t="s">
        <v>51</v>
      </c>
      <c r="E132" s="116" t="s">
        <v>122</v>
      </c>
      <c r="F132" s="118">
        <v>85000</v>
      </c>
      <c r="G132" s="118">
        <f>F132*2.87%</f>
        <v>2439.5</v>
      </c>
      <c r="H132" s="88">
        <f>+F132*3.04%</f>
        <v>2584</v>
      </c>
      <c r="I132" s="88"/>
      <c r="J132" s="83">
        <f t="shared" si="35"/>
        <v>5023.5</v>
      </c>
      <c r="K132" s="83">
        <f t="shared" si="38"/>
        <v>79976.5</v>
      </c>
      <c r="L132" s="83">
        <f t="shared" si="55"/>
        <v>8577.0622916666671</v>
      </c>
      <c r="M132" s="83"/>
      <c r="N132" s="90">
        <v>911.92</v>
      </c>
      <c r="O132" s="115">
        <f t="shared" si="36"/>
        <v>14512.482291666667</v>
      </c>
      <c r="P132" s="84">
        <f>+F132-O132</f>
        <v>70487.517708333326</v>
      </c>
      <c r="Q132" s="267"/>
      <c r="R132" s="93"/>
    </row>
    <row r="133" spans="1:18" ht="30" customHeight="1" x14ac:dyDescent="0.25">
      <c r="A133" s="38">
        <f>+A132+1</f>
        <v>73</v>
      </c>
      <c r="B133" s="116" t="s">
        <v>197</v>
      </c>
      <c r="C133" s="38" t="s">
        <v>425</v>
      </c>
      <c r="D133" s="117" t="s">
        <v>51</v>
      </c>
      <c r="E133" s="116" t="s">
        <v>122</v>
      </c>
      <c r="F133" s="118">
        <v>80000</v>
      </c>
      <c r="G133" s="88">
        <v>2296</v>
      </c>
      <c r="H133" s="88">
        <v>2432</v>
      </c>
      <c r="I133" s="88">
        <v>3154.9</v>
      </c>
      <c r="J133" s="83">
        <f t="shared" si="35"/>
        <v>7882.9</v>
      </c>
      <c r="K133" s="83">
        <f t="shared" si="38"/>
        <v>72117.100000000006</v>
      </c>
      <c r="L133" s="83">
        <f t="shared" si="55"/>
        <v>6619.2698333333346</v>
      </c>
      <c r="M133" s="83"/>
      <c r="N133" s="90">
        <v>15405.79</v>
      </c>
      <c r="O133" s="115">
        <f t="shared" si="36"/>
        <v>29907.959833333338</v>
      </c>
      <c r="P133" s="84">
        <f>+F133-O133</f>
        <v>50092.040166666658</v>
      </c>
    </row>
    <row r="134" spans="1:18" s="41" customFormat="1" ht="30" customHeight="1" x14ac:dyDescent="0.25">
      <c r="A134" s="226" t="s">
        <v>125</v>
      </c>
      <c r="B134" s="227"/>
      <c r="C134" s="227"/>
      <c r="D134" s="227"/>
      <c r="E134" s="228"/>
      <c r="F134" s="39">
        <f t="shared" ref="F134:P134" si="56">SUM(F130:F133)</f>
        <v>345000</v>
      </c>
      <c r="G134" s="39">
        <f t="shared" si="56"/>
        <v>9901.5</v>
      </c>
      <c r="H134" s="39">
        <f t="shared" si="56"/>
        <v>10488</v>
      </c>
      <c r="I134" s="39">
        <f t="shared" si="56"/>
        <v>3154.9</v>
      </c>
      <c r="J134" s="39">
        <f t="shared" si="56"/>
        <v>23544.400000000001</v>
      </c>
      <c r="K134" s="39">
        <f t="shared" si="56"/>
        <v>321455.59999999998</v>
      </c>
      <c r="L134" s="39">
        <f t="shared" si="56"/>
        <v>34702.706708333331</v>
      </c>
      <c r="M134" s="39">
        <f t="shared" si="56"/>
        <v>0</v>
      </c>
      <c r="N134" s="39">
        <f t="shared" si="56"/>
        <v>44976.009999999995</v>
      </c>
      <c r="O134" s="39">
        <f t="shared" si="56"/>
        <v>103223.11670833334</v>
      </c>
      <c r="P134" s="39">
        <f t="shared" si="56"/>
        <v>241776.88329166663</v>
      </c>
      <c r="Q134" s="264"/>
      <c r="R134" s="55"/>
    </row>
    <row r="135" spans="1:18" s="41" customFormat="1" ht="30" customHeight="1" thickBot="1" x14ac:dyDescent="0.3">
      <c r="A135" s="4"/>
      <c r="B135" s="25"/>
      <c r="C135" s="4"/>
      <c r="D135" s="25"/>
      <c r="E135" s="25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264"/>
      <c r="R135" s="55"/>
    </row>
    <row r="136" spans="1:18" s="55" customFormat="1" ht="30" customHeight="1" thickBot="1" x14ac:dyDescent="0.3">
      <c r="A136" s="274" t="s">
        <v>171</v>
      </c>
      <c r="B136" s="275"/>
      <c r="C136" s="275"/>
      <c r="D136" s="275"/>
      <c r="E136" s="275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64"/>
    </row>
    <row r="137" spans="1:18" s="49" customFormat="1" ht="30" customHeight="1" x14ac:dyDescent="0.25">
      <c r="A137" s="86">
        <f>+A133+1</f>
        <v>74</v>
      </c>
      <c r="B137" s="87" t="s">
        <v>102</v>
      </c>
      <c r="C137" s="86" t="s">
        <v>426</v>
      </c>
      <c r="D137" s="91" t="s">
        <v>51</v>
      </c>
      <c r="E137" s="87" t="s">
        <v>121</v>
      </c>
      <c r="F137" s="88">
        <v>90000</v>
      </c>
      <c r="G137" s="88">
        <f t="shared" ref="G137:G142" si="57">F137*2.87%</f>
        <v>2583</v>
      </c>
      <c r="H137" s="88">
        <f t="shared" ref="H137:H142" si="58">+F137*3.04%</f>
        <v>2736</v>
      </c>
      <c r="I137" s="88"/>
      <c r="J137" s="83">
        <f t="shared" ref="J137:J202" si="59">+G137+H137+I137</f>
        <v>5319</v>
      </c>
      <c r="K137" s="83">
        <f t="shared" si="38"/>
        <v>84681</v>
      </c>
      <c r="L137" s="83">
        <f>+IF(K137*12&lt;=416220.01,0,IF(K137*12&lt;=624329.01,(((K137*12-416220.01)*0.15)/12),IF((K137*12&lt;=867123.01),(31216+0.2*(K137*12-624329.01))/12,((79776+0.25*(K137*12-867123.01))/12))))-M137</f>
        <v>9753.1872916666671</v>
      </c>
      <c r="M137" s="83"/>
      <c r="N137" s="90">
        <v>25</v>
      </c>
      <c r="O137" s="115">
        <f t="shared" si="36"/>
        <v>15097.187291666667</v>
      </c>
      <c r="P137" s="84">
        <f t="shared" ref="P137:P142" si="60">+F137-O137</f>
        <v>74902.812708333338</v>
      </c>
      <c r="Q137" s="267"/>
      <c r="R137" s="93"/>
    </row>
    <row r="138" spans="1:18" s="55" customFormat="1" ht="30" customHeight="1" x14ac:dyDescent="0.25">
      <c r="A138" s="86">
        <f>+A137+1</f>
        <v>75</v>
      </c>
      <c r="B138" s="116" t="s">
        <v>59</v>
      </c>
      <c r="C138" s="38" t="s">
        <v>426</v>
      </c>
      <c r="D138" s="117" t="s">
        <v>51</v>
      </c>
      <c r="E138" s="116" t="s">
        <v>122</v>
      </c>
      <c r="F138" s="118">
        <v>90000</v>
      </c>
      <c r="G138" s="118">
        <f t="shared" si="57"/>
        <v>2583</v>
      </c>
      <c r="H138" s="88">
        <f t="shared" si="58"/>
        <v>2736</v>
      </c>
      <c r="I138" s="88">
        <v>3154.9</v>
      </c>
      <c r="J138" s="83">
        <f t="shared" si="59"/>
        <v>8473.9</v>
      </c>
      <c r="K138" s="83">
        <f t="shared" si="38"/>
        <v>81526.100000000006</v>
      </c>
      <c r="L138" s="83">
        <f t="shared" ref="L138:L142" si="61">+IF(K138*12&lt;=416220.01,0,IF(K138*12&lt;=624329.01,(((K138*12-416220.01)*0.15)/12),IF((K138*12&lt;=867123.01),(31216+0.2*(K138*12-624329.01))/12,((79776+0.25*(K138*12-867123.01))/12))))-M138</f>
        <v>8964.4622916666685</v>
      </c>
      <c r="M138" s="83"/>
      <c r="N138" s="90">
        <v>125</v>
      </c>
      <c r="O138" s="115">
        <f t="shared" ref="O138:O202" si="62">+N138+I138+H138+G138+L138</f>
        <v>17563.362291666668</v>
      </c>
      <c r="P138" s="84">
        <f t="shared" si="60"/>
        <v>72436.637708333335</v>
      </c>
      <c r="Q138" s="264"/>
    </row>
    <row r="139" spans="1:18" s="55" customFormat="1" ht="30" customHeight="1" x14ac:dyDescent="0.25">
      <c r="A139" s="38">
        <f>+A138+1</f>
        <v>76</v>
      </c>
      <c r="B139" s="116" t="s">
        <v>5</v>
      </c>
      <c r="C139" s="38" t="s">
        <v>426</v>
      </c>
      <c r="D139" s="117" t="s">
        <v>51</v>
      </c>
      <c r="E139" s="116" t="s">
        <v>122</v>
      </c>
      <c r="F139" s="118">
        <v>90000</v>
      </c>
      <c r="G139" s="118">
        <f t="shared" si="57"/>
        <v>2583</v>
      </c>
      <c r="H139" s="88">
        <f t="shared" si="58"/>
        <v>2736</v>
      </c>
      <c r="I139" s="88"/>
      <c r="J139" s="83">
        <f t="shared" si="59"/>
        <v>5319</v>
      </c>
      <c r="K139" s="83">
        <f t="shared" si="38"/>
        <v>84681</v>
      </c>
      <c r="L139" s="83">
        <f t="shared" si="61"/>
        <v>9753.1872916666671</v>
      </c>
      <c r="M139" s="83"/>
      <c r="N139" s="84">
        <v>11891.85</v>
      </c>
      <c r="O139" s="115">
        <f t="shared" si="62"/>
        <v>26964.037291666667</v>
      </c>
      <c r="P139" s="84">
        <f t="shared" si="60"/>
        <v>63035.962708333333</v>
      </c>
      <c r="Q139" s="264"/>
    </row>
    <row r="140" spans="1:18" s="55" customFormat="1" ht="30" customHeight="1" x14ac:dyDescent="0.25">
      <c r="A140" s="86">
        <f>+A139+1</f>
        <v>77</v>
      </c>
      <c r="B140" s="116" t="s">
        <v>269</v>
      </c>
      <c r="C140" s="38" t="s">
        <v>426</v>
      </c>
      <c r="D140" s="117" t="s">
        <v>51</v>
      </c>
      <c r="E140" s="116" t="s">
        <v>121</v>
      </c>
      <c r="F140" s="118">
        <v>80000</v>
      </c>
      <c r="G140" s="118">
        <f t="shared" si="57"/>
        <v>2296</v>
      </c>
      <c r="H140" s="88">
        <f t="shared" si="58"/>
        <v>2432</v>
      </c>
      <c r="I140" s="88"/>
      <c r="J140" s="83">
        <f t="shared" si="59"/>
        <v>4728</v>
      </c>
      <c r="K140" s="83">
        <f t="shared" si="38"/>
        <v>75272</v>
      </c>
      <c r="L140" s="83">
        <f t="shared" si="61"/>
        <v>7400.9372916666662</v>
      </c>
      <c r="M140" s="83"/>
      <c r="N140" s="90">
        <v>25</v>
      </c>
      <c r="O140" s="115">
        <f t="shared" si="62"/>
        <v>12153.937291666665</v>
      </c>
      <c r="P140" s="84">
        <f t="shared" si="60"/>
        <v>67846.062708333338</v>
      </c>
      <c r="Q140" s="264"/>
    </row>
    <row r="141" spans="1:18" ht="30" customHeight="1" x14ac:dyDescent="0.25">
      <c r="A141" s="86">
        <f>+A140+1</f>
        <v>78</v>
      </c>
      <c r="B141" s="116" t="s">
        <v>270</v>
      </c>
      <c r="C141" s="38" t="s">
        <v>425</v>
      </c>
      <c r="D141" s="117" t="s">
        <v>51</v>
      </c>
      <c r="E141" s="116" t="s">
        <v>121</v>
      </c>
      <c r="F141" s="118">
        <v>80000</v>
      </c>
      <c r="G141" s="118">
        <f t="shared" si="57"/>
        <v>2296</v>
      </c>
      <c r="H141" s="88">
        <f t="shared" si="58"/>
        <v>2432</v>
      </c>
      <c r="I141" s="88"/>
      <c r="J141" s="83">
        <f t="shared" si="59"/>
        <v>4728</v>
      </c>
      <c r="K141" s="83">
        <f t="shared" ref="K141:K206" si="63">+F141-J141</f>
        <v>75272</v>
      </c>
      <c r="L141" s="83">
        <f t="shared" si="61"/>
        <v>7400.9372916666662</v>
      </c>
      <c r="M141" s="83"/>
      <c r="N141" s="90">
        <v>25</v>
      </c>
      <c r="O141" s="115">
        <f t="shared" si="62"/>
        <v>12153.937291666665</v>
      </c>
      <c r="P141" s="84">
        <f t="shared" si="60"/>
        <v>67846.062708333338</v>
      </c>
    </row>
    <row r="142" spans="1:18" s="41" customFormat="1" ht="30" customHeight="1" x14ac:dyDescent="0.25">
      <c r="A142" s="86">
        <f>+A141+1</f>
        <v>79</v>
      </c>
      <c r="B142" s="116" t="s">
        <v>271</v>
      </c>
      <c r="C142" s="38" t="s">
        <v>426</v>
      </c>
      <c r="D142" s="117" t="s">
        <v>51</v>
      </c>
      <c r="E142" s="116" t="s">
        <v>122</v>
      </c>
      <c r="F142" s="118">
        <v>80000</v>
      </c>
      <c r="G142" s="118">
        <f t="shared" si="57"/>
        <v>2296</v>
      </c>
      <c r="H142" s="88">
        <f t="shared" si="58"/>
        <v>2432</v>
      </c>
      <c r="I142" s="88"/>
      <c r="J142" s="83">
        <f t="shared" si="59"/>
        <v>4728</v>
      </c>
      <c r="K142" s="83">
        <f t="shared" si="63"/>
        <v>75272</v>
      </c>
      <c r="L142" s="83">
        <f t="shared" si="61"/>
        <v>7400.9372916666662</v>
      </c>
      <c r="M142" s="83"/>
      <c r="N142" s="90">
        <v>25</v>
      </c>
      <c r="O142" s="115">
        <f t="shared" si="62"/>
        <v>12153.937291666665</v>
      </c>
      <c r="P142" s="84">
        <f t="shared" si="60"/>
        <v>67846.062708333338</v>
      </c>
      <c r="Q142" s="264"/>
      <c r="R142" s="55"/>
    </row>
    <row r="143" spans="1:18" s="55" customFormat="1" ht="30" customHeight="1" x14ac:dyDescent="0.25">
      <c r="A143" s="226" t="s">
        <v>125</v>
      </c>
      <c r="B143" s="227"/>
      <c r="C143" s="227"/>
      <c r="D143" s="227"/>
      <c r="E143" s="228"/>
      <c r="F143" s="39">
        <f t="shared" ref="F143:P143" si="64">SUM(F137:F142)</f>
        <v>510000</v>
      </c>
      <c r="G143" s="39">
        <f t="shared" si="64"/>
        <v>14637</v>
      </c>
      <c r="H143" s="39">
        <f t="shared" si="64"/>
        <v>15504</v>
      </c>
      <c r="I143" s="39">
        <f t="shared" si="64"/>
        <v>3154.9</v>
      </c>
      <c r="J143" s="39">
        <f t="shared" si="64"/>
        <v>33295.9</v>
      </c>
      <c r="K143" s="39">
        <f t="shared" si="64"/>
        <v>476704.1</v>
      </c>
      <c r="L143" s="39">
        <f t="shared" si="64"/>
        <v>50673.648750000008</v>
      </c>
      <c r="M143" s="39">
        <f t="shared" si="64"/>
        <v>0</v>
      </c>
      <c r="N143" s="39">
        <f t="shared" si="64"/>
        <v>12116.85</v>
      </c>
      <c r="O143" s="39">
        <f t="shared" si="64"/>
        <v>96086.398749999993</v>
      </c>
      <c r="P143" s="39">
        <f t="shared" si="64"/>
        <v>413913.60125000007</v>
      </c>
      <c r="Q143" s="264"/>
    </row>
    <row r="144" spans="1:18" s="93" customFormat="1" ht="30" customHeight="1" thickBot="1" x14ac:dyDescent="0.3">
      <c r="A144" s="4"/>
      <c r="B144" s="25"/>
      <c r="C144" s="4"/>
      <c r="D144" s="25"/>
      <c r="E144" s="25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267"/>
    </row>
    <row r="145" spans="1:18" s="49" customFormat="1" ht="30" customHeight="1" thickBot="1" x14ac:dyDescent="0.3">
      <c r="A145" s="274" t="s">
        <v>172</v>
      </c>
      <c r="B145" s="275"/>
      <c r="C145" s="275"/>
      <c r="D145" s="275"/>
      <c r="E145" s="275"/>
      <c r="F145" s="232"/>
      <c r="G145" s="232"/>
      <c r="H145" s="232"/>
      <c r="I145" s="232"/>
      <c r="J145" s="232"/>
      <c r="K145" s="232"/>
      <c r="L145" s="232"/>
      <c r="M145" s="232"/>
      <c r="N145" s="232"/>
      <c r="O145" s="232"/>
      <c r="P145" s="232"/>
      <c r="Q145" s="267"/>
      <c r="R145" s="93"/>
    </row>
    <row r="146" spans="1:18" ht="30" customHeight="1" x14ac:dyDescent="0.25">
      <c r="A146" s="86">
        <f>+A142+1</f>
        <v>80</v>
      </c>
      <c r="B146" s="87" t="s">
        <v>272</v>
      </c>
      <c r="C146" s="86" t="s">
        <v>426</v>
      </c>
      <c r="D146" s="91" t="s">
        <v>51</v>
      </c>
      <c r="E146" s="87" t="s">
        <v>122</v>
      </c>
      <c r="F146" s="88">
        <v>90000</v>
      </c>
      <c r="G146" s="88">
        <f>F146*2.87%</f>
        <v>2583</v>
      </c>
      <c r="H146" s="88">
        <f>+F146*3.04%</f>
        <v>2736</v>
      </c>
      <c r="I146" s="88">
        <v>1577.45</v>
      </c>
      <c r="J146" s="83">
        <f t="shared" si="59"/>
        <v>6896.45</v>
      </c>
      <c r="K146" s="83">
        <f t="shared" si="63"/>
        <v>83103.55</v>
      </c>
      <c r="L146" s="83">
        <f>+IF(K146*12&lt;=416220.01,0,IF(K146*12&lt;=624329.01,(((K146*12-416220.01)*0.15)/12),IF((K146*12&lt;=867123.01),(31216+0.2*(K146*12-624329.01))/12,((79776+0.25*(K146*12-867123.01))/12))))-M146</f>
        <v>9358.8247916666678</v>
      </c>
      <c r="M146" s="83"/>
      <c r="N146" s="90">
        <v>25</v>
      </c>
      <c r="O146" s="115">
        <f t="shared" si="62"/>
        <v>16280.274791666667</v>
      </c>
      <c r="P146" s="84">
        <f>+F146-O146</f>
        <v>73719.72520833333</v>
      </c>
    </row>
    <row r="147" spans="1:18" s="41" customFormat="1" ht="30" customHeight="1" x14ac:dyDescent="0.25">
      <c r="A147" s="86">
        <f>+A146+1</f>
        <v>81</v>
      </c>
      <c r="B147" s="116" t="s">
        <v>190</v>
      </c>
      <c r="C147" s="38" t="s">
        <v>425</v>
      </c>
      <c r="D147" s="116" t="s">
        <v>51</v>
      </c>
      <c r="E147" s="116" t="s">
        <v>121</v>
      </c>
      <c r="F147" s="118">
        <v>90000</v>
      </c>
      <c r="G147" s="88">
        <f>F147*2.87%</f>
        <v>2583</v>
      </c>
      <c r="H147" s="88">
        <f>+F147*3.04%</f>
        <v>2736</v>
      </c>
      <c r="I147" s="88"/>
      <c r="J147" s="83">
        <f t="shared" si="59"/>
        <v>5319</v>
      </c>
      <c r="K147" s="83">
        <f t="shared" si="63"/>
        <v>84681</v>
      </c>
      <c r="L147" s="83">
        <f>+IF(K147*12&lt;=416220.01,0,IF(K147*12&lt;=624329.01,(((K147*12-416220.01)*0.15)/12),IF((K147*12&lt;=867123.01),(31216+0.2*(K147*12-624329.01))/12,((79776+0.25*(K147*12-867123.01))/12))))-M147</f>
        <v>9753.1872916666671</v>
      </c>
      <c r="M147" s="83"/>
      <c r="N147" s="90">
        <v>25</v>
      </c>
      <c r="O147" s="115">
        <f t="shared" si="62"/>
        <v>15097.187291666667</v>
      </c>
      <c r="P147" s="84">
        <f>+F147-O147</f>
        <v>74902.812708333338</v>
      </c>
      <c r="Q147" s="264"/>
      <c r="R147" s="55"/>
    </row>
    <row r="148" spans="1:18" s="55" customFormat="1" ht="30" customHeight="1" x14ac:dyDescent="0.25">
      <c r="A148" s="226" t="s">
        <v>125</v>
      </c>
      <c r="B148" s="227"/>
      <c r="C148" s="227"/>
      <c r="D148" s="227"/>
      <c r="E148" s="228"/>
      <c r="F148" s="39">
        <f t="shared" ref="F148:P148" si="65">SUM(F146:F147)</f>
        <v>180000</v>
      </c>
      <c r="G148" s="39">
        <f t="shared" si="65"/>
        <v>5166</v>
      </c>
      <c r="H148" s="39">
        <f t="shared" si="65"/>
        <v>5472</v>
      </c>
      <c r="I148" s="39">
        <f t="shared" si="65"/>
        <v>1577.45</v>
      </c>
      <c r="J148" s="39">
        <f t="shared" si="65"/>
        <v>12215.45</v>
      </c>
      <c r="K148" s="39">
        <f t="shared" si="65"/>
        <v>167784.55</v>
      </c>
      <c r="L148" s="39">
        <f t="shared" si="65"/>
        <v>19112.012083333335</v>
      </c>
      <c r="M148" s="39"/>
      <c r="N148" s="39">
        <f t="shared" si="65"/>
        <v>50</v>
      </c>
      <c r="O148" s="39">
        <f t="shared" si="65"/>
        <v>31377.462083333332</v>
      </c>
      <c r="P148" s="39">
        <f t="shared" si="65"/>
        <v>148622.53791666665</v>
      </c>
      <c r="Q148" s="264"/>
    </row>
    <row r="149" spans="1:18" s="55" customFormat="1" ht="30" customHeight="1" thickBot="1" x14ac:dyDescent="0.3">
      <c r="A149" s="4"/>
      <c r="B149" s="25"/>
      <c r="C149" s="4"/>
      <c r="D149" s="25"/>
      <c r="E149" s="25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264"/>
    </row>
    <row r="150" spans="1:18" s="55" customFormat="1" ht="30" customHeight="1" thickBot="1" x14ac:dyDescent="0.3">
      <c r="A150" s="274" t="s">
        <v>173</v>
      </c>
      <c r="B150" s="275"/>
      <c r="C150" s="275"/>
      <c r="D150" s="275"/>
      <c r="E150" s="275"/>
      <c r="F150" s="232"/>
      <c r="G150" s="232"/>
      <c r="H150" s="232"/>
      <c r="I150" s="232"/>
      <c r="J150" s="232"/>
      <c r="K150" s="232"/>
      <c r="L150" s="232"/>
      <c r="M150" s="232"/>
      <c r="N150" s="232"/>
      <c r="O150" s="232"/>
      <c r="P150" s="232"/>
      <c r="Q150" s="264"/>
    </row>
    <row r="151" spans="1:18" s="55" customFormat="1" ht="30" customHeight="1" x14ac:dyDescent="0.25">
      <c r="A151" s="81">
        <f>+A147+1</f>
        <v>82</v>
      </c>
      <c r="B151" s="121" t="s">
        <v>274</v>
      </c>
      <c r="C151" s="131" t="s">
        <v>425</v>
      </c>
      <c r="D151" s="132" t="s">
        <v>275</v>
      </c>
      <c r="E151" s="116" t="s">
        <v>122</v>
      </c>
      <c r="F151" s="115">
        <v>126500</v>
      </c>
      <c r="G151" s="88">
        <v>3630.55</v>
      </c>
      <c r="H151" s="88">
        <v>3845.6</v>
      </c>
      <c r="I151" s="88">
        <v>1577.45</v>
      </c>
      <c r="J151" s="83">
        <f t="shared" si="59"/>
        <v>9053.6</v>
      </c>
      <c r="K151" s="83">
        <f t="shared" si="63"/>
        <v>117446.39999999999</v>
      </c>
      <c r="L151" s="83">
        <f>+IF(K151*12&lt;=416220.01,0,IF(K151*12&lt;=624329.01,(((K151*12-416220.01)*0.15)/12),IF((K151*12&lt;=867123.01),(31216+0.2*(K151*12-624329.01))/12,((79776+0.25*(K151*12-867123.01))/12))))-M151</f>
        <v>17944.537291666664</v>
      </c>
      <c r="M151" s="83"/>
      <c r="N151" s="90">
        <v>125</v>
      </c>
      <c r="O151" s="115">
        <f t="shared" si="62"/>
        <v>27123.137291666666</v>
      </c>
      <c r="P151" s="84">
        <f>+F151-O151</f>
        <v>99376.862708333327</v>
      </c>
      <c r="Q151" s="264"/>
    </row>
    <row r="152" spans="1:18" s="55" customFormat="1" ht="30" customHeight="1" x14ac:dyDescent="0.25">
      <c r="A152" s="86">
        <f>A151+1</f>
        <v>83</v>
      </c>
      <c r="B152" s="116" t="s">
        <v>276</v>
      </c>
      <c r="C152" s="38" t="s">
        <v>426</v>
      </c>
      <c r="D152" s="117" t="s">
        <v>51</v>
      </c>
      <c r="E152" s="116" t="s">
        <v>122</v>
      </c>
      <c r="F152" s="118">
        <v>90000</v>
      </c>
      <c r="G152" s="118">
        <f>F152*2.87%</f>
        <v>2583</v>
      </c>
      <c r="H152" s="88">
        <f>+F152*3.04%</f>
        <v>2736</v>
      </c>
      <c r="I152" s="88"/>
      <c r="J152" s="83">
        <f t="shared" si="59"/>
        <v>5319</v>
      </c>
      <c r="K152" s="83">
        <f t="shared" si="63"/>
        <v>84681</v>
      </c>
      <c r="L152" s="83">
        <f t="shared" ref="L152:L155" si="66">+IF(K152*12&lt;=416220.01,0,IF(K152*12&lt;=624329.01,(((K152*12-416220.01)*0.15)/12),IF((K152*12&lt;=867123.01),(31216+0.2*(K152*12-624329.01))/12,((79776+0.25*(K152*12-867123.01))/12))))-M152</f>
        <v>9753.1872916666671</v>
      </c>
      <c r="M152" s="83"/>
      <c r="N152" s="90">
        <v>25</v>
      </c>
      <c r="O152" s="115">
        <f t="shared" si="62"/>
        <v>15097.187291666667</v>
      </c>
      <c r="P152" s="84">
        <f>+F152-O152</f>
        <v>74902.812708333338</v>
      </c>
      <c r="Q152" s="264"/>
    </row>
    <row r="153" spans="1:18" s="49" customFormat="1" ht="30" customHeight="1" x14ac:dyDescent="0.25">
      <c r="A153" s="86">
        <f>+A152+1</f>
        <v>84</v>
      </c>
      <c r="B153" s="116" t="s">
        <v>277</v>
      </c>
      <c r="C153" s="38" t="s">
        <v>426</v>
      </c>
      <c r="D153" s="117" t="s">
        <v>51</v>
      </c>
      <c r="E153" s="116" t="s">
        <v>122</v>
      </c>
      <c r="F153" s="118">
        <v>90000</v>
      </c>
      <c r="G153" s="118">
        <f>F153*2.87%</f>
        <v>2583</v>
      </c>
      <c r="H153" s="88">
        <f>+F153*3.04%</f>
        <v>2736</v>
      </c>
      <c r="I153" s="88"/>
      <c r="J153" s="83">
        <f t="shared" si="59"/>
        <v>5319</v>
      </c>
      <c r="K153" s="83">
        <f t="shared" si="63"/>
        <v>84681</v>
      </c>
      <c r="L153" s="83">
        <f t="shared" si="66"/>
        <v>9753.1872916666671</v>
      </c>
      <c r="M153" s="83"/>
      <c r="N153" s="90">
        <v>25</v>
      </c>
      <c r="O153" s="115">
        <f t="shared" si="62"/>
        <v>15097.187291666667</v>
      </c>
      <c r="P153" s="84">
        <f>+F153-O153</f>
        <v>74902.812708333338</v>
      </c>
      <c r="Q153" s="267"/>
      <c r="R153" s="93"/>
    </row>
    <row r="154" spans="1:18" ht="29.25" customHeight="1" x14ac:dyDescent="0.25">
      <c r="A154" s="81">
        <f>+A153+1</f>
        <v>85</v>
      </c>
      <c r="B154" s="116" t="s">
        <v>141</v>
      </c>
      <c r="C154" s="38" t="s">
        <v>426</v>
      </c>
      <c r="D154" s="117" t="s">
        <v>51</v>
      </c>
      <c r="E154" s="116" t="s">
        <v>122</v>
      </c>
      <c r="F154" s="118">
        <v>80000</v>
      </c>
      <c r="G154" s="118">
        <f>F154*2.87%</f>
        <v>2296</v>
      </c>
      <c r="H154" s="88">
        <f>+F154*3.04%</f>
        <v>2432</v>
      </c>
      <c r="I154" s="88"/>
      <c r="J154" s="83">
        <f t="shared" si="59"/>
        <v>4728</v>
      </c>
      <c r="K154" s="83">
        <f t="shared" si="63"/>
        <v>75272</v>
      </c>
      <c r="L154" s="83">
        <f t="shared" si="66"/>
        <v>7400.9372916666662</v>
      </c>
      <c r="M154" s="83"/>
      <c r="N154" s="90">
        <v>1025</v>
      </c>
      <c r="O154" s="115">
        <f t="shared" si="62"/>
        <v>13153.937291666665</v>
      </c>
      <c r="P154" s="84">
        <f>+F154-O154</f>
        <v>66846.062708333338</v>
      </c>
    </row>
    <row r="155" spans="1:18" ht="29.25" customHeight="1" x14ac:dyDescent="0.25">
      <c r="A155" s="86">
        <f>+A154+1</f>
        <v>86</v>
      </c>
      <c r="B155" s="116" t="s">
        <v>71</v>
      </c>
      <c r="C155" s="38" t="s">
        <v>425</v>
      </c>
      <c r="D155" s="117" t="s">
        <v>51</v>
      </c>
      <c r="E155" s="116" t="s">
        <v>122</v>
      </c>
      <c r="F155" s="118">
        <v>80000</v>
      </c>
      <c r="G155" s="118">
        <f>F155*2.87%</f>
        <v>2296</v>
      </c>
      <c r="H155" s="88">
        <f>+F155*3.04%</f>
        <v>2432</v>
      </c>
      <c r="I155" s="88">
        <v>1577.45</v>
      </c>
      <c r="J155" s="83">
        <f t="shared" si="59"/>
        <v>6305.45</v>
      </c>
      <c r="K155" s="83">
        <f t="shared" si="63"/>
        <v>73694.55</v>
      </c>
      <c r="L155" s="83">
        <f t="shared" si="66"/>
        <v>7006.5747916666687</v>
      </c>
      <c r="M155" s="83"/>
      <c r="N155" s="90">
        <v>25</v>
      </c>
      <c r="O155" s="115">
        <f t="shared" si="62"/>
        <v>13337.024791666669</v>
      </c>
      <c r="P155" s="84">
        <f>+F155-O155</f>
        <v>66662.97520833333</v>
      </c>
    </row>
    <row r="156" spans="1:18" s="55" customFormat="1" ht="30" customHeight="1" x14ac:dyDescent="0.25">
      <c r="A156" s="226" t="s">
        <v>125</v>
      </c>
      <c r="B156" s="227"/>
      <c r="C156" s="227"/>
      <c r="D156" s="227"/>
      <c r="E156" s="228"/>
      <c r="F156" s="39">
        <f t="shared" ref="F156:P156" si="67">SUM(F151:F155)</f>
        <v>466500</v>
      </c>
      <c r="G156" s="39">
        <f t="shared" si="67"/>
        <v>13388.55</v>
      </c>
      <c r="H156" s="39">
        <f t="shared" si="67"/>
        <v>14181.6</v>
      </c>
      <c r="I156" s="39">
        <f t="shared" si="67"/>
        <v>3154.9</v>
      </c>
      <c r="J156" s="39">
        <f t="shared" si="67"/>
        <v>30725.05</v>
      </c>
      <c r="K156" s="39">
        <f t="shared" si="67"/>
        <v>435774.95</v>
      </c>
      <c r="L156" s="39">
        <f t="shared" si="67"/>
        <v>51858.423958333333</v>
      </c>
      <c r="M156" s="39">
        <f t="shared" si="67"/>
        <v>0</v>
      </c>
      <c r="N156" s="39">
        <f t="shared" si="67"/>
        <v>1225</v>
      </c>
      <c r="O156" s="39">
        <f t="shared" si="67"/>
        <v>83808.473958333343</v>
      </c>
      <c r="P156" s="39">
        <f t="shared" si="67"/>
        <v>382691.52604166669</v>
      </c>
      <c r="Q156" s="264"/>
    </row>
    <row r="157" spans="1:18" s="49" customFormat="1" ht="47.45" customHeight="1" thickBot="1" x14ac:dyDescent="0.3">
      <c r="A157" s="52"/>
      <c r="B157" s="52"/>
      <c r="C157" s="52"/>
      <c r="D157" s="52"/>
      <c r="E157" s="5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267"/>
      <c r="R157" s="93"/>
    </row>
    <row r="158" spans="1:18" s="49" customFormat="1" ht="37.5" customHeight="1" thickBot="1" x14ac:dyDescent="0.3">
      <c r="A158" s="229" t="s">
        <v>174</v>
      </c>
      <c r="B158" s="230"/>
      <c r="C158" s="230"/>
      <c r="D158" s="230"/>
      <c r="E158" s="230"/>
      <c r="F158" s="230"/>
      <c r="G158" s="230"/>
      <c r="H158" s="230"/>
      <c r="I158" s="230"/>
      <c r="J158" s="230"/>
      <c r="K158" s="230"/>
      <c r="L158" s="230"/>
      <c r="M158" s="230"/>
      <c r="N158" s="230"/>
      <c r="O158" s="230"/>
      <c r="P158" s="230"/>
      <c r="Q158" s="267"/>
      <c r="R158" s="93"/>
    </row>
    <row r="159" spans="1:18" customFormat="1" ht="27" customHeight="1" x14ac:dyDescent="0.25">
      <c r="A159" s="86">
        <f>+A155+1</f>
        <v>87</v>
      </c>
      <c r="B159" s="116" t="s">
        <v>72</v>
      </c>
      <c r="C159" s="38" t="s">
        <v>426</v>
      </c>
      <c r="D159" s="117" t="s">
        <v>203</v>
      </c>
      <c r="E159" s="116" t="s">
        <v>122</v>
      </c>
      <c r="F159" s="118">
        <v>148500</v>
      </c>
      <c r="G159" s="88">
        <v>4261.95</v>
      </c>
      <c r="H159" s="88">
        <v>4514.3999999999996</v>
      </c>
      <c r="I159" s="88"/>
      <c r="J159" s="83">
        <f t="shared" si="59"/>
        <v>8776.3499999999985</v>
      </c>
      <c r="K159" s="83">
        <f t="shared" si="63"/>
        <v>139723.65</v>
      </c>
      <c r="L159" s="83">
        <f>+IF(K159*12&lt;=416220.01,0,IF(K159*12&lt;=624329.01,(((K159*12-416220.01)*0.15)/12),IF((K159*12&lt;=867123.01),(31216+0.2*(K159*12-624329.01))/12,((79776+0.25*(K159*12-867123.01))/12))))-M159</f>
        <v>23513.849791666664</v>
      </c>
      <c r="M159" s="83"/>
      <c r="N159" s="90">
        <v>8522.8700000000008</v>
      </c>
      <c r="O159" s="115">
        <f t="shared" si="62"/>
        <v>40813.069791666669</v>
      </c>
      <c r="P159" s="90">
        <f>+F159-O159</f>
        <v>107686.93020833333</v>
      </c>
      <c r="Q159" s="268"/>
    </row>
    <row r="160" spans="1:18" s="41" customFormat="1" ht="30" customHeight="1" x14ac:dyDescent="0.25">
      <c r="A160" s="38">
        <f>+A159+1</f>
        <v>88</v>
      </c>
      <c r="B160" s="116" t="s">
        <v>465</v>
      </c>
      <c r="C160" s="38" t="s">
        <v>426</v>
      </c>
      <c r="D160" s="117" t="s">
        <v>66</v>
      </c>
      <c r="E160" s="116" t="s">
        <v>231</v>
      </c>
      <c r="F160" s="118">
        <v>50000</v>
      </c>
      <c r="G160" s="88">
        <f>+F160*2.87%</f>
        <v>1435</v>
      </c>
      <c r="H160" s="88">
        <f>+F160*3.04%</f>
        <v>1520</v>
      </c>
      <c r="I160" s="88"/>
      <c r="J160" s="83">
        <f t="shared" si="59"/>
        <v>2955</v>
      </c>
      <c r="K160" s="83">
        <f t="shared" si="63"/>
        <v>47045</v>
      </c>
      <c r="L160" s="83">
        <f>+IF(K160*12&lt;=416220.01,0,IF(K160*12&lt;=624329.01,(((K160*12-416220.01)*0.15)/12),IF((K160*12&lt;=867123.01),(31216+0.2*(K160*12-624329.01))/12,((79776+0.25*(K160*12-867123.01))/12))))-M160</f>
        <v>-1.2500000025283953E-4</v>
      </c>
      <c r="M160" s="83">
        <v>1854</v>
      </c>
      <c r="N160" s="90">
        <v>25</v>
      </c>
      <c r="O160" s="115">
        <f t="shared" si="62"/>
        <v>2979.9998749999995</v>
      </c>
      <c r="P160" s="90">
        <f>+F160-O160</f>
        <v>47020.000124999999</v>
      </c>
      <c r="Q160" s="264"/>
      <c r="R160" s="55"/>
    </row>
    <row r="161" spans="1:18" s="55" customFormat="1" ht="30" customHeight="1" x14ac:dyDescent="0.25">
      <c r="A161" s="226" t="s">
        <v>125</v>
      </c>
      <c r="B161" s="227"/>
      <c r="C161" s="227"/>
      <c r="D161" s="227"/>
      <c r="E161" s="228"/>
      <c r="F161" s="39">
        <f>SUM(F159:F160)</f>
        <v>198500</v>
      </c>
      <c r="G161" s="39">
        <f t="shared" ref="G161:P161" si="68">SUM(G159:G160)</f>
        <v>5696.95</v>
      </c>
      <c r="H161" s="39">
        <f t="shared" si="68"/>
        <v>6034.4</v>
      </c>
      <c r="I161" s="39">
        <f t="shared" si="68"/>
        <v>0</v>
      </c>
      <c r="J161" s="39">
        <f t="shared" si="68"/>
        <v>11731.349999999999</v>
      </c>
      <c r="K161" s="39">
        <f t="shared" si="68"/>
        <v>186768.65</v>
      </c>
      <c r="L161" s="39">
        <f t="shared" si="68"/>
        <v>23513.849666666665</v>
      </c>
      <c r="M161" s="39">
        <f t="shared" si="68"/>
        <v>1854</v>
      </c>
      <c r="N161" s="39">
        <f t="shared" si="68"/>
        <v>8547.8700000000008</v>
      </c>
      <c r="O161" s="39">
        <f t="shared" si="68"/>
        <v>43793.06966666667</v>
      </c>
      <c r="P161" s="39">
        <f t="shared" si="68"/>
        <v>154706.93033333332</v>
      </c>
      <c r="Q161" s="264"/>
    </row>
    <row r="162" spans="1:18" s="55" customFormat="1" ht="30" customHeight="1" thickBot="1" x14ac:dyDescent="0.3">
      <c r="A162" s="240"/>
      <c r="B162" s="240"/>
      <c r="C162" s="240"/>
      <c r="D162" s="240"/>
      <c r="E162" s="240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264"/>
    </row>
    <row r="163" spans="1:18" s="49" customFormat="1" ht="37.5" customHeight="1" thickBot="1" x14ac:dyDescent="0.3">
      <c r="A163" s="229" t="s">
        <v>673</v>
      </c>
      <c r="B163" s="230"/>
      <c r="C163" s="230"/>
      <c r="D163" s="230"/>
      <c r="E163" s="230"/>
      <c r="F163" s="230"/>
      <c r="G163" s="230"/>
      <c r="H163" s="230"/>
      <c r="I163" s="230"/>
      <c r="J163" s="230"/>
      <c r="K163" s="230"/>
      <c r="L163" s="230"/>
      <c r="M163" s="230"/>
      <c r="N163" s="230"/>
      <c r="O163" s="230"/>
      <c r="P163" s="230"/>
      <c r="Q163" s="267"/>
      <c r="R163" s="93"/>
    </row>
    <row r="164" spans="1:18" customFormat="1" ht="27" customHeight="1" x14ac:dyDescent="0.25">
      <c r="A164" s="81">
        <f>+A160+1</f>
        <v>89</v>
      </c>
      <c r="B164" s="116" t="s">
        <v>50</v>
      </c>
      <c r="C164" s="38" t="s">
        <v>426</v>
      </c>
      <c r="D164" s="116" t="s">
        <v>51</v>
      </c>
      <c r="E164" s="116" t="s">
        <v>199</v>
      </c>
      <c r="F164" s="118">
        <v>90000</v>
      </c>
      <c r="G164" s="88">
        <f>+F164*2.87%</f>
        <v>2583</v>
      </c>
      <c r="H164" s="88">
        <f>+F164*3.04%</f>
        <v>2736</v>
      </c>
      <c r="I164" s="88"/>
      <c r="J164" s="83">
        <f t="shared" ref="J164" si="69">+G164+H164+I164</f>
        <v>5319</v>
      </c>
      <c r="K164" s="83">
        <f t="shared" ref="K164" si="70">+F164-J164</f>
        <v>84681</v>
      </c>
      <c r="L164" s="83">
        <f>+IF(K164*12&lt;=416220.01,0,IF(K164*12&lt;=624329.01,(((K164*12-416220.01)*0.15)/12),IF((K164*12&lt;=867123.01),(31216+0.2*(K164*12-624329.01))/12,((79776+0.25*(K164*12-867123.01))/12))))-M164</f>
        <v>9753.1872916666671</v>
      </c>
      <c r="M164" s="83"/>
      <c r="N164" s="90">
        <v>25</v>
      </c>
      <c r="O164" s="115">
        <f t="shared" ref="O164" si="71">+N164+I164+H164+G164+L164</f>
        <v>15097.187291666667</v>
      </c>
      <c r="P164" s="90">
        <f>+F164-O164</f>
        <v>74902.812708333338</v>
      </c>
      <c r="Q164" s="268"/>
    </row>
    <row r="165" spans="1:18" s="55" customFormat="1" ht="30" customHeight="1" x14ac:dyDescent="0.25">
      <c r="A165" s="226" t="s">
        <v>125</v>
      </c>
      <c r="B165" s="227"/>
      <c r="C165" s="227"/>
      <c r="D165" s="227"/>
      <c r="E165" s="228"/>
      <c r="F165" s="39">
        <f t="shared" ref="F165:P165" si="72">SUM(F164:F164)</f>
        <v>90000</v>
      </c>
      <c r="G165" s="39">
        <f t="shared" si="72"/>
        <v>2583</v>
      </c>
      <c r="H165" s="39">
        <f t="shared" si="72"/>
        <v>2736</v>
      </c>
      <c r="I165" s="39">
        <f t="shared" si="72"/>
        <v>0</v>
      </c>
      <c r="J165" s="39">
        <f t="shared" si="72"/>
        <v>5319</v>
      </c>
      <c r="K165" s="39">
        <f t="shared" si="72"/>
        <v>84681</v>
      </c>
      <c r="L165" s="39">
        <f t="shared" si="72"/>
        <v>9753.1872916666671</v>
      </c>
      <c r="M165" s="39">
        <f t="shared" si="72"/>
        <v>0</v>
      </c>
      <c r="N165" s="39">
        <f t="shared" si="72"/>
        <v>25</v>
      </c>
      <c r="O165" s="39">
        <f t="shared" si="72"/>
        <v>15097.187291666667</v>
      </c>
      <c r="P165" s="39">
        <f t="shared" si="72"/>
        <v>74902.812708333338</v>
      </c>
      <c r="Q165" s="264"/>
    </row>
    <row r="166" spans="1:18" s="55" customFormat="1" ht="30" customHeight="1" thickBot="1" x14ac:dyDescent="0.3">
      <c r="A166"/>
      <c r="B166"/>
      <c r="C166" s="14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 s="264"/>
    </row>
    <row r="167" spans="1:18" s="55" customFormat="1" ht="30" customHeight="1" thickBot="1" x14ac:dyDescent="0.3">
      <c r="A167" s="274" t="s">
        <v>175</v>
      </c>
      <c r="B167" s="275"/>
      <c r="C167" s="275"/>
      <c r="D167" s="275"/>
      <c r="E167" s="275"/>
      <c r="F167" s="232"/>
      <c r="G167" s="232"/>
      <c r="H167" s="232"/>
      <c r="I167" s="232"/>
      <c r="J167" s="232"/>
      <c r="K167" s="232"/>
      <c r="L167" s="232"/>
      <c r="M167" s="232"/>
      <c r="N167" s="232"/>
      <c r="O167" s="232"/>
      <c r="P167" s="232"/>
      <c r="Q167" s="264"/>
    </row>
    <row r="168" spans="1:18" s="33" customFormat="1" ht="30" customHeight="1" x14ac:dyDescent="0.25">
      <c r="A168" s="86">
        <f>+A164+1</f>
        <v>90</v>
      </c>
      <c r="B168" s="116" t="s">
        <v>191</v>
      </c>
      <c r="C168" s="38" t="s">
        <v>426</v>
      </c>
      <c r="D168" s="117" t="s">
        <v>51</v>
      </c>
      <c r="E168" s="116" t="s">
        <v>122</v>
      </c>
      <c r="F168" s="118">
        <v>100000</v>
      </c>
      <c r="G168" s="118">
        <f>F168*2.87%</f>
        <v>2870</v>
      </c>
      <c r="H168" s="88">
        <f>+F168*3.04%</f>
        <v>3040</v>
      </c>
      <c r="I168" s="88">
        <v>3154.9</v>
      </c>
      <c r="J168" s="83">
        <f t="shared" si="59"/>
        <v>9064.9</v>
      </c>
      <c r="K168" s="83">
        <f>+F168-J168</f>
        <v>90935.1</v>
      </c>
      <c r="L168" s="83">
        <f>+IF(K168*12&lt;=416220.01,0,IF(K168*12&lt;=624329.01,(((K168*12-416220.01)*0.15)/12),IF((K168*12&lt;=867123.01),(31216+0.2*(K168*12-624329.01))/12,((79776+0.25*(K168*12-867123.01))/12))))-M168</f>
        <v>11316.71229166667</v>
      </c>
      <c r="M168" s="83"/>
      <c r="N168" s="90">
        <v>25</v>
      </c>
      <c r="O168" s="115">
        <f t="shared" si="62"/>
        <v>20406.612291666672</v>
      </c>
      <c r="P168" s="84">
        <f>+F168-O168</f>
        <v>79593.387708333321</v>
      </c>
      <c r="Q168" s="266"/>
    </row>
    <row r="169" spans="1:18" s="41" customFormat="1" ht="30" customHeight="1" x14ac:dyDescent="0.25">
      <c r="A169" s="86">
        <f>+A168+1</f>
        <v>91</v>
      </c>
      <c r="B169" s="116" t="s">
        <v>279</v>
      </c>
      <c r="C169" s="38" t="s">
        <v>426</v>
      </c>
      <c r="D169" s="117" t="s">
        <v>51</v>
      </c>
      <c r="E169" s="116" t="s">
        <v>122</v>
      </c>
      <c r="F169" s="118">
        <v>95000</v>
      </c>
      <c r="G169" s="118">
        <f>F169*2.87%</f>
        <v>2726.5</v>
      </c>
      <c r="H169" s="88">
        <f>+F169*3.04%</f>
        <v>2888</v>
      </c>
      <c r="I169" s="88"/>
      <c r="J169" s="83">
        <f t="shared" si="59"/>
        <v>5614.5</v>
      </c>
      <c r="K169" s="83">
        <f t="shared" si="63"/>
        <v>89385.5</v>
      </c>
      <c r="L169" s="83">
        <f t="shared" ref="L169:L171" si="73">+IF(K169*12&lt;=416220.01,0,IF(K169*12&lt;=624329.01,(((K169*12-416220.01)*0.15)/12),IF((K169*12&lt;=867123.01),(31216+0.2*(K169*12-624329.01))/12,((79776+0.25*(K169*12-867123.01))/12))))-M169</f>
        <v>10929.312291666667</v>
      </c>
      <c r="M169" s="83"/>
      <c r="N169" s="90">
        <v>25</v>
      </c>
      <c r="O169" s="115">
        <f t="shared" si="62"/>
        <v>16568.812291666669</v>
      </c>
      <c r="P169" s="84">
        <f>+F169-O169</f>
        <v>78431.187708333338</v>
      </c>
      <c r="Q169" s="264"/>
      <c r="R169" s="55"/>
    </row>
    <row r="170" spans="1:18" s="41" customFormat="1" ht="30" customHeight="1" x14ac:dyDescent="0.25">
      <c r="A170" s="86">
        <f>+A169+1</f>
        <v>92</v>
      </c>
      <c r="B170" s="116" t="s">
        <v>280</v>
      </c>
      <c r="C170" s="38" t="s">
        <v>425</v>
      </c>
      <c r="D170" s="117" t="s">
        <v>51</v>
      </c>
      <c r="E170" s="116" t="s">
        <v>122</v>
      </c>
      <c r="F170" s="118">
        <v>90000</v>
      </c>
      <c r="G170" s="118">
        <f>F170*2.87%</f>
        <v>2583</v>
      </c>
      <c r="H170" s="88">
        <f>F170*3.04%</f>
        <v>2736</v>
      </c>
      <c r="I170" s="88"/>
      <c r="J170" s="83">
        <f t="shared" si="59"/>
        <v>5319</v>
      </c>
      <c r="K170" s="83">
        <f t="shared" si="63"/>
        <v>84681</v>
      </c>
      <c r="L170" s="83">
        <f t="shared" si="73"/>
        <v>9753.1872916666671</v>
      </c>
      <c r="M170" s="83"/>
      <c r="N170" s="90">
        <v>65</v>
      </c>
      <c r="O170" s="115">
        <f t="shared" si="62"/>
        <v>15137.187291666667</v>
      </c>
      <c r="P170" s="84">
        <f>+F170-O170</f>
        <v>74862.812708333338</v>
      </c>
      <c r="Q170" s="264"/>
      <c r="R170" s="55"/>
    </row>
    <row r="171" spans="1:18" s="41" customFormat="1" ht="30" customHeight="1" x14ac:dyDescent="0.25">
      <c r="A171" s="81">
        <f>+A170+1</f>
        <v>93</v>
      </c>
      <c r="B171" s="116" t="s">
        <v>47</v>
      </c>
      <c r="C171" s="38" t="s">
        <v>425</v>
      </c>
      <c r="D171" s="116" t="s">
        <v>51</v>
      </c>
      <c r="E171" s="116" t="s">
        <v>121</v>
      </c>
      <c r="F171" s="118">
        <v>80000</v>
      </c>
      <c r="G171" s="118">
        <f>F171*2.87%</f>
        <v>2296</v>
      </c>
      <c r="H171" s="88">
        <f>+F171*3.04%</f>
        <v>2432</v>
      </c>
      <c r="I171" s="88">
        <v>1577.45</v>
      </c>
      <c r="J171" s="83">
        <f t="shared" si="59"/>
        <v>6305.45</v>
      </c>
      <c r="K171" s="83">
        <f t="shared" si="63"/>
        <v>73694.55</v>
      </c>
      <c r="L171" s="83">
        <f t="shared" si="73"/>
        <v>7006.5747916666687</v>
      </c>
      <c r="M171" s="83"/>
      <c r="N171" s="90">
        <v>125</v>
      </c>
      <c r="O171" s="115">
        <f t="shared" si="62"/>
        <v>13437.024791666669</v>
      </c>
      <c r="P171" s="84">
        <f>+F171-O171</f>
        <v>66562.97520833333</v>
      </c>
      <c r="Q171" s="264"/>
      <c r="R171" s="55"/>
    </row>
    <row r="172" spans="1:18" s="41" customFormat="1" ht="30" customHeight="1" x14ac:dyDescent="0.25">
      <c r="A172" s="226" t="s">
        <v>125</v>
      </c>
      <c r="B172" s="227"/>
      <c r="C172" s="227"/>
      <c r="D172" s="227"/>
      <c r="E172" s="228"/>
      <c r="F172" s="39">
        <f t="shared" ref="F172:P172" si="74">SUM(F168:F171)</f>
        <v>365000</v>
      </c>
      <c r="G172" s="39">
        <f t="shared" si="74"/>
        <v>10475.5</v>
      </c>
      <c r="H172" s="39">
        <f t="shared" si="74"/>
        <v>11096</v>
      </c>
      <c r="I172" s="39">
        <f t="shared" si="74"/>
        <v>4732.3500000000004</v>
      </c>
      <c r="J172" s="39">
        <f t="shared" si="74"/>
        <v>26303.850000000002</v>
      </c>
      <c r="K172" s="39">
        <f t="shared" si="74"/>
        <v>338696.14999999997</v>
      </c>
      <c r="L172" s="39">
        <f t="shared" si="74"/>
        <v>39005.786666666674</v>
      </c>
      <c r="M172" s="39">
        <f t="shared" si="74"/>
        <v>0</v>
      </c>
      <c r="N172" s="39">
        <f t="shared" si="74"/>
        <v>240</v>
      </c>
      <c r="O172" s="39">
        <f t="shared" si="74"/>
        <v>65549.636666666673</v>
      </c>
      <c r="P172" s="39">
        <f t="shared" si="74"/>
        <v>299450.36333333334</v>
      </c>
      <c r="Q172" s="264"/>
      <c r="R172" s="55"/>
    </row>
    <row r="173" spans="1:18" s="55" customFormat="1" ht="30" customHeight="1" thickBot="1" x14ac:dyDescent="0.3">
      <c r="A173" s="240"/>
      <c r="B173" s="240"/>
      <c r="C173" s="240"/>
      <c r="D173" s="240"/>
      <c r="E173" s="240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264"/>
    </row>
    <row r="174" spans="1:18" s="41" customFormat="1" ht="30" customHeight="1" thickBot="1" x14ac:dyDescent="0.3">
      <c r="A174" s="229" t="s">
        <v>293</v>
      </c>
      <c r="B174" s="230"/>
      <c r="C174" s="230"/>
      <c r="D174" s="230"/>
      <c r="E174" s="230"/>
      <c r="F174" s="230"/>
      <c r="G174" s="230"/>
      <c r="H174" s="230"/>
      <c r="I174" s="230"/>
      <c r="J174" s="230"/>
      <c r="K174" s="230"/>
      <c r="L174" s="230"/>
      <c r="M174" s="230"/>
      <c r="N174" s="230"/>
      <c r="O174" s="230"/>
      <c r="P174" s="230"/>
      <c r="Q174" s="264"/>
      <c r="R174" s="55"/>
    </row>
    <row r="175" spans="1:18" s="41" customFormat="1" ht="30" customHeight="1" thickBot="1" x14ac:dyDescent="0.3">
      <c r="A175" s="229" t="s">
        <v>294</v>
      </c>
      <c r="B175" s="230"/>
      <c r="C175" s="230"/>
      <c r="D175" s="230"/>
      <c r="E175" s="230"/>
      <c r="F175" s="230"/>
      <c r="G175" s="230"/>
      <c r="H175" s="230"/>
      <c r="I175" s="230"/>
      <c r="J175" s="230"/>
      <c r="K175" s="230"/>
      <c r="L175" s="230"/>
      <c r="M175" s="230"/>
      <c r="N175" s="230"/>
      <c r="O175" s="230"/>
      <c r="P175" s="230"/>
      <c r="Q175" s="264"/>
      <c r="R175" s="55"/>
    </row>
    <row r="176" spans="1:18" s="49" customFormat="1" ht="30.75" customHeight="1" x14ac:dyDescent="0.25">
      <c r="A176" s="86">
        <f>+A171+1</f>
        <v>94</v>
      </c>
      <c r="B176" s="116" t="s">
        <v>282</v>
      </c>
      <c r="C176" s="38" t="s">
        <v>426</v>
      </c>
      <c r="D176" s="135" t="s">
        <v>598</v>
      </c>
      <c r="E176" s="116" t="s">
        <v>121</v>
      </c>
      <c r="F176" s="118">
        <v>120000</v>
      </c>
      <c r="G176" s="118">
        <f>F176*2.87%</f>
        <v>3444</v>
      </c>
      <c r="H176" s="88">
        <f>+F176*3.04%</f>
        <v>3648</v>
      </c>
      <c r="I176" s="88"/>
      <c r="J176" s="83">
        <f t="shared" si="59"/>
        <v>7092</v>
      </c>
      <c r="K176" s="83">
        <f t="shared" si="63"/>
        <v>112908</v>
      </c>
      <c r="L176" s="83">
        <f>+IF(K176*12&lt;=416220.01,0,IF(K176*12&lt;=624329.01,(((K176*12-416220.01)*0.15)/12),IF((K176*12&lt;=867123.01),(31216+0.2*(K176*12-624329.01))/12,((79776+0.25*(K176*12-867123.01))/12))))-M176</f>
        <v>16809.937291666665</v>
      </c>
      <c r="M176" s="83"/>
      <c r="N176" s="90">
        <v>25</v>
      </c>
      <c r="O176" s="115">
        <f t="shared" si="62"/>
        <v>23926.937291666665</v>
      </c>
      <c r="P176" s="90">
        <f>+F176-O176</f>
        <v>96073.062708333338</v>
      </c>
      <c r="Q176" s="267"/>
      <c r="R176" s="93"/>
    </row>
    <row r="177" spans="1:18" s="49" customFormat="1" ht="30.75" customHeight="1" x14ac:dyDescent="0.25">
      <c r="A177" s="168">
        <f>+A176+1</f>
        <v>95</v>
      </c>
      <c r="B177" s="122" t="s">
        <v>597</v>
      </c>
      <c r="C177" s="187" t="s">
        <v>426</v>
      </c>
      <c r="D177" s="135" t="s">
        <v>281</v>
      </c>
      <c r="E177" s="116" t="s">
        <v>121</v>
      </c>
      <c r="F177" s="118">
        <v>90000</v>
      </c>
      <c r="G177" s="118">
        <f>F177*2.87%</f>
        <v>2583</v>
      </c>
      <c r="H177" s="88">
        <f>+F177*3.04%</f>
        <v>2736</v>
      </c>
      <c r="I177" s="88"/>
      <c r="J177" s="83">
        <f t="shared" si="59"/>
        <v>5319</v>
      </c>
      <c r="K177" s="83">
        <f t="shared" si="63"/>
        <v>84681</v>
      </c>
      <c r="L177" s="83">
        <f>+IF(K177*12&lt;=416220.01,0,IF(K177*12&lt;=624329.01,(((K177*12-416220.01)*0.15)/12),IF((K177*12&lt;=867123.01),(31216+0.2*(K177*12-624329.01))/12,((79776+0.25*(K177*12-867123.01))/12))))-M177</f>
        <v>9753.1872916666671</v>
      </c>
      <c r="M177" s="83"/>
      <c r="N177" s="90">
        <v>25</v>
      </c>
      <c r="O177" s="115">
        <f t="shared" si="62"/>
        <v>15097.187291666667</v>
      </c>
      <c r="P177" s="90">
        <f>+F177-O177</f>
        <v>74902.812708333338</v>
      </c>
      <c r="Q177" s="267"/>
      <c r="R177" s="93"/>
    </row>
    <row r="178" spans="1:18" s="55" customFormat="1" ht="30" customHeight="1" x14ac:dyDescent="0.25">
      <c r="A178" s="226" t="s">
        <v>125</v>
      </c>
      <c r="B178" s="227"/>
      <c r="C178" s="227"/>
      <c r="D178" s="227"/>
      <c r="E178" s="228"/>
      <c r="F178" s="39">
        <f>SUM(F176:F177)</f>
        <v>210000</v>
      </c>
      <c r="G178" s="39">
        <f t="shared" ref="G178:P178" si="75">SUM(G176:G177)</f>
        <v>6027</v>
      </c>
      <c r="H178" s="39">
        <f t="shared" si="75"/>
        <v>6384</v>
      </c>
      <c r="I178" s="39">
        <f t="shared" si="75"/>
        <v>0</v>
      </c>
      <c r="J178" s="39">
        <f t="shared" si="75"/>
        <v>12411</v>
      </c>
      <c r="K178" s="39">
        <f>SUM(K176:K177)</f>
        <v>197589</v>
      </c>
      <c r="L178" s="39">
        <f t="shared" si="75"/>
        <v>26563.124583333331</v>
      </c>
      <c r="M178" s="39">
        <f t="shared" si="75"/>
        <v>0</v>
      </c>
      <c r="N178" s="39">
        <f t="shared" si="75"/>
        <v>50</v>
      </c>
      <c r="O178" s="39">
        <f t="shared" si="75"/>
        <v>39024.124583333331</v>
      </c>
      <c r="P178" s="39">
        <f t="shared" si="75"/>
        <v>170975.87541666668</v>
      </c>
      <c r="Q178" s="264"/>
    </row>
    <row r="179" spans="1:18" s="41" customFormat="1" ht="30" customHeight="1" thickBot="1" x14ac:dyDescent="0.3">
      <c r="C179" s="43"/>
      <c r="Q179" s="264"/>
      <c r="R179" s="55"/>
    </row>
    <row r="180" spans="1:18" s="41" customFormat="1" ht="24" customHeight="1" thickBot="1" x14ac:dyDescent="0.3">
      <c r="A180" s="229" t="s">
        <v>90</v>
      </c>
      <c r="B180" s="230"/>
      <c r="C180" s="230"/>
      <c r="D180" s="230"/>
      <c r="E180" s="230"/>
      <c r="F180" s="230"/>
      <c r="G180" s="230"/>
      <c r="H180" s="230"/>
      <c r="I180" s="230"/>
      <c r="J180" s="230"/>
      <c r="K180" s="230"/>
      <c r="L180" s="230"/>
      <c r="M180" s="230"/>
      <c r="N180" s="230"/>
      <c r="O180" s="230"/>
      <c r="P180" s="230"/>
      <c r="Q180" s="264"/>
      <c r="R180" s="55"/>
    </row>
    <row r="181" spans="1:18" s="55" customFormat="1" ht="51" customHeight="1" x14ac:dyDescent="0.25">
      <c r="A181" s="86">
        <f>+A177+1</f>
        <v>96</v>
      </c>
      <c r="B181" s="116" t="s">
        <v>77</v>
      </c>
      <c r="C181" s="38" t="s">
        <v>425</v>
      </c>
      <c r="D181" s="135" t="s">
        <v>599</v>
      </c>
      <c r="E181" s="116" t="s">
        <v>121</v>
      </c>
      <c r="F181" s="115">
        <v>120000</v>
      </c>
      <c r="G181" s="83">
        <f>F181*2.87%</f>
        <v>3444</v>
      </c>
      <c r="H181" s="83">
        <f>+F181*3.04%</f>
        <v>3648</v>
      </c>
      <c r="I181" s="83"/>
      <c r="J181" s="83">
        <f t="shared" si="59"/>
        <v>7092</v>
      </c>
      <c r="K181" s="83">
        <f t="shared" si="63"/>
        <v>112908</v>
      </c>
      <c r="L181" s="83">
        <f>+IF(K181*12&lt;=416220.01,0,IF(K181*12&lt;=624329.01,(((K181*12-416220.01)*0.15)/12),IF((K181*12&lt;=867123.01),(31216+0.2*(K181*12-624329.01))/12,((79776+0.25*(K181*12-867123.01))/12))))-M181</f>
        <v>16809.937291666665</v>
      </c>
      <c r="M181" s="83"/>
      <c r="N181" s="90">
        <v>125</v>
      </c>
      <c r="O181" s="115">
        <f t="shared" si="62"/>
        <v>24026.937291666665</v>
      </c>
      <c r="P181" s="90">
        <f>+F181-O181</f>
        <v>95973.062708333338</v>
      </c>
      <c r="Q181" s="264"/>
    </row>
    <row r="182" spans="1:18" s="55" customFormat="1" ht="30" customHeight="1" thickBot="1" x14ac:dyDescent="0.3">
      <c r="A182" s="226" t="s">
        <v>125</v>
      </c>
      <c r="B182" s="227"/>
      <c r="C182" s="227"/>
      <c r="D182" s="227"/>
      <c r="E182" s="228"/>
      <c r="F182" s="39">
        <f t="shared" ref="F182:P182" si="76">SUM(F181:F181)</f>
        <v>120000</v>
      </c>
      <c r="G182" s="39">
        <f t="shared" si="76"/>
        <v>3444</v>
      </c>
      <c r="H182" s="39">
        <f t="shared" si="76"/>
        <v>3648</v>
      </c>
      <c r="I182" s="39">
        <f t="shared" si="76"/>
        <v>0</v>
      </c>
      <c r="J182" s="39">
        <f t="shared" si="76"/>
        <v>7092</v>
      </c>
      <c r="K182" s="39">
        <f t="shared" si="76"/>
        <v>112908</v>
      </c>
      <c r="L182" s="39">
        <f t="shared" si="76"/>
        <v>16809.937291666665</v>
      </c>
      <c r="M182" s="39">
        <f t="shared" si="76"/>
        <v>0</v>
      </c>
      <c r="N182" s="39">
        <f t="shared" si="76"/>
        <v>125</v>
      </c>
      <c r="O182" s="39">
        <f t="shared" si="76"/>
        <v>24026.937291666665</v>
      </c>
      <c r="P182" s="39">
        <f t="shared" si="76"/>
        <v>95973.062708333338</v>
      </c>
      <c r="Q182" s="264"/>
    </row>
    <row r="183" spans="1:18" s="55" customFormat="1" ht="30" customHeight="1" thickBot="1" x14ac:dyDescent="0.3">
      <c r="A183" s="229" t="s">
        <v>91</v>
      </c>
      <c r="B183" s="230"/>
      <c r="C183" s="230"/>
      <c r="D183" s="230"/>
      <c r="E183" s="230"/>
      <c r="F183" s="230"/>
      <c r="G183" s="230"/>
      <c r="H183" s="230"/>
      <c r="I183" s="230"/>
      <c r="J183" s="230"/>
      <c r="K183" s="230"/>
      <c r="L183" s="230"/>
      <c r="M183" s="230"/>
      <c r="N183" s="230"/>
      <c r="O183" s="230"/>
      <c r="P183" s="230"/>
      <c r="Q183" s="264"/>
    </row>
    <row r="184" spans="1:18" s="41" customFormat="1" ht="30" customHeight="1" x14ac:dyDescent="0.25">
      <c r="A184" s="81">
        <f>+A181+1</f>
        <v>97</v>
      </c>
      <c r="B184" s="121" t="s">
        <v>283</v>
      </c>
      <c r="C184" s="131" t="s">
        <v>426</v>
      </c>
      <c r="D184" s="132" t="s">
        <v>470</v>
      </c>
      <c r="E184" s="116" t="s">
        <v>122</v>
      </c>
      <c r="F184" s="115">
        <v>170500</v>
      </c>
      <c r="G184" s="88">
        <v>4893.3500000000004</v>
      </c>
      <c r="H184" s="115">
        <f>+F184*3.04%</f>
        <v>5183.2</v>
      </c>
      <c r="I184" s="88">
        <v>1577.45</v>
      </c>
      <c r="J184" s="83">
        <f t="shared" si="59"/>
        <v>11654</v>
      </c>
      <c r="K184" s="83">
        <f t="shared" si="63"/>
        <v>158846</v>
      </c>
      <c r="L184" s="83">
        <f>+IF(K184*12&lt;=416220.01,0,IF(K184*12&lt;=624329.01,(((K184*12-416220.01)*0.15)/12),IF((K184*12&lt;=867123.01),(31216+0.2*(K184*12-624329.01))/12,((79776+0.25*(K184*12-867123.01))/12))))-M184</f>
        <v>28294.437291666665</v>
      </c>
      <c r="M184" s="83"/>
      <c r="N184" s="90">
        <v>25</v>
      </c>
      <c r="O184" s="115">
        <f t="shared" si="62"/>
        <v>39973.437291666662</v>
      </c>
      <c r="P184" s="90">
        <f>+F184-O184</f>
        <v>130526.56270833334</v>
      </c>
      <c r="Q184" s="264"/>
      <c r="R184" s="55"/>
    </row>
    <row r="185" spans="1:18" s="41" customFormat="1" ht="25.5" customHeight="1" x14ac:dyDescent="0.25">
      <c r="A185" s="81">
        <f>+A184+1</f>
        <v>98</v>
      </c>
      <c r="B185" s="121" t="s">
        <v>14</v>
      </c>
      <c r="C185" s="131" t="s">
        <v>426</v>
      </c>
      <c r="D185" s="157" t="s">
        <v>107</v>
      </c>
      <c r="E185" s="121" t="s">
        <v>199</v>
      </c>
      <c r="F185" s="115">
        <v>135000</v>
      </c>
      <c r="G185" s="115">
        <f>F185*2.87%</f>
        <v>3874.5</v>
      </c>
      <c r="H185" s="115">
        <f>+F185*3.04%</f>
        <v>4104</v>
      </c>
      <c r="I185" s="115"/>
      <c r="J185" s="83">
        <f t="shared" si="59"/>
        <v>7978.5</v>
      </c>
      <c r="K185" s="83">
        <f t="shared" si="63"/>
        <v>127021.5</v>
      </c>
      <c r="L185" s="83">
        <f>+IF(K185*12&lt;=416220.01,0,IF(K185*12&lt;=624329.01,(((K185*12-416220.01)*0.15)/12),IF((K185*12&lt;=867123.01),(31216+0.2*(K185*12-624329.01))/12,((79776+0.25*(K185*12-867123.01))/12))))-M185</f>
        <v>20338.312291666665</v>
      </c>
      <c r="M185" s="83"/>
      <c r="N185" s="119">
        <v>25</v>
      </c>
      <c r="O185" s="115">
        <f t="shared" si="62"/>
        <v>28341.812291666665</v>
      </c>
      <c r="P185" s="119">
        <f>+F185-O185</f>
        <v>106658.18770833334</v>
      </c>
      <c r="Q185" s="264"/>
      <c r="R185" s="55"/>
    </row>
    <row r="186" spans="1:18" s="55" customFormat="1" ht="30" customHeight="1" x14ac:dyDescent="0.25">
      <c r="A186" s="81">
        <f>+A185+1</f>
        <v>99</v>
      </c>
      <c r="B186" s="116" t="s">
        <v>15</v>
      </c>
      <c r="C186" s="131" t="s">
        <v>426</v>
      </c>
      <c r="D186" s="132" t="s">
        <v>565</v>
      </c>
      <c r="E186" s="116" t="s">
        <v>121</v>
      </c>
      <c r="F186" s="118">
        <v>110000</v>
      </c>
      <c r="G186" s="118">
        <f>F186*2.87%</f>
        <v>3157</v>
      </c>
      <c r="H186" s="88">
        <f>+F186*3.04%</f>
        <v>3344</v>
      </c>
      <c r="I186" s="88"/>
      <c r="J186" s="83">
        <f>+G186+H186+I186</f>
        <v>6501</v>
      </c>
      <c r="K186" s="83">
        <f>+F186-J186</f>
        <v>103499</v>
      </c>
      <c r="L186" s="83">
        <f>+IF(K186*12&lt;=416220.01,0,IF(K186*12&lt;=624329.01,(((K186*12-416220.01)*0.15)/12),IF((K186*12&lt;=867123.01),(31216+0.2*(K186*12-624329.01))/12,((79776+0.25*(K186*12-867123.01))/12))))-M186</f>
        <v>14457.687291666667</v>
      </c>
      <c r="M186" s="83"/>
      <c r="N186" s="84">
        <v>25</v>
      </c>
      <c r="O186" s="115">
        <f>+N186+I186+H186+G186+L186</f>
        <v>20983.687291666669</v>
      </c>
      <c r="P186" s="84">
        <f>+F186-O186</f>
        <v>89016.312708333338</v>
      </c>
      <c r="Q186" s="264"/>
    </row>
    <row r="187" spans="1:18" s="55" customFormat="1" ht="30" customHeight="1" x14ac:dyDescent="0.25">
      <c r="A187" s="226" t="s">
        <v>125</v>
      </c>
      <c r="B187" s="227"/>
      <c r="C187" s="227"/>
      <c r="D187" s="227"/>
      <c r="E187" s="228"/>
      <c r="F187" s="39">
        <f>SUM(F184:F186)</f>
        <v>415500</v>
      </c>
      <c r="G187" s="39">
        <f t="shared" ref="G187:P187" si="77">SUM(G184:G186)</f>
        <v>11924.85</v>
      </c>
      <c r="H187" s="39">
        <f t="shared" si="77"/>
        <v>12631.2</v>
      </c>
      <c r="I187" s="39">
        <f t="shared" si="77"/>
        <v>1577.45</v>
      </c>
      <c r="J187" s="39">
        <f t="shared" si="77"/>
        <v>26133.5</v>
      </c>
      <c r="K187" s="39">
        <f>SUM(K184:K186)</f>
        <v>389366.5</v>
      </c>
      <c r="L187" s="39">
        <f t="shared" si="77"/>
        <v>63090.436874999999</v>
      </c>
      <c r="M187" s="39">
        <f t="shared" si="77"/>
        <v>0</v>
      </c>
      <c r="N187" s="39">
        <f t="shared" si="77"/>
        <v>75</v>
      </c>
      <c r="O187" s="39">
        <f t="shared" si="77"/>
        <v>89298.936874999985</v>
      </c>
      <c r="P187" s="39">
        <f t="shared" si="77"/>
        <v>326201.06312499999</v>
      </c>
      <c r="Q187" s="264"/>
    </row>
    <row r="188" spans="1:18" s="55" customFormat="1" ht="30" customHeight="1" thickBot="1" x14ac:dyDescent="0.3">
      <c r="A188" s="52"/>
      <c r="B188" s="52"/>
      <c r="C188" s="52"/>
      <c r="D188" s="52"/>
      <c r="E188" s="52"/>
      <c r="F188"/>
      <c r="G188"/>
      <c r="H188"/>
      <c r="I188"/>
      <c r="J188"/>
      <c r="K188"/>
      <c r="L188"/>
      <c r="M188"/>
      <c r="N188"/>
      <c r="O188"/>
      <c r="P188"/>
      <c r="Q188" s="264"/>
    </row>
    <row r="189" spans="1:18" s="55" customFormat="1" ht="30" customHeight="1" thickBot="1" x14ac:dyDescent="0.3">
      <c r="A189" s="229" t="s">
        <v>292</v>
      </c>
      <c r="B189" s="230"/>
      <c r="C189" s="230"/>
      <c r="D189" s="230"/>
      <c r="E189" s="230"/>
      <c r="F189" s="230"/>
      <c r="G189" s="230"/>
      <c r="H189" s="230"/>
      <c r="I189" s="230"/>
      <c r="J189" s="230"/>
      <c r="K189" s="230"/>
      <c r="L189" s="230"/>
      <c r="M189" s="230"/>
      <c r="N189" s="230"/>
      <c r="O189" s="230"/>
      <c r="P189" s="230"/>
      <c r="Q189" s="264"/>
    </row>
    <row r="190" spans="1:18" s="41" customFormat="1" ht="30" customHeight="1" x14ac:dyDescent="0.25">
      <c r="A190" s="81">
        <f>+A186+1</f>
        <v>100</v>
      </c>
      <c r="B190" s="87" t="s">
        <v>58</v>
      </c>
      <c r="C190" s="86" t="s">
        <v>426</v>
      </c>
      <c r="D190" s="91" t="s">
        <v>563</v>
      </c>
      <c r="E190" s="87" t="s">
        <v>121</v>
      </c>
      <c r="F190" s="88">
        <v>115000</v>
      </c>
      <c r="G190" s="88">
        <f>F190*2.87%</f>
        <v>3300.5</v>
      </c>
      <c r="H190" s="88">
        <f>+F190*3.04%</f>
        <v>3496</v>
      </c>
      <c r="I190" s="88">
        <v>1577.45</v>
      </c>
      <c r="J190" s="83">
        <f t="shared" si="59"/>
        <v>8373.9500000000007</v>
      </c>
      <c r="K190" s="83">
        <f t="shared" si="63"/>
        <v>106626.05</v>
      </c>
      <c r="L190" s="83">
        <f t="shared" ref="L190:L193" si="78">+IF(K190*12&lt;=416220.01,0,IF(K190*12&lt;=624329.01,(((K190*12-416220.01)*0.15)/12),IF((K190*12&lt;=867123.01),(31216+0.2*(K190*12-624329.01))/12,((79776+0.25*(K190*12-867123.01))/12))))-M190</f>
        <v>15239.449791666668</v>
      </c>
      <c r="M190" s="83"/>
      <c r="N190" s="90">
        <v>25</v>
      </c>
      <c r="O190" s="115">
        <f t="shared" si="62"/>
        <v>23638.39979166667</v>
      </c>
      <c r="P190" s="84">
        <f>+F190-O190</f>
        <v>91361.60020833333</v>
      </c>
      <c r="Q190" s="264"/>
      <c r="R190" s="55"/>
    </row>
    <row r="191" spans="1:18" s="41" customFormat="1" ht="33" customHeight="1" x14ac:dyDescent="0.25">
      <c r="A191" s="81">
        <f t="shared" ref="A191:A193" si="79">+A190+1</f>
        <v>101</v>
      </c>
      <c r="B191" s="87" t="s">
        <v>254</v>
      </c>
      <c r="C191" s="86" t="s">
        <v>426</v>
      </c>
      <c r="D191" s="91" t="s">
        <v>51</v>
      </c>
      <c r="E191" s="87" t="s">
        <v>121</v>
      </c>
      <c r="F191" s="88">
        <v>85000</v>
      </c>
      <c r="G191" s="88">
        <f>F191*2.87%</f>
        <v>2439.5</v>
      </c>
      <c r="H191" s="88">
        <f>+F191*3.04%</f>
        <v>2584</v>
      </c>
      <c r="I191" s="88"/>
      <c r="J191" s="83">
        <f t="shared" si="59"/>
        <v>5023.5</v>
      </c>
      <c r="K191" s="83">
        <f t="shared" si="63"/>
        <v>79976.5</v>
      </c>
      <c r="L191" s="83">
        <f t="shared" si="78"/>
        <v>8577.0622916666671</v>
      </c>
      <c r="M191" s="83"/>
      <c r="N191" s="90">
        <v>7625</v>
      </c>
      <c r="O191" s="115">
        <f t="shared" si="62"/>
        <v>21225.562291666669</v>
      </c>
      <c r="P191" s="84">
        <f>+F191-O191</f>
        <v>63774.437708333331</v>
      </c>
      <c r="Q191" s="264"/>
      <c r="R191" s="55"/>
    </row>
    <row r="192" spans="1:18" s="55" customFormat="1" ht="30" customHeight="1" x14ac:dyDescent="0.25">
      <c r="A192" s="81">
        <f t="shared" si="79"/>
        <v>102</v>
      </c>
      <c r="B192" s="183" t="s">
        <v>288</v>
      </c>
      <c r="C192" s="184" t="s">
        <v>426</v>
      </c>
      <c r="D192" s="117" t="s">
        <v>287</v>
      </c>
      <c r="E192" s="185" t="s">
        <v>122</v>
      </c>
      <c r="F192" s="118">
        <v>80000</v>
      </c>
      <c r="G192" s="118">
        <f>F192*2.87%</f>
        <v>2296</v>
      </c>
      <c r="H192" s="88">
        <f>+F192*3.04%</f>
        <v>2432</v>
      </c>
      <c r="I192" s="88"/>
      <c r="J192" s="83">
        <f t="shared" si="59"/>
        <v>4728</v>
      </c>
      <c r="K192" s="83">
        <f t="shared" si="63"/>
        <v>75272</v>
      </c>
      <c r="L192" s="83">
        <f t="shared" si="78"/>
        <v>7400.9372916666662</v>
      </c>
      <c r="M192" s="83"/>
      <c r="N192" s="90">
        <v>25</v>
      </c>
      <c r="O192" s="115">
        <f t="shared" si="62"/>
        <v>12153.937291666665</v>
      </c>
      <c r="P192" s="84">
        <f>+F192-O192</f>
        <v>67846.062708333338</v>
      </c>
      <c r="Q192" s="264"/>
    </row>
    <row r="193" spans="1:18" s="41" customFormat="1" ht="27" customHeight="1" x14ac:dyDescent="0.25">
      <c r="A193" s="81">
        <f t="shared" si="79"/>
        <v>103</v>
      </c>
      <c r="B193" s="116" t="s">
        <v>285</v>
      </c>
      <c r="C193" s="38" t="s">
        <v>426</v>
      </c>
      <c r="D193" s="116" t="s">
        <v>66</v>
      </c>
      <c r="E193" s="116" t="s">
        <v>122</v>
      </c>
      <c r="F193" s="118">
        <v>50000</v>
      </c>
      <c r="G193" s="88">
        <f>F193*2.87%</f>
        <v>1435</v>
      </c>
      <c r="H193" s="88">
        <f>+F193*3.04%</f>
        <v>1520</v>
      </c>
      <c r="I193" s="88">
        <v>1577.45</v>
      </c>
      <c r="J193" s="83">
        <f t="shared" si="59"/>
        <v>4532.45</v>
      </c>
      <c r="K193" s="83">
        <f t="shared" si="63"/>
        <v>45467.55</v>
      </c>
      <c r="L193" s="83">
        <f t="shared" si="78"/>
        <v>1617.382375000001</v>
      </c>
      <c r="M193" s="83"/>
      <c r="N193" s="84">
        <v>13526.36</v>
      </c>
      <c r="O193" s="115">
        <f t="shared" si="62"/>
        <v>19676.192375000002</v>
      </c>
      <c r="P193" s="90">
        <f>+F193-O193</f>
        <v>30323.807624999998</v>
      </c>
      <c r="Q193" s="264"/>
      <c r="R193" s="55"/>
    </row>
    <row r="194" spans="1:18" s="55" customFormat="1" ht="30" customHeight="1" x14ac:dyDescent="0.25">
      <c r="A194" s="226" t="s">
        <v>125</v>
      </c>
      <c r="B194" s="227"/>
      <c r="C194" s="227"/>
      <c r="D194" s="227"/>
      <c r="E194" s="228"/>
      <c r="F194" s="39">
        <f>SUM(F190:F193)</f>
        <v>330000</v>
      </c>
      <c r="G194" s="39">
        <f>SUM(G190:G193)</f>
        <v>9471</v>
      </c>
      <c r="H194" s="39">
        <f>SUM(H190:H193)</f>
        <v>10032</v>
      </c>
      <c r="I194" s="39">
        <f>SUM(I190:I193)</f>
        <v>3154.9</v>
      </c>
      <c r="J194" s="39">
        <f t="shared" ref="J194:M194" si="80">SUM(J190:J193)</f>
        <v>22657.9</v>
      </c>
      <c r="K194" s="39">
        <f>SUM(K190:K193)</f>
        <v>307342.09999999998</v>
      </c>
      <c r="L194" s="39">
        <f>SUM(L190:L193)</f>
        <v>32834.831749999998</v>
      </c>
      <c r="M194" s="39">
        <f t="shared" si="80"/>
        <v>0</v>
      </c>
      <c r="N194" s="39">
        <f>SUM(N190:N193)</f>
        <v>21201.360000000001</v>
      </c>
      <c r="O194" s="39">
        <f>SUM(O190:O193)</f>
        <v>76694.091750000007</v>
      </c>
      <c r="P194" s="39">
        <f>SUM(P190:P193)</f>
        <v>253305.90824999998</v>
      </c>
      <c r="Q194" s="264"/>
    </row>
    <row r="195" spans="1:18" s="93" customFormat="1" ht="30" customHeight="1" thickBot="1" x14ac:dyDescent="0.3">
      <c r="A195" s="43"/>
      <c r="B195" s="50"/>
      <c r="C195" s="149"/>
      <c r="D195" s="50"/>
      <c r="E195" s="50"/>
      <c r="F195" s="5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267"/>
    </row>
    <row r="196" spans="1:18" s="55" customFormat="1" ht="30" customHeight="1" thickBot="1" x14ac:dyDescent="0.3">
      <c r="A196" s="229" t="s">
        <v>92</v>
      </c>
      <c r="B196" s="230"/>
      <c r="C196" s="230"/>
      <c r="D196" s="230"/>
      <c r="E196" s="230"/>
      <c r="F196" s="230"/>
      <c r="G196" s="230"/>
      <c r="H196" s="230"/>
      <c r="I196" s="230"/>
      <c r="J196" s="230"/>
      <c r="K196" s="230"/>
      <c r="L196" s="230"/>
      <c r="M196" s="230"/>
      <c r="N196" s="230"/>
      <c r="O196" s="230"/>
      <c r="P196" s="230"/>
      <c r="Q196" s="264"/>
    </row>
    <row r="197" spans="1:18" s="41" customFormat="1" ht="30" customHeight="1" x14ac:dyDescent="0.25">
      <c r="A197" s="86">
        <f>+A193+1</f>
        <v>104</v>
      </c>
      <c r="B197" s="121" t="s">
        <v>74</v>
      </c>
      <c r="C197" s="131" t="s">
        <v>426</v>
      </c>
      <c r="D197" s="132" t="s">
        <v>600</v>
      </c>
      <c r="E197" s="121" t="s">
        <v>121</v>
      </c>
      <c r="F197" s="118">
        <v>110000</v>
      </c>
      <c r="G197" s="88">
        <f t="shared" ref="G197:G200" si="81">F197*2.87%</f>
        <v>3157</v>
      </c>
      <c r="H197" s="88">
        <f t="shared" ref="H197:H200" si="82">+F197*3.04%</f>
        <v>3344</v>
      </c>
      <c r="I197" s="88"/>
      <c r="J197" s="83">
        <f t="shared" si="59"/>
        <v>6501</v>
      </c>
      <c r="K197" s="83">
        <f t="shared" si="63"/>
        <v>103499</v>
      </c>
      <c r="L197" s="83">
        <f>+IF(K197*12&lt;=416220.01,0,IF(K197*12&lt;=624329.01,(((K197*12-416220.01)*0.15)/12),IF((K197*12&lt;=867123.01),(31216+0.2*(K197*12-624329.01))/12,((79776+0.25*(K197*12-867123.01))/12))))-M197</f>
        <v>14457.687291666667</v>
      </c>
      <c r="M197" s="83"/>
      <c r="N197" s="84">
        <v>3025</v>
      </c>
      <c r="O197" s="115">
        <f t="shared" si="62"/>
        <v>23983.687291666669</v>
      </c>
      <c r="P197" s="84">
        <f t="shared" ref="P197:P202" si="83">+F197-O197</f>
        <v>86016.312708333338</v>
      </c>
      <c r="Q197" s="264"/>
      <c r="R197" s="55"/>
    </row>
    <row r="198" spans="1:18" s="55" customFormat="1" ht="30" customHeight="1" x14ac:dyDescent="0.25">
      <c r="A198" s="86">
        <f t="shared" ref="A198:A201" si="84">+A197+1</f>
        <v>105</v>
      </c>
      <c r="B198" s="116" t="s">
        <v>86</v>
      </c>
      <c r="C198" s="38" t="s">
        <v>426</v>
      </c>
      <c r="D198" s="117" t="s">
        <v>289</v>
      </c>
      <c r="E198" s="116" t="s">
        <v>121</v>
      </c>
      <c r="F198" s="118">
        <v>80000</v>
      </c>
      <c r="G198" s="88">
        <f t="shared" si="81"/>
        <v>2296</v>
      </c>
      <c r="H198" s="88">
        <f t="shared" si="82"/>
        <v>2432</v>
      </c>
      <c r="I198" s="88">
        <v>1577.45</v>
      </c>
      <c r="J198" s="83">
        <f t="shared" si="59"/>
        <v>6305.45</v>
      </c>
      <c r="K198" s="83">
        <f t="shared" si="63"/>
        <v>73694.55</v>
      </c>
      <c r="L198" s="83">
        <f t="shared" ref="L198:L202" si="85">+IF(K198*12&lt;=416220.01,0,IF(K198*12&lt;=624329.01,(((K198*12-416220.01)*0.15)/12),IF((K198*12&lt;=867123.01),(31216+0.2*(K198*12-624329.01))/12,((79776+0.25*(K198*12-867123.01))/12))))-M198</f>
        <v>7006.5747916666687</v>
      </c>
      <c r="M198" s="83"/>
      <c r="N198" s="90">
        <v>25</v>
      </c>
      <c r="O198" s="115">
        <f t="shared" si="62"/>
        <v>13337.024791666669</v>
      </c>
      <c r="P198" s="84">
        <f t="shared" si="83"/>
        <v>66662.97520833333</v>
      </c>
      <c r="Q198" s="264"/>
    </row>
    <row r="199" spans="1:18" s="41" customFormat="1" ht="31.5" customHeight="1" x14ac:dyDescent="0.25">
      <c r="A199" s="86">
        <f>+A198+1</f>
        <v>106</v>
      </c>
      <c r="B199" s="116" t="s">
        <v>73</v>
      </c>
      <c r="C199" s="38" t="s">
        <v>426</v>
      </c>
      <c r="D199" s="117" t="s">
        <v>600</v>
      </c>
      <c r="E199" s="116" t="s">
        <v>121</v>
      </c>
      <c r="F199" s="118">
        <v>110000</v>
      </c>
      <c r="G199" s="88">
        <f t="shared" si="81"/>
        <v>3157</v>
      </c>
      <c r="H199" s="88">
        <f t="shared" si="82"/>
        <v>3344</v>
      </c>
      <c r="I199" s="88"/>
      <c r="J199" s="83">
        <f t="shared" si="59"/>
        <v>6501</v>
      </c>
      <c r="K199" s="83">
        <f t="shared" si="63"/>
        <v>103499</v>
      </c>
      <c r="L199" s="83">
        <f t="shared" si="85"/>
        <v>14457.687291666667</v>
      </c>
      <c r="M199" s="83"/>
      <c r="N199" s="90">
        <v>2025</v>
      </c>
      <c r="O199" s="115">
        <f>+N199+I199+H199+G199+L199</f>
        <v>22983.687291666669</v>
      </c>
      <c r="P199" s="84">
        <f t="shared" si="83"/>
        <v>87016.312708333338</v>
      </c>
      <c r="Q199" s="264"/>
      <c r="R199" s="55"/>
    </row>
    <row r="200" spans="1:18" s="41" customFormat="1" ht="33" customHeight="1" x14ac:dyDescent="0.25">
      <c r="A200" s="86">
        <f t="shared" si="84"/>
        <v>107</v>
      </c>
      <c r="B200" s="116" t="s">
        <v>263</v>
      </c>
      <c r="C200" s="38" t="s">
        <v>426</v>
      </c>
      <c r="D200" s="117" t="s">
        <v>289</v>
      </c>
      <c r="E200" s="116" t="s">
        <v>121</v>
      </c>
      <c r="F200" s="118">
        <v>80000</v>
      </c>
      <c r="G200" s="88">
        <f t="shared" si="81"/>
        <v>2296</v>
      </c>
      <c r="H200" s="88">
        <f t="shared" si="82"/>
        <v>2432</v>
      </c>
      <c r="I200" s="88"/>
      <c r="J200" s="83">
        <f t="shared" si="59"/>
        <v>4728</v>
      </c>
      <c r="K200" s="83">
        <f t="shared" si="63"/>
        <v>75272</v>
      </c>
      <c r="L200" s="83">
        <f t="shared" si="85"/>
        <v>7400.9372916666662</v>
      </c>
      <c r="M200" s="83"/>
      <c r="N200" s="90">
        <v>3775</v>
      </c>
      <c r="O200" s="115">
        <f t="shared" si="62"/>
        <v>15903.937291666665</v>
      </c>
      <c r="P200" s="84">
        <f t="shared" si="83"/>
        <v>64096.062708333338</v>
      </c>
      <c r="Q200" s="264"/>
      <c r="R200" s="55"/>
    </row>
    <row r="201" spans="1:18" s="55" customFormat="1" ht="30" customHeight="1" x14ac:dyDescent="0.25">
      <c r="A201" s="81">
        <f t="shared" si="84"/>
        <v>108</v>
      </c>
      <c r="B201" s="181" t="s">
        <v>286</v>
      </c>
      <c r="C201" s="182" t="s">
        <v>426</v>
      </c>
      <c r="D201" s="117" t="s">
        <v>289</v>
      </c>
      <c r="E201" s="116" t="s">
        <v>121</v>
      </c>
      <c r="F201" s="118">
        <v>80000</v>
      </c>
      <c r="G201" s="118">
        <f>F201*2.87%</f>
        <v>2296</v>
      </c>
      <c r="H201" s="88">
        <f>+F201*3.04%</f>
        <v>2432</v>
      </c>
      <c r="I201" s="88">
        <v>3154.9</v>
      </c>
      <c r="J201" s="83">
        <f t="shared" si="59"/>
        <v>7882.9</v>
      </c>
      <c r="K201" s="83">
        <f t="shared" si="63"/>
        <v>72117.100000000006</v>
      </c>
      <c r="L201" s="83">
        <f t="shared" si="85"/>
        <v>6619.2698333333346</v>
      </c>
      <c r="M201" s="83"/>
      <c r="N201" s="90">
        <v>3775</v>
      </c>
      <c r="O201" s="115">
        <f t="shared" si="62"/>
        <v>18277.169833333333</v>
      </c>
      <c r="P201" s="84">
        <f t="shared" si="83"/>
        <v>61722.830166666667</v>
      </c>
      <c r="Q201" s="264"/>
    </row>
    <row r="202" spans="1:18" s="41" customFormat="1" ht="30" customHeight="1" x14ac:dyDescent="0.25">
      <c r="A202" s="131">
        <v>105</v>
      </c>
      <c r="B202" s="116" t="s">
        <v>138</v>
      </c>
      <c r="C202" s="38" t="s">
        <v>426</v>
      </c>
      <c r="D202" s="116" t="s">
        <v>66</v>
      </c>
      <c r="E202" s="116" t="s">
        <v>231</v>
      </c>
      <c r="F202" s="118">
        <v>45000</v>
      </c>
      <c r="G202" s="118">
        <f>F202*2.87%</f>
        <v>1291.5</v>
      </c>
      <c r="H202" s="118">
        <f>+F202*3.04%</f>
        <v>1368</v>
      </c>
      <c r="I202" s="118"/>
      <c r="J202" s="83">
        <f t="shared" si="59"/>
        <v>2659.5</v>
      </c>
      <c r="K202" s="83">
        <f t="shared" si="63"/>
        <v>42340.5</v>
      </c>
      <c r="L202" s="83">
        <f t="shared" si="85"/>
        <v>1148.3248749999998</v>
      </c>
      <c r="M202" s="83"/>
      <c r="N202" s="119">
        <f>1000+25</f>
        <v>1025</v>
      </c>
      <c r="O202" s="115">
        <f t="shared" si="62"/>
        <v>4832.8248750000002</v>
      </c>
      <c r="P202" s="119">
        <f t="shared" si="83"/>
        <v>40167.175125000002</v>
      </c>
      <c r="Q202" s="264"/>
      <c r="R202" s="55"/>
    </row>
    <row r="203" spans="1:18" s="41" customFormat="1" ht="37.5" customHeight="1" x14ac:dyDescent="0.25">
      <c r="A203" s="226" t="s">
        <v>125</v>
      </c>
      <c r="B203" s="227"/>
      <c r="C203" s="227"/>
      <c r="D203" s="227"/>
      <c r="E203" s="228"/>
      <c r="F203" s="39">
        <f t="shared" ref="F203:P203" si="86">SUM(F197:F202)</f>
        <v>505000</v>
      </c>
      <c r="G203" s="39">
        <f t="shared" si="86"/>
        <v>14493.5</v>
      </c>
      <c r="H203" s="39">
        <f t="shared" si="86"/>
        <v>15352</v>
      </c>
      <c r="I203" s="39">
        <f t="shared" si="86"/>
        <v>4732.3500000000004</v>
      </c>
      <c r="J203" s="39">
        <f t="shared" si="86"/>
        <v>34577.85</v>
      </c>
      <c r="K203" s="39">
        <f t="shared" si="86"/>
        <v>470422.15</v>
      </c>
      <c r="L203" s="39">
        <f t="shared" si="86"/>
        <v>51090.481375000003</v>
      </c>
      <c r="M203" s="39">
        <f t="shared" si="86"/>
        <v>0</v>
      </c>
      <c r="N203" s="39">
        <f t="shared" si="86"/>
        <v>13650</v>
      </c>
      <c r="O203" s="39">
        <f t="shared" si="86"/>
        <v>99318.331375000009</v>
      </c>
      <c r="P203" s="39">
        <f t="shared" si="86"/>
        <v>405681.66862499999</v>
      </c>
      <c r="Q203" s="264"/>
      <c r="R203" s="55"/>
    </row>
    <row r="204" spans="1:18" s="41" customFormat="1" ht="28.5" customHeight="1" thickBot="1" x14ac:dyDescent="0.3">
      <c r="A204" s="52"/>
      <c r="B204" s="52"/>
      <c r="C204" s="52"/>
      <c r="D204" s="52"/>
      <c r="E204" s="52"/>
      <c r="F204"/>
      <c r="G204"/>
      <c r="H204"/>
      <c r="I204"/>
      <c r="J204"/>
      <c r="K204"/>
      <c r="L204"/>
      <c r="M204"/>
      <c r="N204"/>
      <c r="O204"/>
      <c r="P204"/>
      <c r="Q204" s="264"/>
      <c r="R204" s="55"/>
    </row>
    <row r="205" spans="1:18" s="41" customFormat="1" ht="30" customHeight="1" thickBot="1" x14ac:dyDescent="0.3">
      <c r="A205" s="229" t="s">
        <v>207</v>
      </c>
      <c r="B205" s="230"/>
      <c r="C205" s="230"/>
      <c r="D205" s="230"/>
      <c r="E205" s="230"/>
      <c r="F205" s="230"/>
      <c r="G205" s="230"/>
      <c r="H205" s="230"/>
      <c r="I205" s="230"/>
      <c r="J205" s="230"/>
      <c r="K205" s="230"/>
      <c r="L205" s="230"/>
      <c r="M205" s="230"/>
      <c r="N205" s="230"/>
      <c r="O205" s="230"/>
      <c r="P205" s="230"/>
      <c r="Q205" s="264"/>
      <c r="R205" s="55"/>
    </row>
    <row r="206" spans="1:18" s="55" customFormat="1" ht="30" customHeight="1" x14ac:dyDescent="0.25">
      <c r="A206" s="131">
        <f>+A201+1</f>
        <v>109</v>
      </c>
      <c r="B206" s="121" t="s">
        <v>184</v>
      </c>
      <c r="C206" s="131" t="s">
        <v>426</v>
      </c>
      <c r="D206" s="121" t="s">
        <v>291</v>
      </c>
      <c r="E206" s="121" t="s">
        <v>121</v>
      </c>
      <c r="F206" s="144">
        <v>55000</v>
      </c>
      <c r="G206" s="83">
        <f>F206*2.87%</f>
        <v>1578.5</v>
      </c>
      <c r="H206" s="83">
        <f>+F206*3.04%</f>
        <v>1672</v>
      </c>
      <c r="I206" s="145"/>
      <c r="J206" s="83">
        <f t="shared" ref="J206:J263" si="87">+G206+H206+I206</f>
        <v>3250.5</v>
      </c>
      <c r="K206" s="83">
        <f t="shared" si="63"/>
        <v>51749.5</v>
      </c>
      <c r="L206" s="83">
        <f t="shared" ref="L206:L210" si="88">+IF(K206*12&lt;=416220.01,0,IF(K206*12&lt;=624329.01,(((K206*12-416220.01)*0.15)/12),IF((K206*12&lt;=867123.01),(31216+0.2*(K206*12-624329.01))/12,((79776+0.25*(K206*12-867123.01))/12))))</f>
        <v>2559.6748749999997</v>
      </c>
      <c r="M206" s="83"/>
      <c r="N206" s="84">
        <v>11290.95</v>
      </c>
      <c r="O206" s="115">
        <f t="shared" ref="O206:O263" si="89">+N206+I206+H206+G206+L206</f>
        <v>17101.124875000001</v>
      </c>
      <c r="P206" s="84">
        <f>+F206-O206</f>
        <v>37898.875124999999</v>
      </c>
      <c r="Q206" s="264"/>
    </row>
    <row r="207" spans="1:18" s="41" customFormat="1" ht="30" customHeight="1" x14ac:dyDescent="0.25">
      <c r="A207" s="226" t="s">
        <v>125</v>
      </c>
      <c r="B207" s="227"/>
      <c r="C207" s="227"/>
      <c r="D207" s="227"/>
      <c r="E207" s="228"/>
      <c r="F207" s="39">
        <f t="shared" ref="F207:P207" si="90">+F206</f>
        <v>55000</v>
      </c>
      <c r="G207" s="39">
        <f t="shared" si="90"/>
        <v>1578.5</v>
      </c>
      <c r="H207" s="39">
        <f t="shared" si="90"/>
        <v>1672</v>
      </c>
      <c r="I207" s="39">
        <f t="shared" si="90"/>
        <v>0</v>
      </c>
      <c r="J207" s="39">
        <f t="shared" si="90"/>
        <v>3250.5</v>
      </c>
      <c r="K207" s="39">
        <f t="shared" si="90"/>
        <v>51749.5</v>
      </c>
      <c r="L207" s="39">
        <f t="shared" si="90"/>
        <v>2559.6748749999997</v>
      </c>
      <c r="M207" s="39"/>
      <c r="N207" s="39">
        <f t="shared" si="90"/>
        <v>11290.95</v>
      </c>
      <c r="O207" s="39">
        <f t="shared" si="90"/>
        <v>17101.124875000001</v>
      </c>
      <c r="P207" s="39">
        <f t="shared" si="90"/>
        <v>37898.875124999999</v>
      </c>
      <c r="Q207" s="264"/>
      <c r="R207" s="55"/>
    </row>
    <row r="208" spans="1:18" s="41" customFormat="1" ht="30" customHeight="1" thickBot="1" x14ac:dyDescent="0.3">
      <c r="A208" s="52"/>
      <c r="B208" s="52"/>
      <c r="C208" s="52"/>
      <c r="D208" s="52"/>
      <c r="E208" s="52"/>
      <c r="F208" s="66"/>
      <c r="G208"/>
      <c r="H208"/>
      <c r="I208"/>
      <c r="J208"/>
      <c r="K208"/>
      <c r="L208"/>
      <c r="M208"/>
      <c r="N208"/>
      <c r="O208"/>
      <c r="P208"/>
      <c r="Q208" s="264"/>
      <c r="R208" s="55"/>
    </row>
    <row r="209" spans="1:18" s="55" customFormat="1" ht="30" customHeight="1" thickBot="1" x14ac:dyDescent="0.3">
      <c r="A209" s="229" t="s">
        <v>295</v>
      </c>
      <c r="B209" s="230"/>
      <c r="C209" s="230"/>
      <c r="D209" s="230"/>
      <c r="E209" s="230"/>
      <c r="F209" s="230"/>
      <c r="G209" s="230"/>
      <c r="H209" s="230"/>
      <c r="I209" s="230"/>
      <c r="J209" s="230"/>
      <c r="K209" s="230"/>
      <c r="L209" s="230"/>
      <c r="M209" s="230"/>
      <c r="N209" s="230"/>
      <c r="O209" s="230"/>
      <c r="P209" s="230"/>
      <c r="Q209" s="264"/>
    </row>
    <row r="210" spans="1:18" s="85" customFormat="1" ht="30" customHeight="1" x14ac:dyDescent="0.25">
      <c r="A210" s="81">
        <f>+A206+1</f>
        <v>110</v>
      </c>
      <c r="B210" s="121" t="s">
        <v>11</v>
      </c>
      <c r="C210" s="131" t="s">
        <v>426</v>
      </c>
      <c r="D210" s="132" t="s">
        <v>111</v>
      </c>
      <c r="E210" s="121" t="s">
        <v>121</v>
      </c>
      <c r="F210" s="115">
        <v>190000</v>
      </c>
      <c r="G210" s="115">
        <f>F210*2.87%</f>
        <v>5453</v>
      </c>
      <c r="H210" s="83">
        <f>187020*3.04%</f>
        <v>5685.4080000000004</v>
      </c>
      <c r="I210" s="83"/>
      <c r="J210" s="83">
        <f t="shared" si="87"/>
        <v>11138.407999999999</v>
      </c>
      <c r="K210" s="83">
        <f t="shared" ref="K210:K268" si="91">+F210-J210</f>
        <v>178861.592</v>
      </c>
      <c r="L210" s="83">
        <f t="shared" si="88"/>
        <v>33298.33529166667</v>
      </c>
      <c r="M210" s="83"/>
      <c r="N210" s="84">
        <v>25</v>
      </c>
      <c r="O210" s="115">
        <f t="shared" si="89"/>
        <v>44461.743291666673</v>
      </c>
      <c r="P210" s="84">
        <f>+F210-O210</f>
        <v>145538.25670833333</v>
      </c>
      <c r="Q210" s="263"/>
    </row>
    <row r="211" spans="1:18" s="55" customFormat="1" ht="30" customHeight="1" x14ac:dyDescent="0.25">
      <c r="A211" s="38">
        <f>+A210+1</f>
        <v>111</v>
      </c>
      <c r="B211" s="116" t="s">
        <v>101</v>
      </c>
      <c r="C211" s="38" t="s">
        <v>425</v>
      </c>
      <c r="D211" s="116" t="s">
        <v>96</v>
      </c>
      <c r="E211" s="116" t="s">
        <v>122</v>
      </c>
      <c r="F211" s="118">
        <v>70000</v>
      </c>
      <c r="G211" s="118">
        <f t="shared" ref="G211" si="92">F211*2.87%</f>
        <v>2009</v>
      </c>
      <c r="H211" s="118">
        <f t="shared" ref="H211" si="93">+F211*3.04%</f>
        <v>2128</v>
      </c>
      <c r="I211" s="118">
        <v>1577.45</v>
      </c>
      <c r="J211" s="83">
        <f>+G211+H211+I211</f>
        <v>5714.45</v>
      </c>
      <c r="K211" s="83">
        <f>+F211-J211</f>
        <v>64285.55</v>
      </c>
      <c r="L211" s="83">
        <f>+IF(K211*12&lt;=416220.01,0,IF(K211*12&lt;=624329.01,(((K211*12-416220.01)*0.15)/12),IF((K211*12&lt;=867123.01),(31216+0.2*(K211*12-624329.01))/12,((79776+0.25*(K211*12-867123.01))/12))))-M211</f>
        <v>5052.9598333333352</v>
      </c>
      <c r="M211" s="83"/>
      <c r="N211" s="119">
        <v>7169.43</v>
      </c>
      <c r="O211" s="115">
        <f>+N211+I211+H211+G211+L211</f>
        <v>17936.839833333335</v>
      </c>
      <c r="P211" s="119">
        <f>+F211-O211</f>
        <v>52063.160166666668</v>
      </c>
      <c r="Q211" s="264"/>
    </row>
    <row r="212" spans="1:18" s="41" customFormat="1" ht="30" customHeight="1" thickBot="1" x14ac:dyDescent="0.3">
      <c r="A212" s="226" t="s">
        <v>125</v>
      </c>
      <c r="B212" s="227"/>
      <c r="C212" s="227"/>
      <c r="D212" s="227"/>
      <c r="E212" s="228"/>
      <c r="F212" s="39">
        <f>+SUM(F210:F211)</f>
        <v>260000</v>
      </c>
      <c r="G212" s="39">
        <f t="shared" ref="G212:P212" si="94">+SUM(G210:G211)</f>
        <v>7462</v>
      </c>
      <c r="H212" s="39">
        <f t="shared" si="94"/>
        <v>7813.4080000000004</v>
      </c>
      <c r="I212" s="39">
        <f t="shared" si="94"/>
        <v>1577.45</v>
      </c>
      <c r="J212" s="39">
        <f t="shared" si="94"/>
        <v>16852.858</v>
      </c>
      <c r="K212" s="39">
        <f t="shared" si="94"/>
        <v>243147.14199999999</v>
      </c>
      <c r="L212" s="39">
        <f t="shared" si="94"/>
        <v>38351.295125000004</v>
      </c>
      <c r="M212" s="39">
        <f t="shared" si="94"/>
        <v>0</v>
      </c>
      <c r="N212" s="39">
        <f t="shared" si="94"/>
        <v>7194.43</v>
      </c>
      <c r="O212" s="39">
        <f t="shared" si="94"/>
        <v>62398.583125000005</v>
      </c>
      <c r="P212" s="39">
        <f t="shared" si="94"/>
        <v>197601.416875</v>
      </c>
      <c r="Q212" s="264"/>
      <c r="R212" s="55"/>
    </row>
    <row r="213" spans="1:18" s="41" customFormat="1" ht="30" customHeight="1" thickBot="1" x14ac:dyDescent="0.3">
      <c r="A213" s="234" t="s">
        <v>296</v>
      </c>
      <c r="B213" s="235"/>
      <c r="C213" s="235"/>
      <c r="D213" s="235"/>
      <c r="E213" s="235"/>
      <c r="F213" s="235"/>
      <c r="G213" s="235"/>
      <c r="H213" s="235"/>
      <c r="I213" s="235"/>
      <c r="J213" s="235"/>
      <c r="K213" s="235"/>
      <c r="L213" s="235"/>
      <c r="M213" s="235"/>
      <c r="N213" s="235"/>
      <c r="O213" s="235"/>
      <c r="P213" s="235"/>
      <c r="Q213" s="264"/>
      <c r="R213" s="55"/>
    </row>
    <row r="214" spans="1:18" s="49" customFormat="1" ht="30" customHeight="1" x14ac:dyDescent="0.25">
      <c r="A214" s="81">
        <f>+A211+1</f>
        <v>112</v>
      </c>
      <c r="B214" s="121" t="s">
        <v>12</v>
      </c>
      <c r="C214" s="131" t="s">
        <v>426</v>
      </c>
      <c r="D214" s="157" t="s">
        <v>112</v>
      </c>
      <c r="E214" s="116" t="s">
        <v>121</v>
      </c>
      <c r="F214" s="115">
        <v>135000</v>
      </c>
      <c r="G214" s="83">
        <f>F214*2.87%</f>
        <v>3874.5</v>
      </c>
      <c r="H214" s="83">
        <f>+F214*3.04%</f>
        <v>4104</v>
      </c>
      <c r="I214" s="83"/>
      <c r="J214" s="83">
        <f t="shared" si="87"/>
        <v>7978.5</v>
      </c>
      <c r="K214" s="83">
        <f t="shared" si="91"/>
        <v>127021.5</v>
      </c>
      <c r="L214" s="83">
        <f>+IF(K214*12&lt;=416220.01,0,IF(K214*12&lt;=624329.01,(((K214*12-416220.01)*0.15)/12),IF((K214*12&lt;=867123.01),(31216+0.2*(K214*12-624329.01))/12,((79776+0.25*(K214*12-867123.01))/12))))-M214</f>
        <v>20338.312291666665</v>
      </c>
      <c r="M214" s="83"/>
      <c r="N214" s="84">
        <v>2185</v>
      </c>
      <c r="O214" s="115">
        <f t="shared" si="89"/>
        <v>30501.812291666665</v>
      </c>
      <c r="P214" s="84">
        <f>+F214-O214</f>
        <v>104498.18770833334</v>
      </c>
      <c r="Q214" s="267"/>
      <c r="R214" s="93"/>
    </row>
    <row r="215" spans="1:18" s="42" customFormat="1" ht="30" customHeight="1" x14ac:dyDescent="0.25">
      <c r="A215" s="86">
        <f>+A214+1</f>
        <v>113</v>
      </c>
      <c r="B215" s="116" t="s">
        <v>297</v>
      </c>
      <c r="C215" s="38" t="s">
        <v>425</v>
      </c>
      <c r="D215" s="116" t="s">
        <v>113</v>
      </c>
      <c r="E215" s="116" t="s">
        <v>122</v>
      </c>
      <c r="F215" s="118">
        <v>70000</v>
      </c>
      <c r="G215" s="88">
        <f>F215*2.87%</f>
        <v>2009</v>
      </c>
      <c r="H215" s="88">
        <f>+F215*3.04%</f>
        <v>2128</v>
      </c>
      <c r="I215" s="83"/>
      <c r="J215" s="83">
        <f t="shared" si="87"/>
        <v>4137</v>
      </c>
      <c r="K215" s="83">
        <f t="shared" si="91"/>
        <v>65863</v>
      </c>
      <c r="L215" s="83">
        <f t="shared" ref="L215:L216" si="95">+IF(K215*12&lt;=416220.01,0,IF(K215*12&lt;=624329.01,(((K215*12-416220.01)*0.15)/12),IF((K215*12&lt;=867123.01),(31216+0.2*(K215*12-624329.01))/12,((79776+0.25*(K215*12-867123.01))/12))))-M215</f>
        <v>5368.4498333333331</v>
      </c>
      <c r="M215" s="83"/>
      <c r="N215" s="84">
        <f>21844.41+25</f>
        <v>21869.41</v>
      </c>
      <c r="O215" s="115">
        <f t="shared" si="89"/>
        <v>31374.859833333332</v>
      </c>
      <c r="P215" s="84">
        <f>+F215-O215</f>
        <v>38625.140166666664</v>
      </c>
      <c r="Q215" s="265"/>
      <c r="R215" s="92"/>
    </row>
    <row r="216" spans="1:18" s="55" customFormat="1" ht="30" customHeight="1" x14ac:dyDescent="0.25">
      <c r="A216" s="81">
        <f>+A215+1</f>
        <v>114</v>
      </c>
      <c r="B216" s="116" t="s">
        <v>351</v>
      </c>
      <c r="C216" s="38" t="s">
        <v>426</v>
      </c>
      <c r="D216" s="116" t="s">
        <v>520</v>
      </c>
      <c r="E216" s="116" t="s">
        <v>121</v>
      </c>
      <c r="F216" s="118">
        <v>45000</v>
      </c>
      <c r="G216" s="88">
        <f>F216*2.87%</f>
        <v>1291.5</v>
      </c>
      <c r="H216" s="88">
        <f>+F216*3.04%</f>
        <v>1368</v>
      </c>
      <c r="I216" s="88"/>
      <c r="J216" s="83">
        <f t="shared" si="87"/>
        <v>2659.5</v>
      </c>
      <c r="K216" s="83">
        <f t="shared" si="91"/>
        <v>42340.5</v>
      </c>
      <c r="L216" s="83">
        <f t="shared" si="95"/>
        <v>1148.3248749999998</v>
      </c>
      <c r="M216" s="83"/>
      <c r="N216" s="84">
        <v>65</v>
      </c>
      <c r="O216" s="115">
        <f t="shared" si="89"/>
        <v>3872.8248749999998</v>
      </c>
      <c r="P216" s="90">
        <f>+F216-O216</f>
        <v>41127.175125000002</v>
      </c>
      <c r="Q216" s="264"/>
    </row>
    <row r="217" spans="1:18" s="41" customFormat="1" ht="30" customHeight="1" x14ac:dyDescent="0.25">
      <c r="A217" s="226" t="s">
        <v>125</v>
      </c>
      <c r="B217" s="227"/>
      <c r="C217" s="227"/>
      <c r="D217" s="227"/>
      <c r="E217" s="228"/>
      <c r="F217" s="39">
        <f t="shared" ref="F217:P217" si="96">SUM(F214:F216)</f>
        <v>250000</v>
      </c>
      <c r="G217" s="39">
        <f t="shared" si="96"/>
        <v>7175</v>
      </c>
      <c r="H217" s="39">
        <f t="shared" si="96"/>
        <v>7600</v>
      </c>
      <c r="I217" s="39">
        <f t="shared" si="96"/>
        <v>0</v>
      </c>
      <c r="J217" s="39">
        <f t="shared" si="96"/>
        <v>14775</v>
      </c>
      <c r="K217" s="39">
        <f t="shared" si="96"/>
        <v>235225</v>
      </c>
      <c r="L217" s="39">
        <f t="shared" si="96"/>
        <v>26855.086999999996</v>
      </c>
      <c r="M217" s="39">
        <f t="shared" si="96"/>
        <v>0</v>
      </c>
      <c r="N217" s="39">
        <f t="shared" si="96"/>
        <v>24119.41</v>
      </c>
      <c r="O217" s="39">
        <f t="shared" si="96"/>
        <v>65749.497000000003</v>
      </c>
      <c r="P217" s="39">
        <f t="shared" si="96"/>
        <v>184250.50300000003</v>
      </c>
      <c r="Q217" s="264"/>
      <c r="R217" s="55"/>
    </row>
    <row r="218" spans="1:18" s="41" customFormat="1" ht="30" customHeight="1" thickBot="1" x14ac:dyDescent="0.3">
      <c r="A218" s="46"/>
      <c r="B218" s="44"/>
      <c r="C218" s="46"/>
      <c r="D218" s="45"/>
      <c r="E218" s="45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264"/>
      <c r="R218" s="55"/>
    </row>
    <row r="219" spans="1:18" s="41" customFormat="1" ht="30" customHeight="1" thickBot="1" x14ac:dyDescent="0.3">
      <c r="A219" s="234" t="s">
        <v>298</v>
      </c>
      <c r="B219" s="235"/>
      <c r="C219" s="235"/>
      <c r="D219" s="235"/>
      <c r="E219" s="235"/>
      <c r="F219" s="235"/>
      <c r="G219" s="235"/>
      <c r="H219" s="235"/>
      <c r="I219" s="235"/>
      <c r="J219" s="235"/>
      <c r="K219" s="235"/>
      <c r="L219" s="235"/>
      <c r="M219" s="235"/>
      <c r="N219" s="235"/>
      <c r="O219" s="235"/>
      <c r="P219" s="235"/>
      <c r="Q219" s="264"/>
      <c r="R219" s="55"/>
    </row>
    <row r="220" spans="1:18" s="55" customFormat="1" ht="30" customHeight="1" x14ac:dyDescent="0.25">
      <c r="A220" s="86">
        <f>+A216+1</f>
        <v>115</v>
      </c>
      <c r="B220" s="116" t="s">
        <v>299</v>
      </c>
      <c r="C220" s="38" t="s">
        <v>425</v>
      </c>
      <c r="D220" s="116" t="s">
        <v>93</v>
      </c>
      <c r="E220" s="116" t="s">
        <v>199</v>
      </c>
      <c r="F220" s="118">
        <v>100000</v>
      </c>
      <c r="G220" s="118">
        <f>F220*2.87%</f>
        <v>2870</v>
      </c>
      <c r="H220" s="118">
        <f>+F220*3.04%</f>
        <v>3040</v>
      </c>
      <c r="I220" s="118"/>
      <c r="J220" s="83">
        <f t="shared" si="87"/>
        <v>5910</v>
      </c>
      <c r="K220" s="83">
        <f>+F220-J220</f>
        <v>94090</v>
      </c>
      <c r="L220" s="83">
        <f t="shared" ref="L220:L258" si="97">+IF(K220*12&lt;=416220.01,0,IF(K220*12&lt;=624329.01,(((K220*12-416220.01)*0.15)/12),IF((K220*12&lt;=867123.01),(31216+0.2*(K220*12-624329.01))/12,((79776+0.25*(K220*12-867123.01))/12))))</f>
        <v>12105.437291666667</v>
      </c>
      <c r="M220" s="83"/>
      <c r="N220" s="84">
        <v>25</v>
      </c>
      <c r="O220" s="115">
        <f t="shared" si="89"/>
        <v>18040.437291666669</v>
      </c>
      <c r="P220" s="84">
        <f>+F220-O220</f>
        <v>81959.562708333338</v>
      </c>
      <c r="Q220" s="264"/>
    </row>
    <row r="221" spans="1:18" s="93" customFormat="1" ht="30" customHeight="1" x14ac:dyDescent="0.25">
      <c r="A221" s="226" t="s">
        <v>125</v>
      </c>
      <c r="B221" s="227"/>
      <c r="C221" s="227"/>
      <c r="D221" s="227"/>
      <c r="E221" s="228"/>
      <c r="F221" s="39">
        <f t="shared" ref="F221:P221" si="98">SUM(F220)</f>
        <v>100000</v>
      </c>
      <c r="G221" s="39">
        <f t="shared" si="98"/>
        <v>2870</v>
      </c>
      <c r="H221" s="39">
        <f t="shared" si="98"/>
        <v>3040</v>
      </c>
      <c r="I221" s="39">
        <f t="shared" si="98"/>
        <v>0</v>
      </c>
      <c r="J221" s="39">
        <f t="shared" si="98"/>
        <v>5910</v>
      </c>
      <c r="K221" s="39">
        <f>SUM(K220)</f>
        <v>94090</v>
      </c>
      <c r="L221" s="39">
        <f t="shared" si="98"/>
        <v>12105.437291666667</v>
      </c>
      <c r="M221" s="39"/>
      <c r="N221" s="39">
        <f t="shared" si="98"/>
        <v>25</v>
      </c>
      <c r="O221" s="39">
        <f t="shared" si="98"/>
        <v>18040.437291666669</v>
      </c>
      <c r="P221" s="39">
        <f t="shared" si="98"/>
        <v>81959.562708333338</v>
      </c>
      <c r="Q221" s="267"/>
    </row>
    <row r="222" spans="1:18" s="93" customFormat="1" ht="30" customHeight="1" thickBot="1" x14ac:dyDescent="0.3">
      <c r="A222" s="52"/>
      <c r="B222" s="52"/>
      <c r="C222" s="52"/>
      <c r="D222" s="52"/>
      <c r="E222" s="5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267"/>
    </row>
    <row r="223" spans="1:18" s="41" customFormat="1" ht="30" customHeight="1" thickBot="1" x14ac:dyDescent="0.3">
      <c r="A223" s="234" t="s">
        <v>455</v>
      </c>
      <c r="B223" s="235"/>
      <c r="C223" s="235"/>
      <c r="D223" s="235"/>
      <c r="E223" s="235"/>
      <c r="F223" s="235"/>
      <c r="G223" s="235"/>
      <c r="H223" s="235"/>
      <c r="I223" s="235"/>
      <c r="J223" s="235"/>
      <c r="K223" s="235"/>
      <c r="L223" s="235"/>
      <c r="M223" s="235"/>
      <c r="N223" s="235"/>
      <c r="O223" s="235"/>
      <c r="P223" s="235"/>
      <c r="Q223" s="264"/>
      <c r="R223" s="55"/>
    </row>
    <row r="224" spans="1:18" s="41" customFormat="1" ht="30" customHeight="1" x14ac:dyDescent="0.25">
      <c r="A224" s="86">
        <f>+A220+1</f>
        <v>116</v>
      </c>
      <c r="B224" s="116" t="s">
        <v>13</v>
      </c>
      <c r="C224" s="38" t="s">
        <v>425</v>
      </c>
      <c r="D224" s="135" t="s">
        <v>93</v>
      </c>
      <c r="E224" s="116" t="s">
        <v>199</v>
      </c>
      <c r="F224" s="118">
        <v>85000</v>
      </c>
      <c r="G224" s="88">
        <v>2439.5</v>
      </c>
      <c r="H224" s="88">
        <v>2584</v>
      </c>
      <c r="I224" s="88">
        <v>1577.45</v>
      </c>
      <c r="J224" s="83">
        <f t="shared" si="87"/>
        <v>6600.95</v>
      </c>
      <c r="K224" s="83">
        <f t="shared" si="91"/>
        <v>78399.05</v>
      </c>
      <c r="L224" s="83">
        <f t="shared" si="97"/>
        <v>8182.6997916666687</v>
      </c>
      <c r="M224" s="83"/>
      <c r="N224" s="84">
        <v>4775</v>
      </c>
      <c r="O224" s="115">
        <f t="shared" si="89"/>
        <v>19558.64979166667</v>
      </c>
      <c r="P224" s="84">
        <f>+F224-O224</f>
        <v>65441.35020833333</v>
      </c>
      <c r="Q224" s="264"/>
      <c r="R224" s="55"/>
    </row>
    <row r="225" spans="1:18" s="85" customFormat="1" ht="30" customHeight="1" x14ac:dyDescent="0.25">
      <c r="A225" s="226" t="s">
        <v>125</v>
      </c>
      <c r="B225" s="227"/>
      <c r="C225" s="227"/>
      <c r="D225" s="227"/>
      <c r="E225" s="228"/>
      <c r="F225" s="39">
        <f t="shared" ref="F225:P225" si="99">SUM(F224)</f>
        <v>85000</v>
      </c>
      <c r="G225" s="39">
        <f t="shared" si="99"/>
        <v>2439.5</v>
      </c>
      <c r="H225" s="39">
        <f t="shared" si="99"/>
        <v>2584</v>
      </c>
      <c r="I225" s="39">
        <f t="shared" si="99"/>
        <v>1577.45</v>
      </c>
      <c r="J225" s="39">
        <f t="shared" si="99"/>
        <v>6600.95</v>
      </c>
      <c r="K225" s="39">
        <f>SUM(K224)</f>
        <v>78399.05</v>
      </c>
      <c r="L225" s="39">
        <f t="shared" si="99"/>
        <v>8182.6997916666687</v>
      </c>
      <c r="M225" s="39"/>
      <c r="N225" s="39">
        <f t="shared" si="99"/>
        <v>4775</v>
      </c>
      <c r="O225" s="39">
        <f t="shared" si="99"/>
        <v>19558.64979166667</v>
      </c>
      <c r="P225" s="39">
        <f t="shared" si="99"/>
        <v>65441.35020833333</v>
      </c>
      <c r="Q225" s="263"/>
    </row>
    <row r="226" spans="1:18" s="41" customFormat="1" ht="30" customHeight="1" thickBot="1" x14ac:dyDescent="0.3">
      <c r="C226" s="43"/>
      <c r="Q226" s="264"/>
      <c r="R226" s="55"/>
    </row>
    <row r="227" spans="1:18" s="41" customFormat="1" ht="30" customHeight="1" thickBot="1" x14ac:dyDescent="0.3">
      <c r="A227" s="229" t="s">
        <v>301</v>
      </c>
      <c r="B227" s="230"/>
      <c r="C227" s="230"/>
      <c r="D227" s="230"/>
      <c r="E227" s="230"/>
      <c r="F227" s="230"/>
      <c r="G227" s="230"/>
      <c r="H227" s="230"/>
      <c r="I227" s="230"/>
      <c r="J227" s="230"/>
      <c r="K227" s="230"/>
      <c r="L227" s="230"/>
      <c r="M227" s="230"/>
      <c r="N227" s="230"/>
      <c r="O227" s="230"/>
      <c r="P227" s="230"/>
      <c r="Q227" s="264"/>
      <c r="R227" s="55"/>
    </row>
    <row r="228" spans="1:18" s="41" customFormat="1" ht="30" customHeight="1" x14ac:dyDescent="0.25">
      <c r="A228" s="81">
        <f>+A224+1</f>
        <v>117</v>
      </c>
      <c r="B228" s="121" t="s">
        <v>302</v>
      </c>
      <c r="C228" s="131" t="s">
        <v>426</v>
      </c>
      <c r="D228" s="157" t="s">
        <v>303</v>
      </c>
      <c r="E228" s="116" t="s">
        <v>121</v>
      </c>
      <c r="F228" s="115">
        <v>135000</v>
      </c>
      <c r="G228" s="83">
        <f>F228*2.87%</f>
        <v>3874.5</v>
      </c>
      <c r="H228" s="83">
        <f>F228*3.04%</f>
        <v>4104</v>
      </c>
      <c r="I228" s="83">
        <v>1577.45</v>
      </c>
      <c r="J228" s="83">
        <f t="shared" si="87"/>
        <v>9555.9500000000007</v>
      </c>
      <c r="K228" s="83">
        <f t="shared" si="91"/>
        <v>125444.05</v>
      </c>
      <c r="L228" s="83">
        <f>+IF(K228*12&lt;=416220.01,0,IF(K228*12&lt;=624329.01,(((K228*12-416220.01)*0.15)/12),IF((K228*12&lt;=867123.01),(31216+0.2*(K228*12-624329.01))/12,((79776+0.25*(K228*12-867123.01))/12))))-M228</f>
        <v>19943.94979166667</v>
      </c>
      <c r="M228" s="83"/>
      <c r="N228" s="84">
        <v>25</v>
      </c>
      <c r="O228" s="115">
        <f t="shared" si="89"/>
        <v>29524.89979166667</v>
      </c>
      <c r="P228" s="83">
        <f>+F228-O228</f>
        <v>105475.10020833333</v>
      </c>
      <c r="Q228" s="264"/>
      <c r="R228" s="55"/>
    </row>
    <row r="229" spans="1:18" s="55" customFormat="1" ht="30" customHeight="1" x14ac:dyDescent="0.25">
      <c r="A229" s="86">
        <f>+A228+1</f>
        <v>118</v>
      </c>
      <c r="B229" s="116" t="s">
        <v>16</v>
      </c>
      <c r="C229" s="38" t="s">
        <v>426</v>
      </c>
      <c r="D229" s="116" t="s">
        <v>304</v>
      </c>
      <c r="E229" s="116" t="s">
        <v>122</v>
      </c>
      <c r="F229" s="118">
        <v>80000</v>
      </c>
      <c r="G229" s="88">
        <f>F229*2.87%</f>
        <v>2296</v>
      </c>
      <c r="H229" s="88">
        <f>+F229*3.04%</f>
        <v>2432</v>
      </c>
      <c r="I229" s="88">
        <v>4732.3500000000004</v>
      </c>
      <c r="J229" s="83">
        <f t="shared" si="87"/>
        <v>9460.35</v>
      </c>
      <c r="K229" s="83">
        <f t="shared" si="91"/>
        <v>70539.649999999994</v>
      </c>
      <c r="L229" s="83">
        <f>+IF(K229*12&lt;=416220.01,0,IF(K229*12&lt;=624329.01,(((K229*12-416220.01)*0.15)/12),IF((K229*12&lt;=867123.01),(31216+0.2*(K229*12-624329.01))/12,((79776+0.25*(K229*12-867123.01))/12))))-M229</f>
        <v>6303.7798333333312</v>
      </c>
      <c r="M229" s="83"/>
      <c r="N229" s="84">
        <v>1825</v>
      </c>
      <c r="O229" s="115">
        <f t="shared" si="89"/>
        <v>17589.129833333332</v>
      </c>
      <c r="P229" s="83">
        <f>+F229-O229</f>
        <v>62410.870166666668</v>
      </c>
      <c r="Q229" s="264"/>
    </row>
    <row r="230" spans="1:18" s="96" customFormat="1" ht="30" customHeight="1" x14ac:dyDescent="0.25">
      <c r="A230" s="226" t="s">
        <v>125</v>
      </c>
      <c r="B230" s="227"/>
      <c r="C230" s="227"/>
      <c r="D230" s="227"/>
      <c r="E230" s="228"/>
      <c r="F230" s="39">
        <f t="shared" ref="F230:P230" si="100">SUM(F228:F229)</f>
        <v>215000</v>
      </c>
      <c r="G230" s="39">
        <f t="shared" si="100"/>
        <v>6170.5</v>
      </c>
      <c r="H230" s="39">
        <f t="shared" si="100"/>
        <v>6536</v>
      </c>
      <c r="I230" s="39">
        <f t="shared" si="100"/>
        <v>6309.8</v>
      </c>
      <c r="J230" s="39">
        <f t="shared" si="100"/>
        <v>19016.300000000003</v>
      </c>
      <c r="K230" s="39">
        <f t="shared" si="100"/>
        <v>195983.7</v>
      </c>
      <c r="L230" s="39">
        <f t="shared" si="100"/>
        <v>26247.729625</v>
      </c>
      <c r="M230" s="39">
        <f t="shared" si="100"/>
        <v>0</v>
      </c>
      <c r="N230" s="39">
        <f t="shared" si="100"/>
        <v>1850</v>
      </c>
      <c r="O230" s="39">
        <f t="shared" si="100"/>
        <v>47114.029625000003</v>
      </c>
      <c r="P230" s="39">
        <f t="shared" si="100"/>
        <v>167885.970375</v>
      </c>
      <c r="Q230" s="269"/>
    </row>
    <row r="231" spans="1:18" s="96" customFormat="1" ht="30" customHeight="1" thickBot="1" x14ac:dyDescent="0.3">
      <c r="A231" s="52"/>
      <c r="B231" s="52"/>
      <c r="C231" s="52"/>
      <c r="D231" s="52"/>
      <c r="E231" s="52"/>
      <c r="F231"/>
      <c r="G231"/>
      <c r="H231"/>
      <c r="I231"/>
      <c r="J231"/>
      <c r="K231"/>
      <c r="L231"/>
      <c r="M231"/>
      <c r="N231"/>
      <c r="O231"/>
      <c r="P231"/>
      <c r="Q231" s="269"/>
    </row>
    <row r="232" spans="1:18" s="41" customFormat="1" ht="30" customHeight="1" thickBot="1" x14ac:dyDescent="0.3">
      <c r="A232" s="229" t="s">
        <v>305</v>
      </c>
      <c r="B232" s="230"/>
      <c r="C232" s="230"/>
      <c r="D232" s="230"/>
      <c r="E232" s="230"/>
      <c r="F232" s="230"/>
      <c r="G232" s="230"/>
      <c r="H232" s="230"/>
      <c r="I232" s="230"/>
      <c r="J232" s="230"/>
      <c r="K232" s="230"/>
      <c r="L232" s="230"/>
      <c r="M232" s="230"/>
      <c r="N232" s="230"/>
      <c r="O232" s="230"/>
      <c r="P232" s="230"/>
      <c r="Q232" s="264"/>
      <c r="R232" s="55"/>
    </row>
    <row r="233" spans="1:18" s="41" customFormat="1" ht="30" customHeight="1" x14ac:dyDescent="0.25">
      <c r="A233" s="86">
        <f>+A229+1</f>
        <v>119</v>
      </c>
      <c r="B233" s="116" t="s">
        <v>109</v>
      </c>
      <c r="C233" s="38" t="s">
        <v>426</v>
      </c>
      <c r="D233" s="116" t="s">
        <v>110</v>
      </c>
      <c r="E233" s="116" t="s">
        <v>122</v>
      </c>
      <c r="F233" s="118">
        <v>100000</v>
      </c>
      <c r="G233" s="88">
        <f>F233*2.87%</f>
        <v>2870</v>
      </c>
      <c r="H233" s="88">
        <f>+F233*3.04%</f>
        <v>3040</v>
      </c>
      <c r="I233" s="88"/>
      <c r="J233" s="83">
        <f t="shared" si="87"/>
        <v>5910</v>
      </c>
      <c r="K233" s="83">
        <f>+F233-J233</f>
        <v>94090</v>
      </c>
      <c r="L233" s="83">
        <f>+IF(K233*12&lt;=416220.01,0,IF(K233*12&lt;=624329.01,(((K233*12-416220.01)*0.15)/12),IF((K233*12&lt;=867123.01),(31216+0.2*(K233*12-624329.01))/12,((79776+0.25*(K233*12-867123.01))/12))))-M233</f>
        <v>12105.437291666667</v>
      </c>
      <c r="M233" s="83"/>
      <c r="N233" s="84">
        <v>2025</v>
      </c>
      <c r="O233" s="115">
        <f t="shared" si="89"/>
        <v>20040.437291666669</v>
      </c>
      <c r="P233" s="83">
        <f>+F233-O233</f>
        <v>79959.562708333338</v>
      </c>
      <c r="Q233" s="264"/>
      <c r="R233" s="55"/>
    </row>
    <row r="234" spans="1:18" s="55" customFormat="1" ht="30" customHeight="1" x14ac:dyDescent="0.25">
      <c r="A234" s="86">
        <f>+A233+1</f>
        <v>120</v>
      </c>
      <c r="B234" s="116" t="s">
        <v>306</v>
      </c>
      <c r="C234" s="38" t="s">
        <v>425</v>
      </c>
      <c r="D234" s="116" t="s">
        <v>22</v>
      </c>
      <c r="E234" s="116" t="s">
        <v>199</v>
      </c>
      <c r="F234" s="118">
        <v>35000</v>
      </c>
      <c r="G234" s="88">
        <v>1004.5</v>
      </c>
      <c r="H234" s="88">
        <v>1064</v>
      </c>
      <c r="I234" s="88"/>
      <c r="J234" s="83">
        <f t="shared" si="87"/>
        <v>2068.5</v>
      </c>
      <c r="K234" s="83">
        <f t="shared" si="91"/>
        <v>32931.5</v>
      </c>
      <c r="L234" s="83">
        <f>+IF(K234*12&lt;=416220.01,0,IF(K234*12&lt;=624329.01,(((K234*12-416220.01)*0.15)/12),IF((K234*12&lt;=867123.01),(31216+0.2*(K234*12-624329.01))/12,((79776+0.25*(K234*12-867123.01))/12))))-M234</f>
        <v>0</v>
      </c>
      <c r="M234" s="83"/>
      <c r="N234" s="84">
        <v>25</v>
      </c>
      <c r="O234" s="115">
        <f t="shared" si="89"/>
        <v>2093.5</v>
      </c>
      <c r="P234" s="83">
        <f>+F234-O234</f>
        <v>32906.5</v>
      </c>
      <c r="Q234" s="264"/>
    </row>
    <row r="235" spans="1:18" s="55" customFormat="1" ht="30" customHeight="1" x14ac:dyDescent="0.25">
      <c r="A235" s="226" t="s">
        <v>125</v>
      </c>
      <c r="B235" s="227"/>
      <c r="C235" s="227"/>
      <c r="D235" s="227"/>
      <c r="E235" s="228"/>
      <c r="F235" s="39">
        <f t="shared" ref="F235:P235" si="101">SUM(F233:F234)</f>
        <v>135000</v>
      </c>
      <c r="G235" s="39">
        <f t="shared" si="101"/>
        <v>3874.5</v>
      </c>
      <c r="H235" s="39">
        <f t="shared" si="101"/>
        <v>4104</v>
      </c>
      <c r="I235" s="39">
        <f t="shared" si="101"/>
        <v>0</v>
      </c>
      <c r="J235" s="39">
        <f t="shared" si="101"/>
        <v>7978.5</v>
      </c>
      <c r="K235" s="39">
        <f t="shared" si="101"/>
        <v>127021.5</v>
      </c>
      <c r="L235" s="39">
        <f t="shared" si="101"/>
        <v>12105.437291666667</v>
      </c>
      <c r="M235" s="39">
        <f t="shared" si="101"/>
        <v>0</v>
      </c>
      <c r="N235" s="39">
        <f t="shared" si="101"/>
        <v>2050</v>
      </c>
      <c r="O235" s="39">
        <f t="shared" si="101"/>
        <v>22133.937291666669</v>
      </c>
      <c r="P235" s="39">
        <f t="shared" si="101"/>
        <v>112866.06270833334</v>
      </c>
      <c r="Q235" s="264"/>
    </row>
    <row r="236" spans="1:18" s="41" customFormat="1" ht="30" customHeight="1" thickBot="1" x14ac:dyDescent="0.3">
      <c r="A236" s="43"/>
      <c r="B236" s="50"/>
      <c r="C236" s="149"/>
      <c r="D236" s="50"/>
      <c r="E236" s="50"/>
      <c r="F236" s="51"/>
      <c r="Q236" s="264"/>
      <c r="R236" s="55"/>
    </row>
    <row r="237" spans="1:18" s="41" customFormat="1" ht="30" customHeight="1" x14ac:dyDescent="0.25">
      <c r="A237" s="238" t="s">
        <v>208</v>
      </c>
      <c r="B237" s="239"/>
      <c r="C237" s="239"/>
      <c r="D237" s="239"/>
      <c r="E237" s="239"/>
      <c r="F237" s="239"/>
      <c r="G237" s="239"/>
      <c r="H237" s="239"/>
      <c r="I237" s="239"/>
      <c r="J237" s="239"/>
      <c r="K237" s="239"/>
      <c r="L237" s="239"/>
      <c r="M237" s="239"/>
      <c r="N237" s="239"/>
      <c r="O237" s="239"/>
      <c r="P237" s="239"/>
      <c r="Q237" s="264"/>
      <c r="R237" s="55"/>
    </row>
    <row r="238" spans="1:18" s="41" customFormat="1" ht="30" customHeight="1" x14ac:dyDescent="0.25">
      <c r="A238" s="86">
        <f>+A234+1</f>
        <v>121</v>
      </c>
      <c r="B238" s="116" t="s">
        <v>623</v>
      </c>
      <c r="C238" s="38" t="s">
        <v>426</v>
      </c>
      <c r="D238" s="116" t="s">
        <v>22</v>
      </c>
      <c r="E238" s="185" t="s">
        <v>231</v>
      </c>
      <c r="F238" s="118">
        <v>35000</v>
      </c>
      <c r="G238" s="88">
        <f>F238*2.87%</f>
        <v>1004.5</v>
      </c>
      <c r="H238" s="88">
        <f>+F238*3.04%</f>
        <v>1064</v>
      </c>
      <c r="I238" s="88"/>
      <c r="J238" s="83">
        <f t="shared" si="87"/>
        <v>2068.5</v>
      </c>
      <c r="K238" s="83">
        <f t="shared" si="91"/>
        <v>32931.5</v>
      </c>
      <c r="L238" s="83">
        <f t="shared" si="97"/>
        <v>0</v>
      </c>
      <c r="M238" s="83"/>
      <c r="N238" s="88">
        <v>5343.89</v>
      </c>
      <c r="O238" s="115">
        <f t="shared" si="89"/>
        <v>7412.39</v>
      </c>
      <c r="P238" s="83">
        <f>+F238-O238</f>
        <v>27587.61</v>
      </c>
      <c r="Q238" s="264"/>
      <c r="R238" s="55"/>
    </row>
    <row r="239" spans="1:18" s="41" customFormat="1" ht="30" customHeight="1" x14ac:dyDescent="0.25">
      <c r="A239" s="86">
        <f>+A238+1</f>
        <v>122</v>
      </c>
      <c r="B239" s="116" t="s">
        <v>674</v>
      </c>
      <c r="C239" s="38" t="s">
        <v>426</v>
      </c>
      <c r="D239" s="116" t="s">
        <v>675</v>
      </c>
      <c r="E239" s="185" t="s">
        <v>231</v>
      </c>
      <c r="F239" s="118">
        <v>25000</v>
      </c>
      <c r="G239" s="88">
        <f>F239*2.87%</f>
        <v>717.5</v>
      </c>
      <c r="H239" s="88">
        <f>+F239*3.04%</f>
        <v>760</v>
      </c>
      <c r="I239" s="88"/>
      <c r="J239" s="83">
        <f t="shared" si="87"/>
        <v>1477.5</v>
      </c>
      <c r="K239" s="83">
        <f t="shared" si="91"/>
        <v>23522.5</v>
      </c>
      <c r="L239" s="83">
        <f t="shared" si="97"/>
        <v>0</v>
      </c>
      <c r="M239" s="83"/>
      <c r="N239" s="88">
        <v>25</v>
      </c>
      <c r="O239" s="115">
        <f t="shared" si="89"/>
        <v>1502.5</v>
      </c>
      <c r="P239" s="83">
        <f>+F239-O239</f>
        <v>23497.5</v>
      </c>
      <c r="Q239" s="264"/>
      <c r="R239" s="55"/>
    </row>
    <row r="240" spans="1:18" s="41" customFormat="1" ht="30" customHeight="1" x14ac:dyDescent="0.25">
      <c r="A240" s="226" t="s">
        <v>125</v>
      </c>
      <c r="B240" s="227"/>
      <c r="C240" s="227"/>
      <c r="D240" s="227"/>
      <c r="E240" s="228"/>
      <c r="F240" s="39">
        <f>SUM(F238:F239)</f>
        <v>60000</v>
      </c>
      <c r="G240" s="39">
        <f t="shared" ref="G240:P240" si="102">SUM(G238:G239)</f>
        <v>1722</v>
      </c>
      <c r="H240" s="39">
        <f t="shared" si="102"/>
        <v>1824</v>
      </c>
      <c r="I240" s="39">
        <f t="shared" si="102"/>
        <v>0</v>
      </c>
      <c r="J240" s="39">
        <f t="shared" si="102"/>
        <v>3546</v>
      </c>
      <c r="K240" s="39">
        <f t="shared" si="102"/>
        <v>56454</v>
      </c>
      <c r="L240" s="39">
        <f t="shared" si="102"/>
        <v>0</v>
      </c>
      <c r="M240" s="39">
        <f t="shared" si="102"/>
        <v>0</v>
      </c>
      <c r="N240" s="39">
        <f t="shared" si="102"/>
        <v>5368.89</v>
      </c>
      <c r="O240" s="39">
        <f t="shared" si="102"/>
        <v>8914.89</v>
      </c>
      <c r="P240" s="39">
        <f t="shared" si="102"/>
        <v>51085.11</v>
      </c>
      <c r="Q240" s="264"/>
      <c r="R240" s="55"/>
    </row>
    <row r="241" spans="1:18" s="41" customFormat="1" ht="30" customHeight="1" thickBot="1" x14ac:dyDescent="0.3">
      <c r="A241" s="53"/>
      <c r="B241" s="47"/>
      <c r="C241" s="52"/>
      <c r="D241" s="54"/>
      <c r="E241" s="54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264"/>
      <c r="R241" s="55"/>
    </row>
    <row r="242" spans="1:18" s="41" customFormat="1" ht="30" customHeight="1" thickBot="1" x14ac:dyDescent="0.3">
      <c r="A242" s="229" t="s">
        <v>85</v>
      </c>
      <c r="B242" s="230"/>
      <c r="C242" s="230"/>
      <c r="D242" s="230"/>
      <c r="E242" s="230"/>
      <c r="F242" s="230"/>
      <c r="G242" s="230"/>
      <c r="H242" s="230"/>
      <c r="I242" s="230"/>
      <c r="J242" s="230"/>
      <c r="K242" s="230"/>
      <c r="L242" s="230"/>
      <c r="M242" s="230"/>
      <c r="N242" s="230"/>
      <c r="O242" s="230"/>
      <c r="P242" s="230"/>
      <c r="Q242" s="264"/>
      <c r="R242" s="55"/>
    </row>
    <row r="243" spans="1:18" s="55" customFormat="1" ht="30" customHeight="1" x14ac:dyDescent="0.25">
      <c r="A243" s="86">
        <f>+A239+1</f>
        <v>123</v>
      </c>
      <c r="B243" s="116" t="s">
        <v>10</v>
      </c>
      <c r="C243" s="38" t="s">
        <v>426</v>
      </c>
      <c r="D243" s="116" t="s">
        <v>94</v>
      </c>
      <c r="E243" s="116" t="s">
        <v>122</v>
      </c>
      <c r="F243" s="118">
        <v>50000</v>
      </c>
      <c r="G243" s="118">
        <f>F243*2.87%</f>
        <v>1435</v>
      </c>
      <c r="H243" s="88">
        <f>+F243*3.04%</f>
        <v>1520</v>
      </c>
      <c r="I243" s="88"/>
      <c r="J243" s="83">
        <f t="shared" si="87"/>
        <v>2955</v>
      </c>
      <c r="K243" s="83">
        <f t="shared" si="91"/>
        <v>47045</v>
      </c>
      <c r="L243" s="83">
        <f>+IF(K243*12&lt;=416220.01,0,IF(K243*12&lt;=624329.01,(((K243*12-416220.01)*0.15)/12),IF((K243*12&lt;=867123.01),(31216+0.2*(K243*12-624329.01))/12,((79776+0.25*(K243*12-867123.01))/12))))-M243</f>
        <v>1853.9998749999997</v>
      </c>
      <c r="M243" s="83"/>
      <c r="N243" s="84">
        <v>125</v>
      </c>
      <c r="O243" s="115">
        <f t="shared" si="89"/>
        <v>4933.9998749999995</v>
      </c>
      <c r="P243" s="83">
        <f>+F243-O243</f>
        <v>45066.000124999999</v>
      </c>
      <c r="Q243" s="264"/>
    </row>
    <row r="244" spans="1:18" s="55" customFormat="1" ht="30" customHeight="1" x14ac:dyDescent="0.25">
      <c r="A244" s="226" t="s">
        <v>125</v>
      </c>
      <c r="B244" s="227"/>
      <c r="C244" s="227"/>
      <c r="D244" s="227"/>
      <c r="E244" s="228"/>
      <c r="F244" s="39">
        <f t="shared" ref="F244:P244" si="103">SUM(F243:F243)</f>
        <v>50000</v>
      </c>
      <c r="G244" s="39">
        <f t="shared" si="103"/>
        <v>1435</v>
      </c>
      <c r="H244" s="39">
        <f t="shared" si="103"/>
        <v>1520</v>
      </c>
      <c r="I244" s="39">
        <f t="shared" si="103"/>
        <v>0</v>
      </c>
      <c r="J244" s="39">
        <f t="shared" si="103"/>
        <v>2955</v>
      </c>
      <c r="K244" s="39">
        <f t="shared" si="103"/>
        <v>47045</v>
      </c>
      <c r="L244" s="39">
        <f t="shared" si="103"/>
        <v>1853.9998749999997</v>
      </c>
      <c r="M244" s="39">
        <f t="shared" si="103"/>
        <v>0</v>
      </c>
      <c r="N244" s="39">
        <f t="shared" si="103"/>
        <v>125</v>
      </c>
      <c r="O244" s="39">
        <f t="shared" si="103"/>
        <v>4933.9998749999995</v>
      </c>
      <c r="P244" s="39">
        <f t="shared" si="103"/>
        <v>45066.000124999999</v>
      </c>
      <c r="Q244" s="264"/>
    </row>
    <row r="245" spans="1:18" s="55" customFormat="1" ht="30" customHeight="1" thickBot="1" x14ac:dyDescent="0.3">
      <c r="A245" s="52"/>
      <c r="B245" s="52"/>
      <c r="C245" s="52"/>
      <c r="D245" s="52"/>
      <c r="E245" s="52"/>
      <c r="F245"/>
      <c r="G245"/>
      <c r="H245"/>
      <c r="I245"/>
      <c r="J245"/>
      <c r="K245"/>
      <c r="L245"/>
      <c r="M245"/>
      <c r="N245"/>
      <c r="O245"/>
      <c r="P245"/>
      <c r="Q245" s="264"/>
    </row>
    <row r="246" spans="1:18" s="41" customFormat="1" ht="30" customHeight="1" thickBot="1" x14ac:dyDescent="0.3">
      <c r="A246" s="229" t="s">
        <v>176</v>
      </c>
      <c r="B246" s="230"/>
      <c r="C246" s="230"/>
      <c r="D246" s="230"/>
      <c r="E246" s="230"/>
      <c r="F246" s="230"/>
      <c r="G246" s="230"/>
      <c r="H246" s="230"/>
      <c r="I246" s="230"/>
      <c r="J246" s="230"/>
      <c r="K246" s="230"/>
      <c r="L246" s="230"/>
      <c r="M246" s="230"/>
      <c r="N246" s="230"/>
      <c r="O246" s="230"/>
      <c r="P246" s="230"/>
      <c r="Q246" s="264"/>
      <c r="R246" s="55"/>
    </row>
    <row r="247" spans="1:18" s="55" customFormat="1" ht="30" customHeight="1" x14ac:dyDescent="0.25">
      <c r="A247" s="81">
        <f>+A243+1</f>
        <v>124</v>
      </c>
      <c r="B247" s="82" t="s">
        <v>7</v>
      </c>
      <c r="C247" s="81" t="s">
        <v>426</v>
      </c>
      <c r="D247" s="82" t="s">
        <v>6</v>
      </c>
      <c r="E247" s="82" t="s">
        <v>122</v>
      </c>
      <c r="F247" s="83">
        <v>54500</v>
      </c>
      <c r="G247" s="83">
        <f>F247*2.87%</f>
        <v>1564.15</v>
      </c>
      <c r="H247" s="83">
        <f>+F247*3.04%</f>
        <v>1656.8</v>
      </c>
      <c r="I247" s="83">
        <v>3154.9</v>
      </c>
      <c r="J247" s="83">
        <f t="shared" si="87"/>
        <v>6375.85</v>
      </c>
      <c r="K247" s="83">
        <f t="shared" si="91"/>
        <v>48124.15</v>
      </c>
      <c r="L247" s="83">
        <f>+IF(K247*12&lt;=416220.01,0,IF(K247*12&lt;=624329.01,(((K247*12-416220.01)*0.15)/12),IF((K247*12&lt;=867123.01),(31216+0.2*(K247*12-624329.01))/12,((79776+0.25*(K247*12-867123.01))/12))))-M247</f>
        <v>2015.8723750000006</v>
      </c>
      <c r="M247" s="83"/>
      <c r="N247" s="84">
        <v>125</v>
      </c>
      <c r="O247" s="115">
        <f t="shared" si="89"/>
        <v>8516.7223750000012</v>
      </c>
      <c r="P247" s="83">
        <f>+F247-O247</f>
        <v>45983.277625000002</v>
      </c>
      <c r="Q247" s="264"/>
    </row>
    <row r="248" spans="1:18" s="41" customFormat="1" ht="30" customHeight="1" x14ac:dyDescent="0.25">
      <c r="A248" s="38">
        <f>+A247+1</f>
        <v>125</v>
      </c>
      <c r="B248" s="116" t="s">
        <v>523</v>
      </c>
      <c r="C248" s="38" t="s">
        <v>425</v>
      </c>
      <c r="D248" s="116" t="s">
        <v>198</v>
      </c>
      <c r="E248" s="116" t="s">
        <v>231</v>
      </c>
      <c r="F248" s="118">
        <v>50000</v>
      </c>
      <c r="G248" s="118">
        <f>F248*2.87%</f>
        <v>1435</v>
      </c>
      <c r="H248" s="118">
        <f>+F248*3.04%</f>
        <v>1520</v>
      </c>
      <c r="I248" s="118"/>
      <c r="J248" s="83">
        <f t="shared" si="87"/>
        <v>2955</v>
      </c>
      <c r="K248" s="83">
        <f t="shared" si="91"/>
        <v>47045</v>
      </c>
      <c r="L248" s="83">
        <f t="shared" ref="L248:L249" si="104">+IF(K248*12&lt;=416220.01,0,IF(K248*12&lt;=624329.01,(((K248*12-416220.01)*0.15)/12),IF((K248*12&lt;=867123.01),(31216+0.2*(K248*12-624329.01))/12,((79776+0.25*(K248*12-867123.01))/12))))-M248</f>
        <v>1853.9998749999997</v>
      </c>
      <c r="M248" s="83"/>
      <c r="N248" s="120">
        <v>25</v>
      </c>
      <c r="O248" s="115">
        <f t="shared" si="89"/>
        <v>4833.9998749999995</v>
      </c>
      <c r="P248" s="115">
        <f>+F248-O248</f>
        <v>45166.000124999999</v>
      </c>
      <c r="Q248" s="264"/>
      <c r="R248" s="55"/>
    </row>
    <row r="249" spans="1:18" s="93" customFormat="1" ht="30" customHeight="1" x14ac:dyDescent="0.25">
      <c r="A249" s="86">
        <f>+A248+1</f>
        <v>126</v>
      </c>
      <c r="B249" s="87" t="s">
        <v>308</v>
      </c>
      <c r="C249" s="86" t="s">
        <v>425</v>
      </c>
      <c r="D249" s="87" t="s">
        <v>6</v>
      </c>
      <c r="E249" s="87" t="s">
        <v>122</v>
      </c>
      <c r="F249" s="88">
        <v>49500</v>
      </c>
      <c r="G249" s="88">
        <f>F249*2.87%</f>
        <v>1420.65</v>
      </c>
      <c r="H249" s="88">
        <f>+F249*3.04%</f>
        <v>1504.8</v>
      </c>
      <c r="I249" s="88"/>
      <c r="J249" s="83">
        <f t="shared" si="87"/>
        <v>2925.45</v>
      </c>
      <c r="K249" s="83">
        <f t="shared" si="91"/>
        <v>46574.55</v>
      </c>
      <c r="L249" s="83">
        <f t="shared" si="104"/>
        <v>1783.432375000001</v>
      </c>
      <c r="M249" s="83"/>
      <c r="N249" s="84">
        <v>125</v>
      </c>
      <c r="O249" s="115">
        <f t="shared" si="89"/>
        <v>4833.882375000001</v>
      </c>
      <c r="P249" s="83">
        <f>+F249-O249</f>
        <v>44666.117624999999</v>
      </c>
      <c r="Q249" s="267"/>
    </row>
    <row r="250" spans="1:18" s="55" customFormat="1" ht="30" customHeight="1" x14ac:dyDescent="0.25">
      <c r="A250" s="226" t="s">
        <v>125</v>
      </c>
      <c r="B250" s="227"/>
      <c r="C250" s="227"/>
      <c r="D250" s="227"/>
      <c r="E250" s="228"/>
      <c r="F250" s="39">
        <f t="shared" ref="F250:P250" si="105">SUM(F247:F249)</f>
        <v>154000</v>
      </c>
      <c r="G250" s="39">
        <f t="shared" si="105"/>
        <v>4419.8</v>
      </c>
      <c r="H250" s="39">
        <f t="shared" si="105"/>
        <v>4681.6000000000004</v>
      </c>
      <c r="I250" s="39">
        <f t="shared" si="105"/>
        <v>3154.9</v>
      </c>
      <c r="J250" s="39">
        <f t="shared" si="105"/>
        <v>12256.3</v>
      </c>
      <c r="K250" s="39">
        <f t="shared" si="105"/>
        <v>141743.70000000001</v>
      </c>
      <c r="L250" s="39">
        <f t="shared" si="105"/>
        <v>5653.3046250000016</v>
      </c>
      <c r="M250" s="39">
        <f t="shared" si="105"/>
        <v>0</v>
      </c>
      <c r="N250" s="39">
        <f t="shared" si="105"/>
        <v>275</v>
      </c>
      <c r="O250" s="39">
        <f t="shared" si="105"/>
        <v>18184.604625</v>
      </c>
      <c r="P250" s="39">
        <f t="shared" si="105"/>
        <v>135815.39537500002</v>
      </c>
      <c r="Q250" s="264"/>
    </row>
    <row r="251" spans="1:18" s="55" customFormat="1" ht="30" customHeight="1" thickBot="1" x14ac:dyDescent="0.3">
      <c r="A251" s="46"/>
      <c r="B251" s="44"/>
      <c r="C251" s="46"/>
      <c r="D251" s="44"/>
      <c r="E251" s="44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264"/>
    </row>
    <row r="252" spans="1:18" s="41" customFormat="1" ht="30" customHeight="1" thickBot="1" x14ac:dyDescent="0.3">
      <c r="A252" s="229" t="s">
        <v>177</v>
      </c>
      <c r="B252" s="230"/>
      <c r="C252" s="230"/>
      <c r="D252" s="230"/>
      <c r="E252" s="230"/>
      <c r="F252" s="230"/>
      <c r="G252" s="230"/>
      <c r="H252" s="230"/>
      <c r="I252" s="230"/>
      <c r="J252" s="230"/>
      <c r="K252" s="230"/>
      <c r="L252" s="230"/>
      <c r="M252" s="230"/>
      <c r="N252" s="230"/>
      <c r="O252" s="230"/>
      <c r="P252" s="230"/>
      <c r="Q252" s="264"/>
      <c r="R252" s="55"/>
    </row>
    <row r="253" spans="1:18" s="41" customFormat="1" ht="30" customHeight="1" x14ac:dyDescent="0.25">
      <c r="A253" s="86">
        <f>+A249+1</f>
        <v>127</v>
      </c>
      <c r="B253" s="116" t="s">
        <v>193</v>
      </c>
      <c r="C253" s="38" t="s">
        <v>425</v>
      </c>
      <c r="D253" s="116" t="s">
        <v>9</v>
      </c>
      <c r="E253" s="116" t="s">
        <v>122</v>
      </c>
      <c r="F253" s="118">
        <v>80000</v>
      </c>
      <c r="G253" s="118">
        <f>F253*2.87%</f>
        <v>2296</v>
      </c>
      <c r="H253" s="88">
        <f>+F253*3.04%</f>
        <v>2432</v>
      </c>
      <c r="I253" s="88"/>
      <c r="J253" s="83">
        <f t="shared" si="87"/>
        <v>4728</v>
      </c>
      <c r="K253" s="83">
        <f t="shared" si="91"/>
        <v>75272</v>
      </c>
      <c r="L253" s="83">
        <f>+IF(K253*12&lt;=416220.01,0,IF(K253*12&lt;=624329.01,(((K253*12-416220.01)*0.15)/12),IF((K253*12&lt;=867123.01),(31216+0.2*(K253*12-624329.01))/12,((79776+0.25*(K253*12-867123.01))/12))))-M253</f>
        <v>7400.9372916666662</v>
      </c>
      <c r="M253" s="83"/>
      <c r="N253" s="84">
        <f>2268.24+100+25</f>
        <v>2393.2399999999998</v>
      </c>
      <c r="O253" s="115">
        <f t="shared" si="89"/>
        <v>14522.177291666667</v>
      </c>
      <c r="P253" s="84">
        <f>+F253-O253</f>
        <v>65477.822708333333</v>
      </c>
      <c r="Q253" s="264"/>
      <c r="R253" s="55"/>
    </row>
    <row r="254" spans="1:18" s="55" customFormat="1" ht="30" customHeight="1" x14ac:dyDescent="0.25">
      <c r="A254" s="81">
        <f>+A253+1</f>
        <v>128</v>
      </c>
      <c r="B254" s="121" t="s">
        <v>307</v>
      </c>
      <c r="C254" s="131" t="s">
        <v>425</v>
      </c>
      <c r="D254" s="121" t="s">
        <v>198</v>
      </c>
      <c r="E254" s="121" t="s">
        <v>231</v>
      </c>
      <c r="F254" s="115">
        <v>60000</v>
      </c>
      <c r="G254" s="186">
        <f>F254*2.87%</f>
        <v>1722</v>
      </c>
      <c r="H254" s="95">
        <f>+F254*3.04%</f>
        <v>1824</v>
      </c>
      <c r="I254" s="95"/>
      <c r="J254" s="83">
        <f t="shared" si="87"/>
        <v>3546</v>
      </c>
      <c r="K254" s="83">
        <f t="shared" si="91"/>
        <v>56454</v>
      </c>
      <c r="L254" s="83">
        <f>+IF(K254*12&lt;=416220.01,0,IF(K254*12&lt;=624329.01,(((K254*12-416220.01)*0.15)/12),IF((K254*12&lt;=867123.01),(31216+0.2*(K254*12-624329.01))/12,((79776+0.25*(K254*12-867123.01))/12))))-M254</f>
        <v>3486.6498333333329</v>
      </c>
      <c r="M254" s="83"/>
      <c r="N254" s="84">
        <v>25</v>
      </c>
      <c r="O254" s="115">
        <f t="shared" si="89"/>
        <v>7057.6498333333329</v>
      </c>
      <c r="P254" s="95">
        <f>+F254-O254</f>
        <v>52942.350166666671</v>
      </c>
      <c r="Q254" s="264"/>
    </row>
    <row r="255" spans="1:18" s="55" customFormat="1" ht="30" customHeight="1" x14ac:dyDescent="0.25">
      <c r="A255" s="226" t="s">
        <v>125</v>
      </c>
      <c r="B255" s="227"/>
      <c r="C255" s="227"/>
      <c r="D255" s="227"/>
      <c r="E255" s="228"/>
      <c r="F255" s="39">
        <f t="shared" ref="F255:P255" si="106">SUM(F253:F254)</f>
        <v>140000</v>
      </c>
      <c r="G255" s="39">
        <f t="shared" si="106"/>
        <v>4018</v>
      </c>
      <c r="H255" s="39">
        <f t="shared" si="106"/>
        <v>4256</v>
      </c>
      <c r="I255" s="39">
        <f t="shared" si="106"/>
        <v>0</v>
      </c>
      <c r="J255" s="39">
        <f t="shared" si="106"/>
        <v>8274</v>
      </c>
      <c r="K255" s="39">
        <f t="shared" si="106"/>
        <v>131726</v>
      </c>
      <c r="L255" s="39">
        <f t="shared" si="106"/>
        <v>10887.587124999998</v>
      </c>
      <c r="M255" s="39">
        <f t="shared" si="106"/>
        <v>0</v>
      </c>
      <c r="N255" s="39">
        <f t="shared" si="106"/>
        <v>2418.2399999999998</v>
      </c>
      <c r="O255" s="39">
        <f t="shared" si="106"/>
        <v>21579.827125</v>
      </c>
      <c r="P255" s="39">
        <f t="shared" si="106"/>
        <v>118420.172875</v>
      </c>
      <c r="Q255" s="264"/>
    </row>
    <row r="256" spans="1:18" s="41" customFormat="1" ht="30" customHeight="1" thickBot="1" x14ac:dyDescent="0.3">
      <c r="A256" s="46"/>
      <c r="B256" s="44"/>
      <c r="C256" s="46"/>
      <c r="D256" s="44"/>
      <c r="E256" s="44"/>
      <c r="Q256" s="264"/>
      <c r="R256" s="55"/>
    </row>
    <row r="257" spans="1:18" s="41" customFormat="1" ht="30" customHeight="1" thickBot="1" x14ac:dyDescent="0.3">
      <c r="A257" s="274" t="s">
        <v>310</v>
      </c>
      <c r="B257" s="275"/>
      <c r="C257" s="275"/>
      <c r="D257" s="275"/>
      <c r="E257" s="232"/>
      <c r="F257" s="232"/>
      <c r="G257" s="232"/>
      <c r="H257" s="232"/>
      <c r="I257" s="232"/>
      <c r="J257" s="232"/>
      <c r="K257" s="232"/>
      <c r="L257" s="232"/>
      <c r="M257" s="232"/>
      <c r="N257" s="232"/>
      <c r="O257" s="232"/>
      <c r="P257" s="232"/>
      <c r="Q257" s="264"/>
      <c r="R257" s="55"/>
    </row>
    <row r="258" spans="1:18" s="41" customFormat="1" ht="30" customHeight="1" x14ac:dyDescent="0.25">
      <c r="A258" s="86">
        <f>+A254+1</f>
        <v>129</v>
      </c>
      <c r="B258" s="116" t="s">
        <v>4</v>
      </c>
      <c r="C258" s="38" t="s">
        <v>425</v>
      </c>
      <c r="D258" s="116" t="s">
        <v>454</v>
      </c>
      <c r="E258" s="116" t="s">
        <v>122</v>
      </c>
      <c r="F258" s="118">
        <v>105000</v>
      </c>
      <c r="G258" s="118">
        <f>F258*2.87%</f>
        <v>3013.5</v>
      </c>
      <c r="H258" s="88">
        <f>+F258*3.04%</f>
        <v>3192</v>
      </c>
      <c r="I258" s="88">
        <v>3154.9</v>
      </c>
      <c r="J258" s="83">
        <f t="shared" si="87"/>
        <v>9360.4</v>
      </c>
      <c r="K258" s="83">
        <f t="shared" si="91"/>
        <v>95639.6</v>
      </c>
      <c r="L258" s="83">
        <f t="shared" si="97"/>
        <v>12492.83729166667</v>
      </c>
      <c r="M258" s="83"/>
      <c r="N258" s="84">
        <v>25</v>
      </c>
      <c r="O258" s="115">
        <f t="shared" si="89"/>
        <v>21878.237291666672</v>
      </c>
      <c r="P258" s="84">
        <f>+F258-O258</f>
        <v>83121.762708333321</v>
      </c>
      <c r="Q258" s="264"/>
      <c r="R258" s="55"/>
    </row>
    <row r="259" spans="1:18" s="55" customFormat="1" ht="30" customHeight="1" x14ac:dyDescent="0.25">
      <c r="A259" s="226" t="s">
        <v>125</v>
      </c>
      <c r="B259" s="227"/>
      <c r="C259" s="227"/>
      <c r="D259" s="227"/>
      <c r="E259" s="228"/>
      <c r="F259" s="39">
        <f t="shared" ref="F259:P259" si="107">SUM(F258:F258)</f>
        <v>105000</v>
      </c>
      <c r="G259" s="39">
        <f t="shared" si="107"/>
        <v>3013.5</v>
      </c>
      <c r="H259" s="39">
        <f t="shared" si="107"/>
        <v>3192</v>
      </c>
      <c r="I259" s="39">
        <f t="shared" si="107"/>
        <v>3154.9</v>
      </c>
      <c r="J259" s="39">
        <f t="shared" si="107"/>
        <v>9360.4</v>
      </c>
      <c r="K259" s="39">
        <f t="shared" si="107"/>
        <v>95639.6</v>
      </c>
      <c r="L259" s="39">
        <f t="shared" si="107"/>
        <v>12492.83729166667</v>
      </c>
      <c r="M259" s="39"/>
      <c r="N259" s="39">
        <f t="shared" si="107"/>
        <v>25</v>
      </c>
      <c r="O259" s="39">
        <f t="shared" si="107"/>
        <v>21878.237291666672</v>
      </c>
      <c r="P259" s="39">
        <f t="shared" si="107"/>
        <v>83121.762708333321</v>
      </c>
      <c r="Q259" s="264"/>
    </row>
    <row r="260" spans="1:18" s="55" customFormat="1" ht="30" customHeight="1" thickBot="1" x14ac:dyDescent="0.3">
      <c r="A260" s="52"/>
      <c r="B260" s="52"/>
      <c r="C260" s="52"/>
      <c r="D260" s="52"/>
      <c r="E260" s="52"/>
      <c r="F260"/>
      <c r="G260"/>
      <c r="H260"/>
      <c r="I260"/>
      <c r="J260"/>
      <c r="K260"/>
      <c r="L260"/>
      <c r="M260"/>
      <c r="N260"/>
      <c r="O260"/>
      <c r="P260"/>
      <c r="Q260" s="264"/>
    </row>
    <row r="261" spans="1:18" s="41" customFormat="1" ht="30" customHeight="1" thickBot="1" x14ac:dyDescent="0.3">
      <c r="A261" s="234" t="s">
        <v>311</v>
      </c>
      <c r="B261" s="235"/>
      <c r="C261" s="235"/>
      <c r="D261" s="235"/>
      <c r="E261" s="235"/>
      <c r="F261" s="235"/>
      <c r="G261" s="235"/>
      <c r="H261" s="235"/>
      <c r="I261" s="235"/>
      <c r="J261" s="235"/>
      <c r="K261" s="235"/>
      <c r="L261" s="235"/>
      <c r="M261" s="235"/>
      <c r="N261" s="235"/>
      <c r="O261" s="235"/>
      <c r="P261" s="235"/>
      <c r="Q261" s="264"/>
      <c r="R261" s="55"/>
    </row>
    <row r="262" spans="1:18" s="41" customFormat="1" ht="30" customHeight="1" x14ac:dyDescent="0.25">
      <c r="A262" s="86">
        <f>+A258+1</f>
        <v>130</v>
      </c>
      <c r="B262" s="116" t="s">
        <v>312</v>
      </c>
      <c r="C262" s="38" t="s">
        <v>425</v>
      </c>
      <c r="D262" s="116" t="s">
        <v>83</v>
      </c>
      <c r="E262" s="116" t="s">
        <v>121</v>
      </c>
      <c r="F262" s="118">
        <v>90000</v>
      </c>
      <c r="G262" s="88">
        <f>F262*2.87%</f>
        <v>2583</v>
      </c>
      <c r="H262" s="88">
        <f>+F262*3.04%</f>
        <v>2736</v>
      </c>
      <c r="I262" s="88"/>
      <c r="J262" s="83">
        <f t="shared" si="87"/>
        <v>5319</v>
      </c>
      <c r="K262" s="83">
        <f t="shared" si="91"/>
        <v>84681</v>
      </c>
      <c r="L262" s="83">
        <f>+IF(K262*12&lt;=416220.01,0,IF(K262*12&lt;=624329.01,(((K262*12-416220.01)*0.15)/12),IF((K262*12&lt;=867123.01),(31216+0.2*(K262*12-624329.01))/12,((79776+0.25*(K262*12-867123.01))/12))))-M262</f>
        <v>9753.1872916666671</v>
      </c>
      <c r="M262" s="83"/>
      <c r="N262" s="84">
        <v>25</v>
      </c>
      <c r="O262" s="115">
        <f t="shared" si="89"/>
        <v>15097.187291666667</v>
      </c>
      <c r="P262" s="84">
        <f>+F262-O262</f>
        <v>74902.812708333338</v>
      </c>
      <c r="Q262" s="264"/>
      <c r="R262" s="55"/>
    </row>
    <row r="263" spans="1:18" s="55" customFormat="1" ht="30" customHeight="1" x14ac:dyDescent="0.25">
      <c r="A263" s="86">
        <f>+A262+1</f>
        <v>131</v>
      </c>
      <c r="B263" s="116" t="s">
        <v>19</v>
      </c>
      <c r="C263" s="38" t="s">
        <v>425</v>
      </c>
      <c r="D263" s="135" t="s">
        <v>313</v>
      </c>
      <c r="E263" s="116" t="s">
        <v>122</v>
      </c>
      <c r="F263" s="88">
        <v>68000</v>
      </c>
      <c r="G263" s="88">
        <f>F263*2.87%</f>
        <v>1951.6</v>
      </c>
      <c r="H263" s="88">
        <f>+F263*3.04%</f>
        <v>2067.1999999999998</v>
      </c>
      <c r="I263" s="88"/>
      <c r="J263" s="83">
        <f t="shared" si="87"/>
        <v>4018.7999999999997</v>
      </c>
      <c r="K263" s="83">
        <f t="shared" si="91"/>
        <v>63981.2</v>
      </c>
      <c r="L263" s="83">
        <f>+IF(K263*12&lt;=416220.01,0,IF(K263*12&lt;=624329.01,(((K263*12-416220.01)*0.15)/12),IF((K263*12&lt;=867123.01),(31216+0.2*(K263*12-624329.01))/12,((79776+0.25*(K263*12-867123.01))/12))))-M263</f>
        <v>4992.0898333333316</v>
      </c>
      <c r="M263" s="83"/>
      <c r="N263" s="84">
        <f>11471.45+100+25</f>
        <v>11596.45</v>
      </c>
      <c r="O263" s="115">
        <f t="shared" si="89"/>
        <v>20607.339833333332</v>
      </c>
      <c r="P263" s="84">
        <f>+F263-O263</f>
        <v>47392.660166666668</v>
      </c>
      <c r="Q263" s="264"/>
    </row>
    <row r="264" spans="1:18" s="93" customFormat="1" ht="30" customHeight="1" x14ac:dyDescent="0.25">
      <c r="A264" s="226" t="s">
        <v>125</v>
      </c>
      <c r="B264" s="227"/>
      <c r="C264" s="227"/>
      <c r="D264" s="227"/>
      <c r="E264" s="228"/>
      <c r="F264" s="39">
        <f t="shared" ref="F264:P264" si="108">SUM(F262:F263)</f>
        <v>158000</v>
      </c>
      <c r="G264" s="39">
        <f t="shared" si="108"/>
        <v>4534.6000000000004</v>
      </c>
      <c r="H264" s="39">
        <f t="shared" si="108"/>
        <v>4803.2</v>
      </c>
      <c r="I264" s="39">
        <f t="shared" si="108"/>
        <v>0</v>
      </c>
      <c r="J264" s="39">
        <f t="shared" si="108"/>
        <v>9337.7999999999993</v>
      </c>
      <c r="K264" s="39">
        <f t="shared" si="108"/>
        <v>148662.20000000001</v>
      </c>
      <c r="L264" s="39">
        <f t="shared" si="108"/>
        <v>14745.277124999999</v>
      </c>
      <c r="M264" s="39">
        <f t="shared" si="108"/>
        <v>0</v>
      </c>
      <c r="N264" s="39">
        <f t="shared" si="108"/>
        <v>11621.45</v>
      </c>
      <c r="O264" s="39">
        <f t="shared" si="108"/>
        <v>35704.527125000001</v>
      </c>
      <c r="P264" s="39">
        <f t="shared" si="108"/>
        <v>122295.47287500001</v>
      </c>
      <c r="Q264" s="267"/>
    </row>
    <row r="265" spans="1:18" s="55" customFormat="1" ht="30" customHeight="1" thickBot="1" x14ac:dyDescent="0.3">
      <c r="A265" s="52"/>
      <c r="B265" s="52"/>
      <c r="C265" s="52"/>
      <c r="D265" s="52"/>
      <c r="E265" s="52"/>
      <c r="F265"/>
      <c r="G265"/>
      <c r="H265"/>
      <c r="I265"/>
      <c r="J265"/>
      <c r="K265"/>
      <c r="L265"/>
      <c r="M265"/>
      <c r="N265"/>
      <c r="O265"/>
      <c r="P265"/>
      <c r="Q265" s="264"/>
    </row>
    <row r="266" spans="1:18" s="41" customFormat="1" ht="30" customHeight="1" thickBot="1" x14ac:dyDescent="0.3">
      <c r="A266" s="234" t="s">
        <v>315</v>
      </c>
      <c r="B266" s="235"/>
      <c r="C266" s="235"/>
      <c r="D266" s="235"/>
      <c r="E266" s="235"/>
      <c r="F266" s="235"/>
      <c r="G266" s="235"/>
      <c r="H266" s="235"/>
      <c r="I266" s="235"/>
      <c r="J266" s="235"/>
      <c r="K266" s="235"/>
      <c r="L266" s="235"/>
      <c r="M266" s="235"/>
      <c r="N266" s="235"/>
      <c r="O266" s="235"/>
      <c r="P266" s="235"/>
      <c r="Q266" s="264"/>
      <c r="R266" s="55"/>
    </row>
    <row r="267" spans="1:18" s="41" customFormat="1" ht="30" customHeight="1" x14ac:dyDescent="0.25">
      <c r="A267" s="86">
        <f>+A263+1</f>
        <v>132</v>
      </c>
      <c r="B267" s="116" t="s">
        <v>314</v>
      </c>
      <c r="C267" s="38" t="s">
        <v>425</v>
      </c>
      <c r="D267" s="116" t="s">
        <v>95</v>
      </c>
      <c r="E267" s="116" t="s">
        <v>122</v>
      </c>
      <c r="F267" s="118">
        <v>90000</v>
      </c>
      <c r="G267" s="118">
        <f>F267*2.87%</f>
        <v>2583</v>
      </c>
      <c r="H267" s="118">
        <f>+F267*3.04%</f>
        <v>2736</v>
      </c>
      <c r="I267" s="118">
        <v>1577.45</v>
      </c>
      <c r="J267" s="83">
        <f t="shared" ref="J267:J333" si="109">+G267+H267+I267</f>
        <v>6896.45</v>
      </c>
      <c r="K267" s="83">
        <f t="shared" si="91"/>
        <v>83103.55</v>
      </c>
      <c r="L267" s="83">
        <f>+IF(K267*12&lt;=416220.01,0,IF(K267*12&lt;=624329.01,(((K267*12-416220.01)*0.15)/12),IF((K267*12&lt;=867123.01),(31216+0.2*(K267*12-624329.01))/12,((79776+0.25*(K267*12-867123.01))/12))))-M267</f>
        <v>9358.8247916666678</v>
      </c>
      <c r="M267" s="83"/>
      <c r="N267" s="84">
        <v>125</v>
      </c>
      <c r="O267" s="115">
        <f t="shared" ref="O267:O334" si="110">+N267+I267+H267+G267+L267</f>
        <v>16380.274791666667</v>
      </c>
      <c r="P267" s="84">
        <f>+F267-O267</f>
        <v>73619.72520833333</v>
      </c>
      <c r="Q267" s="264"/>
      <c r="R267" s="55"/>
    </row>
    <row r="268" spans="1:18" s="55" customFormat="1" ht="30" customHeight="1" x14ac:dyDescent="0.25">
      <c r="A268" s="86">
        <f>+A267+1</f>
        <v>133</v>
      </c>
      <c r="B268" s="116" t="s">
        <v>18</v>
      </c>
      <c r="C268" s="38" t="s">
        <v>425</v>
      </c>
      <c r="D268" s="135" t="s">
        <v>313</v>
      </c>
      <c r="E268" s="116" t="s">
        <v>122</v>
      </c>
      <c r="F268" s="118">
        <v>68000</v>
      </c>
      <c r="G268" s="88">
        <f>F268*2.87%</f>
        <v>1951.6</v>
      </c>
      <c r="H268" s="88">
        <f>+F268*3.04%</f>
        <v>2067.1999999999998</v>
      </c>
      <c r="I268" s="88"/>
      <c r="J268" s="83">
        <f t="shared" si="109"/>
        <v>4018.7999999999997</v>
      </c>
      <c r="K268" s="83">
        <f t="shared" si="91"/>
        <v>63981.2</v>
      </c>
      <c r="L268" s="83">
        <f>+IF(K268*12&lt;=416220.01,0,IF(K268*12&lt;=624329.01,(((K268*12-416220.01)*0.15)/12),IF((K268*12&lt;=867123.01),(31216+0.2*(K268*12-624329.01))/12,((79776+0.25*(K268*12-867123.01))/12))))-M268</f>
        <v>4992.0898333333316</v>
      </c>
      <c r="M268" s="83"/>
      <c r="N268" s="84">
        <v>15321.23</v>
      </c>
      <c r="O268" s="115">
        <f t="shared" si="110"/>
        <v>24332.11983333333</v>
      </c>
      <c r="P268" s="84">
        <f>+F268-O268</f>
        <v>43667.88016666667</v>
      </c>
      <c r="Q268" s="264"/>
    </row>
    <row r="269" spans="1:18" s="55" customFormat="1" ht="30" customHeight="1" x14ac:dyDescent="0.25">
      <c r="A269" s="226" t="s">
        <v>125</v>
      </c>
      <c r="B269" s="227"/>
      <c r="C269" s="227"/>
      <c r="D269" s="227"/>
      <c r="E269" s="228"/>
      <c r="F269" s="39">
        <f t="shared" ref="F269:P269" si="111">SUM(F267:F268)</f>
        <v>158000</v>
      </c>
      <c r="G269" s="39">
        <f t="shared" si="111"/>
        <v>4534.6000000000004</v>
      </c>
      <c r="H269" s="39">
        <f t="shared" si="111"/>
        <v>4803.2</v>
      </c>
      <c r="I269" s="39">
        <f t="shared" si="111"/>
        <v>1577.45</v>
      </c>
      <c r="J269" s="39">
        <f t="shared" si="111"/>
        <v>10915.25</v>
      </c>
      <c r="K269" s="39">
        <f t="shared" si="111"/>
        <v>147084.75</v>
      </c>
      <c r="L269" s="39">
        <f t="shared" si="111"/>
        <v>14350.914624999999</v>
      </c>
      <c r="M269" s="39">
        <f t="shared" si="111"/>
        <v>0</v>
      </c>
      <c r="N269" s="39">
        <f t="shared" si="111"/>
        <v>15446.23</v>
      </c>
      <c r="O269" s="39">
        <f t="shared" si="111"/>
        <v>40712.394625000001</v>
      </c>
      <c r="P269" s="39">
        <f t="shared" si="111"/>
        <v>117287.605375</v>
      </c>
      <c r="Q269" s="264"/>
    </row>
    <row r="270" spans="1:18" s="55" customFormat="1" ht="30" customHeight="1" thickBot="1" x14ac:dyDescent="0.3">
      <c r="A270" s="52"/>
      <c r="B270" s="52"/>
      <c r="C270" s="52"/>
      <c r="D270" s="52"/>
      <c r="E270" s="5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264"/>
    </row>
    <row r="271" spans="1:18" s="55" customFormat="1" ht="30" customHeight="1" thickBot="1" x14ac:dyDescent="0.3">
      <c r="A271" s="234" t="s">
        <v>232</v>
      </c>
      <c r="B271" s="235"/>
      <c r="C271" s="235"/>
      <c r="D271" s="235"/>
      <c r="E271" s="235"/>
      <c r="F271" s="235"/>
      <c r="G271" s="235"/>
      <c r="H271" s="235"/>
      <c r="I271" s="235"/>
      <c r="J271" s="235"/>
      <c r="K271" s="235"/>
      <c r="L271" s="235"/>
      <c r="M271" s="235"/>
      <c r="N271" s="235"/>
      <c r="O271" s="235"/>
      <c r="P271" s="235"/>
      <c r="Q271" s="264"/>
    </row>
    <row r="272" spans="1:18" s="41" customFormat="1" ht="30" customHeight="1" x14ac:dyDescent="0.25">
      <c r="A272" s="86">
        <f>+A268+1</f>
        <v>134</v>
      </c>
      <c r="B272" s="116" t="s">
        <v>233</v>
      </c>
      <c r="C272" s="38" t="s">
        <v>425</v>
      </c>
      <c r="D272" s="116" t="s">
        <v>20</v>
      </c>
      <c r="E272" s="116" t="s">
        <v>122</v>
      </c>
      <c r="F272" s="118">
        <v>65000</v>
      </c>
      <c r="G272" s="118">
        <f>F272*2.87%</f>
        <v>1865.5</v>
      </c>
      <c r="H272" s="88">
        <f>+F272*3.04%</f>
        <v>1976</v>
      </c>
      <c r="I272" s="88">
        <v>1577.45</v>
      </c>
      <c r="J272" s="83">
        <f t="shared" si="109"/>
        <v>5418.95</v>
      </c>
      <c r="K272" s="83">
        <f t="shared" ref="K272:K337" si="112">+F272-J272</f>
        <v>59581.05</v>
      </c>
      <c r="L272" s="83">
        <f>+IF(K272*12&lt;=416220.01,0,IF(K272*12&lt;=624329.01,(((K272*12-416220.01)*0.15)/12),IF((K272*12&lt;=867123.01),(31216+0.2*(K272*12-624329.01))/12,((79776+0.25*(K272*12-867123.01))/12))))-M272</f>
        <v>4112.0598333333355</v>
      </c>
      <c r="M272" s="83"/>
      <c r="N272" s="84">
        <v>15130.41</v>
      </c>
      <c r="O272" s="115">
        <f t="shared" si="110"/>
        <v>24661.419833333337</v>
      </c>
      <c r="P272" s="84">
        <f>+F272-O272</f>
        <v>40338.580166666667</v>
      </c>
      <c r="Q272" s="264"/>
      <c r="R272" s="55"/>
    </row>
    <row r="273" spans="1:18" s="41" customFormat="1" ht="30" customHeight="1" x14ac:dyDescent="0.25">
      <c r="A273" s="86">
        <f>+A272+1</f>
        <v>135</v>
      </c>
      <c r="B273" s="116" t="s">
        <v>81</v>
      </c>
      <c r="C273" s="38" t="s">
        <v>425</v>
      </c>
      <c r="D273" s="116" t="s">
        <v>20</v>
      </c>
      <c r="E273" s="116" t="s">
        <v>122</v>
      </c>
      <c r="F273" s="118">
        <v>60000</v>
      </c>
      <c r="G273" s="118">
        <f>F273*2.87%</f>
        <v>1722</v>
      </c>
      <c r="H273" s="88">
        <f>+F273*3.04%</f>
        <v>1824</v>
      </c>
      <c r="I273" s="88"/>
      <c r="J273" s="83">
        <f t="shared" si="109"/>
        <v>3546</v>
      </c>
      <c r="K273" s="83">
        <f t="shared" si="112"/>
        <v>56454</v>
      </c>
      <c r="L273" s="83">
        <f t="shared" ref="L273:L274" si="113">+IF(K273*12&lt;=416220.01,0,IF(K273*12&lt;=624329.01,(((K273*12-416220.01)*0.15)/12),IF((K273*12&lt;=867123.01),(31216+0.2*(K273*12-624329.01))/12,((79776+0.25*(K273*12-867123.01))/12))))-M273</f>
        <v>3486.6498333333329</v>
      </c>
      <c r="M273" s="83"/>
      <c r="N273" s="84">
        <v>125</v>
      </c>
      <c r="O273" s="115">
        <f t="shared" si="110"/>
        <v>7157.6498333333329</v>
      </c>
      <c r="P273" s="84">
        <f>+F273-O273</f>
        <v>52842.350166666671</v>
      </c>
      <c r="Q273" s="264"/>
      <c r="R273" s="55"/>
    </row>
    <row r="274" spans="1:18" s="41" customFormat="1" ht="30" customHeight="1" x14ac:dyDescent="0.25">
      <c r="A274" s="86">
        <f>+A273+1</f>
        <v>136</v>
      </c>
      <c r="B274" s="116" t="s">
        <v>463</v>
      </c>
      <c r="C274" s="38" t="s">
        <v>425</v>
      </c>
      <c r="D274" s="116" t="s">
        <v>20</v>
      </c>
      <c r="E274" s="116" t="s">
        <v>122</v>
      </c>
      <c r="F274" s="118">
        <v>60000</v>
      </c>
      <c r="G274" s="118">
        <f>F274*2.87%</f>
        <v>1722</v>
      </c>
      <c r="H274" s="88">
        <f>+F274*3.04%</f>
        <v>1824</v>
      </c>
      <c r="I274" s="88">
        <v>3154.5</v>
      </c>
      <c r="J274" s="83">
        <f t="shared" si="109"/>
        <v>6700.5</v>
      </c>
      <c r="K274" s="83">
        <f t="shared" si="112"/>
        <v>53299.5</v>
      </c>
      <c r="L274" s="83">
        <f t="shared" si="113"/>
        <v>2855.7498333333333</v>
      </c>
      <c r="M274" s="83"/>
      <c r="N274" s="84">
        <v>125</v>
      </c>
      <c r="O274" s="115">
        <f t="shared" si="110"/>
        <v>9681.2498333333333</v>
      </c>
      <c r="P274" s="84">
        <f>+F274-O274</f>
        <v>50318.750166666665</v>
      </c>
      <c r="Q274" s="264"/>
      <c r="R274" s="55"/>
    </row>
    <row r="275" spans="1:18" s="41" customFormat="1" ht="30" customHeight="1" x14ac:dyDescent="0.25">
      <c r="A275" s="226" t="s">
        <v>125</v>
      </c>
      <c r="B275" s="227"/>
      <c r="C275" s="227"/>
      <c r="D275" s="227"/>
      <c r="E275" s="228"/>
      <c r="F275" s="39">
        <f t="shared" ref="F275:P275" si="114">SUM(F272:F274)</f>
        <v>185000</v>
      </c>
      <c r="G275" s="39">
        <f t="shared" si="114"/>
        <v>5309.5</v>
      </c>
      <c r="H275" s="39">
        <f t="shared" si="114"/>
        <v>5624</v>
      </c>
      <c r="I275" s="39">
        <f t="shared" si="114"/>
        <v>4731.95</v>
      </c>
      <c r="J275" s="39">
        <f t="shared" si="114"/>
        <v>15665.45</v>
      </c>
      <c r="K275" s="39">
        <f t="shared" si="114"/>
        <v>169334.55</v>
      </c>
      <c r="L275" s="39">
        <f t="shared" si="114"/>
        <v>10454.459500000001</v>
      </c>
      <c r="M275" s="39">
        <f t="shared" si="114"/>
        <v>0</v>
      </c>
      <c r="N275" s="39">
        <f t="shared" si="114"/>
        <v>15380.41</v>
      </c>
      <c r="O275" s="39">
        <f t="shared" si="114"/>
        <v>41500.319500000005</v>
      </c>
      <c r="P275" s="39">
        <f t="shared" si="114"/>
        <v>143499.68050000002</v>
      </c>
      <c r="Q275" s="264"/>
      <c r="R275" s="55"/>
    </row>
    <row r="276" spans="1:18" s="55" customFormat="1" ht="30" customHeight="1" thickBot="1" x14ac:dyDescent="0.3">
      <c r="A276" s="52"/>
      <c r="B276" s="52"/>
      <c r="C276" s="52"/>
      <c r="D276" s="52"/>
      <c r="E276" s="5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264"/>
    </row>
    <row r="277" spans="1:18" s="55" customFormat="1" ht="30" customHeight="1" thickBot="1" x14ac:dyDescent="0.3">
      <c r="A277" s="229" t="s">
        <v>625</v>
      </c>
      <c r="B277" s="230"/>
      <c r="C277" s="230"/>
      <c r="D277" s="230"/>
      <c r="E277" s="230"/>
      <c r="F277" s="230"/>
      <c r="G277" s="230"/>
      <c r="H277" s="230"/>
      <c r="I277" s="230"/>
      <c r="J277" s="230"/>
      <c r="K277" s="230"/>
      <c r="L277" s="230"/>
      <c r="M277" s="230"/>
      <c r="N277" s="230"/>
      <c r="O277" s="230"/>
      <c r="P277" s="230"/>
      <c r="Q277" s="264"/>
    </row>
    <row r="278" spans="1:18" s="55" customFormat="1" ht="30" customHeight="1" x14ac:dyDescent="0.25">
      <c r="A278" s="86">
        <f>+A274+1</f>
        <v>137</v>
      </c>
      <c r="B278" s="121" t="s">
        <v>624</v>
      </c>
      <c r="C278" s="131" t="s">
        <v>426</v>
      </c>
      <c r="D278" s="132" t="s">
        <v>22</v>
      </c>
      <c r="E278" s="116" t="s">
        <v>121</v>
      </c>
      <c r="F278" s="115">
        <v>40000</v>
      </c>
      <c r="G278" s="115">
        <f>F278*2.87%</f>
        <v>1148</v>
      </c>
      <c r="H278" s="83">
        <f>+F278*3.04%</f>
        <v>1216</v>
      </c>
      <c r="I278" s="83"/>
      <c r="J278" s="83">
        <f t="shared" ref="J278" si="115">+G278+H278+I278</f>
        <v>2364</v>
      </c>
      <c r="K278" s="83">
        <f t="shared" ref="K278" si="116">+F278-J278</f>
        <v>37636</v>
      </c>
      <c r="L278" s="83">
        <f>+IF(K278*12&lt;=416220.01,0,IF(K278*12&lt;=624329.01,(((K278*12-416220.01)*0.15)/12),IF((K278*12&lt;=867123.01),(31216+0.2*(K278*12-624329.01))/12,((79776+0.25*(K278*12-867123.01))/12))))-M278</f>
        <v>-1.2500000013915269E-4</v>
      </c>
      <c r="M278" s="83">
        <v>442.65</v>
      </c>
      <c r="N278" s="90">
        <v>8284.3799999999992</v>
      </c>
      <c r="O278" s="115">
        <f>+N278+I278+H278+G278+L278</f>
        <v>10648.379874999999</v>
      </c>
      <c r="P278" s="84">
        <f>+F278-O278</f>
        <v>29351.620125000001</v>
      </c>
      <c r="Q278" s="264"/>
    </row>
    <row r="279" spans="1:18" s="55" customFormat="1" ht="30" customHeight="1" x14ac:dyDescent="0.25">
      <c r="A279" s="226" t="s">
        <v>125</v>
      </c>
      <c r="B279" s="227"/>
      <c r="C279" s="227"/>
      <c r="D279" s="227"/>
      <c r="E279" s="228"/>
      <c r="F279" s="39">
        <f t="shared" ref="F279:P279" si="117">SUM(F278:F278)</f>
        <v>40000</v>
      </c>
      <c r="G279" s="39">
        <f t="shared" si="117"/>
        <v>1148</v>
      </c>
      <c r="H279" s="39">
        <f t="shared" si="117"/>
        <v>1216</v>
      </c>
      <c r="I279" s="39">
        <f t="shared" si="117"/>
        <v>0</v>
      </c>
      <c r="J279" s="39">
        <f t="shared" si="117"/>
        <v>2364</v>
      </c>
      <c r="K279" s="39">
        <f t="shared" si="117"/>
        <v>37636</v>
      </c>
      <c r="L279" s="39">
        <f t="shared" si="117"/>
        <v>-1.2500000013915269E-4</v>
      </c>
      <c r="M279" s="39">
        <f t="shared" si="117"/>
        <v>442.65</v>
      </c>
      <c r="N279" s="39">
        <f t="shared" si="117"/>
        <v>8284.3799999999992</v>
      </c>
      <c r="O279" s="39">
        <f t="shared" si="117"/>
        <v>10648.379874999999</v>
      </c>
      <c r="P279" s="39">
        <f t="shared" si="117"/>
        <v>29351.620125000001</v>
      </c>
      <c r="Q279" s="264"/>
    </row>
    <row r="280" spans="1:18" s="55" customFormat="1" ht="30" customHeight="1" thickBot="1" x14ac:dyDescent="0.3">
      <c r="A280" s="52"/>
      <c r="B280" s="52"/>
      <c r="C280" s="52"/>
      <c r="D280" s="52"/>
      <c r="E280" s="5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264"/>
    </row>
    <row r="281" spans="1:18" s="41" customFormat="1" ht="30" customHeight="1" thickBot="1" x14ac:dyDescent="0.3">
      <c r="A281" s="229" t="s">
        <v>316</v>
      </c>
      <c r="B281" s="230"/>
      <c r="C281" s="230"/>
      <c r="D281" s="230"/>
      <c r="E281" s="230"/>
      <c r="F281" s="230"/>
      <c r="G281" s="230"/>
      <c r="H281" s="230"/>
      <c r="I281" s="230"/>
      <c r="J281" s="230"/>
      <c r="K281" s="230"/>
      <c r="L281" s="230"/>
      <c r="M281" s="230"/>
      <c r="N281" s="230"/>
      <c r="O281" s="230"/>
      <c r="P281" s="230"/>
      <c r="Q281" s="264"/>
      <c r="R281" s="55"/>
    </row>
    <row r="282" spans="1:18" s="85" customFormat="1" ht="30" customHeight="1" x14ac:dyDescent="0.25">
      <c r="A282" s="86">
        <f>+A274+1</f>
        <v>137</v>
      </c>
      <c r="B282" s="121" t="s">
        <v>25</v>
      </c>
      <c r="C282" s="131" t="s">
        <v>426</v>
      </c>
      <c r="D282" s="132" t="s">
        <v>194</v>
      </c>
      <c r="E282" s="116" t="s">
        <v>122</v>
      </c>
      <c r="F282" s="115">
        <v>90000</v>
      </c>
      <c r="G282" s="115">
        <f>F282*2.87%</f>
        <v>2583</v>
      </c>
      <c r="H282" s="83">
        <f>+F282*3.04%</f>
        <v>2736</v>
      </c>
      <c r="I282" s="83"/>
      <c r="J282" s="83">
        <f t="shared" si="109"/>
        <v>5319</v>
      </c>
      <c r="K282" s="83">
        <f t="shared" si="112"/>
        <v>84681</v>
      </c>
      <c r="L282" s="83">
        <f>+IF(K282*12&lt;=416220.01,0,IF(K282*12&lt;=624329.01,(((K282*12-416220.01)*0.15)/12),IF((K282*12&lt;=867123.01),(31216+0.2*(K282*12-624329.01))/12,((79776+0.25*(K282*12-867123.01))/12))))-M282</f>
        <v>9753.1872916666671</v>
      </c>
      <c r="M282" s="83"/>
      <c r="N282" s="90">
        <v>25</v>
      </c>
      <c r="O282" s="115">
        <f t="shared" si="110"/>
        <v>15097.187291666667</v>
      </c>
      <c r="P282" s="84">
        <f>+F282-O282</f>
        <v>74902.812708333338</v>
      </c>
      <c r="Q282" s="263"/>
    </row>
    <row r="283" spans="1:18" s="85" customFormat="1" ht="30" customHeight="1" x14ac:dyDescent="0.25">
      <c r="A283" s="86">
        <f>+A282+1</f>
        <v>138</v>
      </c>
      <c r="B283" s="116" t="s">
        <v>36</v>
      </c>
      <c r="C283" s="38" t="s">
        <v>426</v>
      </c>
      <c r="D283" s="116" t="s">
        <v>94</v>
      </c>
      <c r="E283" s="116" t="s">
        <v>231</v>
      </c>
      <c r="F283" s="118">
        <v>50000</v>
      </c>
      <c r="G283" s="88">
        <f>F283*2.87%</f>
        <v>1435</v>
      </c>
      <c r="H283" s="83">
        <f>+F283*3.04%</f>
        <v>1520</v>
      </c>
      <c r="I283" s="83">
        <v>1577.45</v>
      </c>
      <c r="J283" s="83">
        <f t="shared" si="109"/>
        <v>4532.45</v>
      </c>
      <c r="K283" s="83">
        <f t="shared" si="112"/>
        <v>45467.55</v>
      </c>
      <c r="L283" s="83">
        <f>+IF(K283*12&lt;=416220.01,0,IF(K283*12&lt;=624329.01,(((K283*12-416220.01)*0.15)/12),IF((K283*12&lt;=867123.01),(31216+0.2*(K283*12-624329.01))/12,((79776+0.25*(K283*12-867123.01))/12))))-M283</f>
        <v>813.38237500000093</v>
      </c>
      <c r="M283" s="83">
        <f>1617.38-813.38</f>
        <v>804.00000000000011</v>
      </c>
      <c r="N283" s="90">
        <v>125</v>
      </c>
      <c r="O283" s="115">
        <f t="shared" si="110"/>
        <v>5470.8323750000009</v>
      </c>
      <c r="P283" s="84">
        <f>+F283-O283</f>
        <v>44529.167625000002</v>
      </c>
      <c r="Q283" s="263"/>
    </row>
    <row r="284" spans="1:18" s="85" customFormat="1" ht="30" customHeight="1" thickBot="1" x14ac:dyDescent="0.3">
      <c r="A284" s="226" t="s">
        <v>125</v>
      </c>
      <c r="B284" s="227"/>
      <c r="C284" s="227"/>
      <c r="D284" s="227"/>
      <c r="E284" s="228"/>
      <c r="F284" s="39">
        <f>SUM(F282:F283)</f>
        <v>140000</v>
      </c>
      <c r="G284" s="39">
        <f t="shared" ref="G284:P284" si="118">SUM(G282:G283)</f>
        <v>4018</v>
      </c>
      <c r="H284" s="39">
        <f t="shared" si="118"/>
        <v>4256</v>
      </c>
      <c r="I284" s="39">
        <f t="shared" si="118"/>
        <v>1577.45</v>
      </c>
      <c r="J284" s="39">
        <f t="shared" si="118"/>
        <v>9851.4500000000007</v>
      </c>
      <c r="K284" s="39">
        <f t="shared" si="118"/>
        <v>130148.55</v>
      </c>
      <c r="L284" s="39">
        <f t="shared" si="118"/>
        <v>10566.569666666668</v>
      </c>
      <c r="M284" s="39">
        <f t="shared" si="118"/>
        <v>804.00000000000011</v>
      </c>
      <c r="N284" s="39">
        <f t="shared" si="118"/>
        <v>150</v>
      </c>
      <c r="O284" s="39">
        <f t="shared" si="118"/>
        <v>20568.019666666667</v>
      </c>
      <c r="P284" s="39">
        <f t="shared" si="118"/>
        <v>119431.98033333334</v>
      </c>
      <c r="Q284" s="263"/>
    </row>
    <row r="285" spans="1:18" s="85" customFormat="1" ht="25.5" customHeight="1" thickBot="1" x14ac:dyDescent="0.3">
      <c r="A285" s="229" t="s">
        <v>317</v>
      </c>
      <c r="B285" s="230"/>
      <c r="C285" s="230"/>
      <c r="D285" s="230"/>
      <c r="E285" s="230"/>
      <c r="F285" s="230"/>
      <c r="G285" s="230"/>
      <c r="H285" s="230"/>
      <c r="I285" s="230"/>
      <c r="J285" s="230"/>
      <c r="K285" s="230"/>
      <c r="L285" s="230"/>
      <c r="M285" s="230"/>
      <c r="N285" s="230"/>
      <c r="O285" s="230"/>
      <c r="P285" s="230"/>
      <c r="Q285" s="263"/>
    </row>
    <row r="286" spans="1:18" s="92" customFormat="1" ht="30" customHeight="1" x14ac:dyDescent="0.25">
      <c r="A286" s="81">
        <f>+A283+1</f>
        <v>139</v>
      </c>
      <c r="B286" s="121" t="s">
        <v>401</v>
      </c>
      <c r="C286" s="131" t="s">
        <v>425</v>
      </c>
      <c r="D286" s="121" t="s">
        <v>318</v>
      </c>
      <c r="E286" s="116" t="s">
        <v>231</v>
      </c>
      <c r="F286" s="115">
        <v>50000</v>
      </c>
      <c r="G286" s="88">
        <f t="shared" ref="G286:G289" si="119">F286*2.87%</f>
        <v>1435</v>
      </c>
      <c r="H286" s="88">
        <f t="shared" ref="H286:H289" si="120">+F286*3.04%</f>
        <v>1520</v>
      </c>
      <c r="I286" s="83"/>
      <c r="J286" s="83">
        <f t="shared" si="109"/>
        <v>2955</v>
      </c>
      <c r="K286" s="83">
        <f t="shared" si="112"/>
        <v>47045</v>
      </c>
      <c r="L286" s="83">
        <f>+IF(K286*12&lt;=416220.01,0,IF(K286*12&lt;=624329.01,(((K286*12-416220.01)*0.15)/12),IF((K286*12&lt;=867123.01),(31216+0.2*(K286*12-624329.01))/12,((79776+0.25*(K286*12-867123.01))/12))))-M286</f>
        <v>1853.9998749999997</v>
      </c>
      <c r="M286" s="83"/>
      <c r="N286" s="84">
        <v>2125</v>
      </c>
      <c r="O286" s="115">
        <f t="shared" si="110"/>
        <v>6933.9998749999995</v>
      </c>
      <c r="P286" s="84">
        <f t="shared" ref="P286:P317" si="121">+F286-O286</f>
        <v>43066.000124999999</v>
      </c>
      <c r="Q286" s="265"/>
    </row>
    <row r="287" spans="1:18" s="96" customFormat="1" ht="30" customHeight="1" x14ac:dyDescent="0.25">
      <c r="A287" s="81">
        <f>+A286+1</f>
        <v>140</v>
      </c>
      <c r="B287" s="121" t="s">
        <v>150</v>
      </c>
      <c r="C287" s="131" t="s">
        <v>425</v>
      </c>
      <c r="D287" s="121" t="s">
        <v>318</v>
      </c>
      <c r="E287" s="116" t="s">
        <v>231</v>
      </c>
      <c r="F287" s="115">
        <v>35000</v>
      </c>
      <c r="G287" s="88">
        <f t="shared" si="119"/>
        <v>1004.5</v>
      </c>
      <c r="H287" s="88">
        <f t="shared" si="120"/>
        <v>1064</v>
      </c>
      <c r="I287" s="83"/>
      <c r="J287" s="83">
        <f>+G287+H287+I287</f>
        <v>2068.5</v>
      </c>
      <c r="K287" s="83">
        <f>+F287-J287</f>
        <v>32931.5</v>
      </c>
      <c r="L287" s="83">
        <f t="shared" ref="L287:L317" si="122">+IF(K287*12&lt;=416220.01,0,IF(K287*12&lt;=624329.01,(((K287*12-416220.01)*0.15)/12),IF((K287*12&lt;=867123.01),(31216+0.2*(K287*12-624329.01))/12,((79776+0.25*(K287*12-867123.01))/12))))-M287</f>
        <v>0</v>
      </c>
      <c r="M287" s="83"/>
      <c r="N287" s="84">
        <v>6088.65</v>
      </c>
      <c r="O287" s="115">
        <f t="shared" si="110"/>
        <v>8157.15</v>
      </c>
      <c r="P287" s="84">
        <f t="shared" si="121"/>
        <v>26842.85</v>
      </c>
      <c r="Q287" s="269"/>
    </row>
    <row r="288" spans="1:18" s="96" customFormat="1" ht="30" customHeight="1" x14ac:dyDescent="0.25">
      <c r="A288" s="81">
        <f>+A287+1</f>
        <v>141</v>
      </c>
      <c r="B288" s="121" t="s">
        <v>486</v>
      </c>
      <c r="C288" s="131" t="s">
        <v>425</v>
      </c>
      <c r="D288" s="121" t="s">
        <v>318</v>
      </c>
      <c r="E288" s="116" t="s">
        <v>231</v>
      </c>
      <c r="F288" s="115">
        <v>45000</v>
      </c>
      <c r="G288" s="88">
        <f>F288*2.87%</f>
        <v>1291.5</v>
      </c>
      <c r="H288" s="88">
        <f t="shared" si="120"/>
        <v>1368</v>
      </c>
      <c r="I288" s="83"/>
      <c r="J288" s="83">
        <f t="shared" si="109"/>
        <v>2659.5</v>
      </c>
      <c r="K288" s="83">
        <f t="shared" si="112"/>
        <v>42340.5</v>
      </c>
      <c r="L288" s="83">
        <f t="shared" si="122"/>
        <v>4.8749999998562998E-3</v>
      </c>
      <c r="M288" s="83">
        <v>1148.32</v>
      </c>
      <c r="N288" s="84">
        <v>15798.6</v>
      </c>
      <c r="O288" s="115">
        <f t="shared" si="110"/>
        <v>18458.104874999997</v>
      </c>
      <c r="P288" s="84">
        <f t="shared" si="121"/>
        <v>26541.895125000003</v>
      </c>
      <c r="Q288" s="269"/>
    </row>
    <row r="289" spans="1:18" s="55" customFormat="1" ht="30" customHeight="1" x14ac:dyDescent="0.25">
      <c r="A289" s="81">
        <f t="shared" ref="A289:A310" si="123">+A288+1</f>
        <v>142</v>
      </c>
      <c r="B289" s="116" t="s">
        <v>28</v>
      </c>
      <c r="C289" s="38" t="s">
        <v>426</v>
      </c>
      <c r="D289" s="116" t="s">
        <v>97</v>
      </c>
      <c r="E289" s="116" t="s">
        <v>122</v>
      </c>
      <c r="F289" s="118">
        <v>28875</v>
      </c>
      <c r="G289" s="88">
        <f t="shared" si="119"/>
        <v>828.71249999999998</v>
      </c>
      <c r="H289" s="88">
        <f t="shared" si="120"/>
        <v>877.8</v>
      </c>
      <c r="I289" s="88"/>
      <c r="J289" s="83">
        <f t="shared" si="109"/>
        <v>1706.5124999999998</v>
      </c>
      <c r="K289" s="83">
        <f t="shared" si="112"/>
        <v>27168.487499999999</v>
      </c>
      <c r="L289" s="83">
        <f t="shared" si="122"/>
        <v>0</v>
      </c>
      <c r="M289" s="83"/>
      <c r="N289" s="90">
        <v>3304.71</v>
      </c>
      <c r="O289" s="115">
        <f t="shared" si="110"/>
        <v>5011.2224999999999</v>
      </c>
      <c r="P289" s="84">
        <f t="shared" si="121"/>
        <v>23863.7775</v>
      </c>
      <c r="Q289" s="264"/>
    </row>
    <row r="290" spans="1:18" s="55" customFormat="1" ht="30" customHeight="1" x14ac:dyDescent="0.25">
      <c r="A290" s="81">
        <f t="shared" si="123"/>
        <v>143</v>
      </c>
      <c r="B290" s="116" t="s">
        <v>27</v>
      </c>
      <c r="C290" s="38" t="s">
        <v>426</v>
      </c>
      <c r="D290" s="116" t="s">
        <v>97</v>
      </c>
      <c r="E290" s="116" t="s">
        <v>122</v>
      </c>
      <c r="F290" s="118">
        <v>28000</v>
      </c>
      <c r="G290" s="88">
        <f>F290*2.87%</f>
        <v>803.6</v>
      </c>
      <c r="H290" s="88">
        <f>+F290*3.04%</f>
        <v>851.2</v>
      </c>
      <c r="I290" s="88">
        <v>3154.9</v>
      </c>
      <c r="J290" s="83">
        <f t="shared" si="109"/>
        <v>4809.7000000000007</v>
      </c>
      <c r="K290" s="83">
        <f t="shared" si="112"/>
        <v>23190.3</v>
      </c>
      <c r="L290" s="83">
        <f t="shared" si="122"/>
        <v>0</v>
      </c>
      <c r="M290" s="83"/>
      <c r="N290" s="90">
        <v>25</v>
      </c>
      <c r="O290" s="115">
        <f t="shared" si="110"/>
        <v>4834.7000000000007</v>
      </c>
      <c r="P290" s="84">
        <f t="shared" si="121"/>
        <v>23165.3</v>
      </c>
      <c r="Q290" s="264"/>
    </row>
    <row r="291" spans="1:18" s="55" customFormat="1" ht="30" customHeight="1" x14ac:dyDescent="0.25">
      <c r="A291" s="81">
        <f t="shared" si="123"/>
        <v>144</v>
      </c>
      <c r="B291" s="116" t="s">
        <v>195</v>
      </c>
      <c r="C291" s="38" t="s">
        <v>426</v>
      </c>
      <c r="D291" s="116" t="s">
        <v>97</v>
      </c>
      <c r="E291" s="116" t="s">
        <v>122</v>
      </c>
      <c r="F291" s="118">
        <v>28000</v>
      </c>
      <c r="G291" s="88">
        <f t="shared" ref="G291:G310" si="124">F291*2.87%</f>
        <v>803.6</v>
      </c>
      <c r="H291" s="88">
        <f t="shared" ref="H291:H310" si="125">+F291*3.04%</f>
        <v>851.2</v>
      </c>
      <c r="I291" s="88"/>
      <c r="J291" s="83">
        <f t="shared" si="109"/>
        <v>1654.8000000000002</v>
      </c>
      <c r="K291" s="83">
        <f t="shared" si="112"/>
        <v>26345.200000000001</v>
      </c>
      <c r="L291" s="83">
        <f t="shared" si="122"/>
        <v>0</v>
      </c>
      <c r="M291" s="83"/>
      <c r="N291" s="90">
        <f>2226.54+25</f>
        <v>2251.54</v>
      </c>
      <c r="O291" s="115">
        <f t="shared" si="110"/>
        <v>3906.3399999999997</v>
      </c>
      <c r="P291" s="84">
        <f t="shared" si="121"/>
        <v>24093.66</v>
      </c>
      <c r="Q291" s="264"/>
    </row>
    <row r="292" spans="1:18" s="55" customFormat="1" ht="30" customHeight="1" x14ac:dyDescent="0.25">
      <c r="A292" s="81">
        <f t="shared" si="123"/>
        <v>145</v>
      </c>
      <c r="B292" s="116" t="s">
        <v>319</v>
      </c>
      <c r="C292" s="38" t="s">
        <v>426</v>
      </c>
      <c r="D292" s="116" t="s">
        <v>34</v>
      </c>
      <c r="E292" s="116" t="s">
        <v>122</v>
      </c>
      <c r="F292" s="118">
        <v>28000</v>
      </c>
      <c r="G292" s="88">
        <f t="shared" si="124"/>
        <v>803.6</v>
      </c>
      <c r="H292" s="88">
        <f t="shared" si="125"/>
        <v>851.2</v>
      </c>
      <c r="I292" s="88"/>
      <c r="J292" s="83">
        <f t="shared" si="109"/>
        <v>1654.8000000000002</v>
      </c>
      <c r="K292" s="83">
        <f t="shared" si="112"/>
        <v>26345.200000000001</v>
      </c>
      <c r="L292" s="83">
        <f t="shared" si="122"/>
        <v>0</v>
      </c>
      <c r="M292" s="83"/>
      <c r="N292" s="90">
        <v>165</v>
      </c>
      <c r="O292" s="115">
        <f t="shared" si="110"/>
        <v>1819.8000000000002</v>
      </c>
      <c r="P292" s="84">
        <f t="shared" si="121"/>
        <v>26180.2</v>
      </c>
      <c r="Q292" s="264"/>
    </row>
    <row r="293" spans="1:18" s="55" customFormat="1" ht="30" customHeight="1" x14ac:dyDescent="0.25">
      <c r="A293" s="81">
        <f t="shared" si="123"/>
        <v>146</v>
      </c>
      <c r="B293" s="116" t="s">
        <v>30</v>
      </c>
      <c r="C293" s="38" t="s">
        <v>426</v>
      </c>
      <c r="D293" s="116" t="s">
        <v>34</v>
      </c>
      <c r="E293" s="116" t="s">
        <v>231</v>
      </c>
      <c r="F293" s="118">
        <v>28000</v>
      </c>
      <c r="G293" s="88">
        <f t="shared" si="124"/>
        <v>803.6</v>
      </c>
      <c r="H293" s="88">
        <f t="shared" si="125"/>
        <v>851.2</v>
      </c>
      <c r="I293" s="88">
        <v>3154.9</v>
      </c>
      <c r="J293" s="83">
        <f t="shared" si="109"/>
        <v>4809.7000000000007</v>
      </c>
      <c r="K293" s="83">
        <f t="shared" si="112"/>
        <v>23190.3</v>
      </c>
      <c r="L293" s="83">
        <f t="shared" si="122"/>
        <v>0</v>
      </c>
      <c r="M293" s="83"/>
      <c r="N293" s="90">
        <v>9479.5400000000009</v>
      </c>
      <c r="O293" s="115">
        <f t="shared" si="110"/>
        <v>14289.240000000002</v>
      </c>
      <c r="P293" s="84">
        <f t="shared" si="121"/>
        <v>13710.759999999998</v>
      </c>
      <c r="Q293" s="264"/>
    </row>
    <row r="294" spans="1:18" s="55" customFormat="1" ht="30" customHeight="1" x14ac:dyDescent="0.25">
      <c r="A294" s="81">
        <f t="shared" si="123"/>
        <v>147</v>
      </c>
      <c r="B294" s="116" t="s">
        <v>31</v>
      </c>
      <c r="C294" s="38" t="s">
        <v>425</v>
      </c>
      <c r="D294" s="116" t="s">
        <v>34</v>
      </c>
      <c r="E294" s="116" t="s">
        <v>231</v>
      </c>
      <c r="F294" s="118">
        <v>28000</v>
      </c>
      <c r="G294" s="88">
        <f t="shared" si="124"/>
        <v>803.6</v>
      </c>
      <c r="H294" s="88">
        <f t="shared" si="125"/>
        <v>851.2</v>
      </c>
      <c r="I294" s="88"/>
      <c r="J294" s="83">
        <f t="shared" si="109"/>
        <v>1654.8000000000002</v>
      </c>
      <c r="K294" s="83">
        <f t="shared" si="112"/>
        <v>26345.200000000001</v>
      </c>
      <c r="L294" s="83">
        <f t="shared" si="122"/>
        <v>0</v>
      </c>
      <c r="M294" s="83"/>
      <c r="N294" s="90">
        <v>2897.73</v>
      </c>
      <c r="O294" s="115">
        <f t="shared" si="110"/>
        <v>4552.5300000000007</v>
      </c>
      <c r="P294" s="84">
        <f t="shared" si="121"/>
        <v>23447.47</v>
      </c>
      <c r="Q294" s="264"/>
    </row>
    <row r="295" spans="1:18" s="55" customFormat="1" ht="30" customHeight="1" x14ac:dyDescent="0.25">
      <c r="A295" s="81">
        <f t="shared" si="123"/>
        <v>148</v>
      </c>
      <c r="B295" s="116" t="s">
        <v>320</v>
      </c>
      <c r="C295" s="38" t="s">
        <v>426</v>
      </c>
      <c r="D295" s="116" t="s">
        <v>34</v>
      </c>
      <c r="E295" s="116" t="s">
        <v>122</v>
      </c>
      <c r="F295" s="118">
        <v>28000</v>
      </c>
      <c r="G295" s="88">
        <f t="shared" si="124"/>
        <v>803.6</v>
      </c>
      <c r="H295" s="88">
        <f t="shared" si="125"/>
        <v>851.2</v>
      </c>
      <c r="I295" s="88"/>
      <c r="J295" s="83">
        <f t="shared" si="109"/>
        <v>1654.8000000000002</v>
      </c>
      <c r="K295" s="83">
        <f t="shared" si="112"/>
        <v>26345.200000000001</v>
      </c>
      <c r="L295" s="83">
        <f t="shared" si="122"/>
        <v>0</v>
      </c>
      <c r="M295" s="83"/>
      <c r="N295" s="90">
        <v>125</v>
      </c>
      <c r="O295" s="115">
        <f t="shared" si="110"/>
        <v>1779.8000000000002</v>
      </c>
      <c r="P295" s="84">
        <f t="shared" si="121"/>
        <v>26220.2</v>
      </c>
      <c r="Q295" s="264"/>
    </row>
    <row r="296" spans="1:18" s="55" customFormat="1" ht="30" customHeight="1" x14ac:dyDescent="0.25">
      <c r="A296" s="81">
        <f t="shared" si="123"/>
        <v>149</v>
      </c>
      <c r="B296" s="116" t="s">
        <v>32</v>
      </c>
      <c r="C296" s="38" t="s">
        <v>426</v>
      </c>
      <c r="D296" s="116" t="s">
        <v>34</v>
      </c>
      <c r="E296" s="116" t="s">
        <v>122</v>
      </c>
      <c r="F296" s="118">
        <v>28000</v>
      </c>
      <c r="G296" s="88">
        <f t="shared" si="124"/>
        <v>803.6</v>
      </c>
      <c r="H296" s="88">
        <f t="shared" si="125"/>
        <v>851.2</v>
      </c>
      <c r="I296" s="88">
        <v>1577.45</v>
      </c>
      <c r="J296" s="83">
        <f t="shared" si="109"/>
        <v>3232.25</v>
      </c>
      <c r="K296" s="83">
        <f t="shared" si="112"/>
        <v>24767.75</v>
      </c>
      <c r="L296" s="83">
        <f t="shared" si="122"/>
        <v>0</v>
      </c>
      <c r="M296" s="83"/>
      <c r="N296" s="90">
        <v>2232.11</v>
      </c>
      <c r="O296" s="115">
        <f t="shared" si="110"/>
        <v>5464.3600000000006</v>
      </c>
      <c r="P296" s="84">
        <f t="shared" si="121"/>
        <v>22535.64</v>
      </c>
      <c r="Q296" s="264"/>
    </row>
    <row r="297" spans="1:18" s="55" customFormat="1" ht="30" customHeight="1" x14ac:dyDescent="0.25">
      <c r="A297" s="81">
        <f t="shared" si="123"/>
        <v>150</v>
      </c>
      <c r="B297" s="116" t="s">
        <v>33</v>
      </c>
      <c r="C297" s="38" t="s">
        <v>425</v>
      </c>
      <c r="D297" s="116" t="s">
        <v>34</v>
      </c>
      <c r="E297" s="116" t="s">
        <v>122</v>
      </c>
      <c r="F297" s="118">
        <v>28000</v>
      </c>
      <c r="G297" s="88">
        <f t="shared" si="124"/>
        <v>803.6</v>
      </c>
      <c r="H297" s="88">
        <f t="shared" si="125"/>
        <v>851.2</v>
      </c>
      <c r="I297" s="88"/>
      <c r="J297" s="83">
        <f t="shared" si="109"/>
        <v>1654.8000000000002</v>
      </c>
      <c r="K297" s="83">
        <f t="shared" si="112"/>
        <v>26345.200000000001</v>
      </c>
      <c r="L297" s="83">
        <f t="shared" si="122"/>
        <v>0</v>
      </c>
      <c r="M297" s="83"/>
      <c r="N297" s="90">
        <v>125</v>
      </c>
      <c r="O297" s="115">
        <f t="shared" si="110"/>
        <v>1779.8000000000002</v>
      </c>
      <c r="P297" s="84">
        <f t="shared" si="121"/>
        <v>26220.2</v>
      </c>
      <c r="Q297" s="264"/>
    </row>
    <row r="298" spans="1:18" s="55" customFormat="1" ht="30" customHeight="1" x14ac:dyDescent="0.25">
      <c r="A298" s="81">
        <f t="shared" si="123"/>
        <v>151</v>
      </c>
      <c r="B298" s="116" t="s">
        <v>29</v>
      </c>
      <c r="C298" s="38" t="s">
        <v>425</v>
      </c>
      <c r="D298" s="116" t="s">
        <v>34</v>
      </c>
      <c r="E298" s="116" t="s">
        <v>122</v>
      </c>
      <c r="F298" s="118">
        <v>24000</v>
      </c>
      <c r="G298" s="88">
        <f t="shared" si="124"/>
        <v>688.8</v>
      </c>
      <c r="H298" s="88">
        <f t="shared" si="125"/>
        <v>729.6</v>
      </c>
      <c r="I298" s="88"/>
      <c r="J298" s="83">
        <f t="shared" si="109"/>
        <v>1418.4</v>
      </c>
      <c r="K298" s="83">
        <f t="shared" si="112"/>
        <v>22581.599999999999</v>
      </c>
      <c r="L298" s="83">
        <f t="shared" si="122"/>
        <v>0</v>
      </c>
      <c r="M298" s="83"/>
      <c r="N298" s="90">
        <f>6455.4+25+100</f>
        <v>6580.4</v>
      </c>
      <c r="O298" s="115">
        <f t="shared" si="110"/>
        <v>7998.8</v>
      </c>
      <c r="P298" s="84">
        <f t="shared" si="121"/>
        <v>16001.2</v>
      </c>
      <c r="Q298" s="264"/>
    </row>
    <row r="299" spans="1:18" s="34" customFormat="1" ht="28.5" customHeight="1" x14ac:dyDescent="0.25">
      <c r="A299" s="81">
        <f t="shared" si="123"/>
        <v>152</v>
      </c>
      <c r="B299" s="116" t="s">
        <v>321</v>
      </c>
      <c r="C299" s="38" t="s">
        <v>426</v>
      </c>
      <c r="D299" s="116" t="s">
        <v>34</v>
      </c>
      <c r="E299" s="116" t="s">
        <v>122</v>
      </c>
      <c r="F299" s="118">
        <v>24000</v>
      </c>
      <c r="G299" s="88">
        <f t="shared" si="124"/>
        <v>688.8</v>
      </c>
      <c r="H299" s="88">
        <f t="shared" si="125"/>
        <v>729.6</v>
      </c>
      <c r="I299" s="88"/>
      <c r="J299" s="83">
        <f t="shared" si="109"/>
        <v>1418.4</v>
      </c>
      <c r="K299" s="83">
        <f t="shared" si="112"/>
        <v>22581.599999999999</v>
      </c>
      <c r="L299" s="83">
        <f t="shared" si="122"/>
        <v>0</v>
      </c>
      <c r="M299" s="83"/>
      <c r="N299" s="90">
        <v>125</v>
      </c>
      <c r="O299" s="115">
        <f t="shared" si="110"/>
        <v>1543.4</v>
      </c>
      <c r="P299" s="84">
        <f t="shared" si="121"/>
        <v>22456.6</v>
      </c>
      <c r="Q299" s="263"/>
      <c r="R299" s="85"/>
    </row>
    <row r="300" spans="1:18" s="34" customFormat="1" ht="28.5" customHeight="1" x14ac:dyDescent="0.25">
      <c r="A300" s="81">
        <f t="shared" si="123"/>
        <v>153</v>
      </c>
      <c r="B300" s="116" t="s">
        <v>322</v>
      </c>
      <c r="C300" s="38" t="s">
        <v>425</v>
      </c>
      <c r="D300" s="116" t="s">
        <v>34</v>
      </c>
      <c r="E300" s="116" t="s">
        <v>231</v>
      </c>
      <c r="F300" s="118">
        <v>24000</v>
      </c>
      <c r="G300" s="88">
        <f t="shared" si="124"/>
        <v>688.8</v>
      </c>
      <c r="H300" s="88">
        <f t="shared" si="125"/>
        <v>729.6</v>
      </c>
      <c r="I300" s="88"/>
      <c r="J300" s="83">
        <f t="shared" si="109"/>
        <v>1418.4</v>
      </c>
      <c r="K300" s="83">
        <f t="shared" si="112"/>
        <v>22581.599999999999</v>
      </c>
      <c r="L300" s="83">
        <f t="shared" si="122"/>
        <v>0</v>
      </c>
      <c r="M300" s="83"/>
      <c r="N300" s="90">
        <v>3182.1</v>
      </c>
      <c r="O300" s="115">
        <f t="shared" si="110"/>
        <v>4600.5</v>
      </c>
      <c r="P300" s="84">
        <f t="shared" si="121"/>
        <v>19399.5</v>
      </c>
      <c r="Q300" s="263"/>
      <c r="R300" s="85"/>
    </row>
    <row r="301" spans="1:18" s="34" customFormat="1" ht="28.5" customHeight="1" x14ac:dyDescent="0.25">
      <c r="A301" s="81">
        <f t="shared" si="123"/>
        <v>154</v>
      </c>
      <c r="B301" s="116" t="s">
        <v>323</v>
      </c>
      <c r="C301" s="38" t="s">
        <v>425</v>
      </c>
      <c r="D301" s="116" t="s">
        <v>34</v>
      </c>
      <c r="E301" s="116" t="s">
        <v>231</v>
      </c>
      <c r="F301" s="118">
        <v>24000</v>
      </c>
      <c r="G301" s="88">
        <f t="shared" si="124"/>
        <v>688.8</v>
      </c>
      <c r="H301" s="88">
        <f t="shared" si="125"/>
        <v>729.6</v>
      </c>
      <c r="I301" s="88"/>
      <c r="J301" s="83">
        <f t="shared" si="109"/>
        <v>1418.4</v>
      </c>
      <c r="K301" s="83">
        <f t="shared" si="112"/>
        <v>22581.599999999999</v>
      </c>
      <c r="L301" s="83">
        <f t="shared" si="122"/>
        <v>0</v>
      </c>
      <c r="M301" s="83"/>
      <c r="N301" s="90">
        <v>125</v>
      </c>
      <c r="O301" s="115">
        <f t="shared" si="110"/>
        <v>1543.4</v>
      </c>
      <c r="P301" s="84">
        <f t="shared" si="121"/>
        <v>22456.6</v>
      </c>
      <c r="Q301" s="263"/>
      <c r="R301" s="85"/>
    </row>
    <row r="302" spans="1:18" s="34" customFormat="1" ht="28.5" customHeight="1" x14ac:dyDescent="0.25">
      <c r="A302" s="81">
        <f>+A301+1</f>
        <v>155</v>
      </c>
      <c r="B302" s="122" t="s">
        <v>148</v>
      </c>
      <c r="C302" s="187" t="s">
        <v>426</v>
      </c>
      <c r="D302" s="116" t="s">
        <v>34</v>
      </c>
      <c r="E302" s="116" t="s">
        <v>231</v>
      </c>
      <c r="F302" s="118">
        <v>24000</v>
      </c>
      <c r="G302" s="88">
        <f t="shared" si="124"/>
        <v>688.8</v>
      </c>
      <c r="H302" s="88">
        <f t="shared" si="125"/>
        <v>729.6</v>
      </c>
      <c r="I302" s="88"/>
      <c r="J302" s="83">
        <f t="shared" si="109"/>
        <v>1418.4</v>
      </c>
      <c r="K302" s="83">
        <f t="shared" si="112"/>
        <v>22581.599999999999</v>
      </c>
      <c r="L302" s="83">
        <f t="shared" si="122"/>
        <v>0</v>
      </c>
      <c r="M302" s="83"/>
      <c r="N302" s="90">
        <v>9589.2800000000007</v>
      </c>
      <c r="O302" s="115">
        <f t="shared" si="110"/>
        <v>11007.68</v>
      </c>
      <c r="P302" s="84">
        <f t="shared" si="121"/>
        <v>12992.32</v>
      </c>
      <c r="Q302" s="263"/>
      <c r="R302" s="85"/>
    </row>
    <row r="303" spans="1:18" s="34" customFormat="1" ht="28.5" customHeight="1" x14ac:dyDescent="0.25">
      <c r="A303" s="81">
        <f t="shared" si="123"/>
        <v>156</v>
      </c>
      <c r="B303" s="116" t="s">
        <v>326</v>
      </c>
      <c r="C303" s="188" t="s">
        <v>426</v>
      </c>
      <c r="D303" s="116" t="s">
        <v>34</v>
      </c>
      <c r="E303" s="116" t="s">
        <v>231</v>
      </c>
      <c r="F303" s="118">
        <v>24000</v>
      </c>
      <c r="G303" s="88">
        <f t="shared" si="124"/>
        <v>688.8</v>
      </c>
      <c r="H303" s="88">
        <f t="shared" si="125"/>
        <v>729.6</v>
      </c>
      <c r="I303" s="88"/>
      <c r="J303" s="83">
        <f t="shared" si="109"/>
        <v>1418.4</v>
      </c>
      <c r="K303" s="83">
        <f t="shared" si="112"/>
        <v>22581.599999999999</v>
      </c>
      <c r="L303" s="83">
        <f t="shared" si="122"/>
        <v>0</v>
      </c>
      <c r="M303" s="83"/>
      <c r="N303" s="90">
        <v>4162.45</v>
      </c>
      <c r="O303" s="115">
        <f t="shared" si="110"/>
        <v>5580.85</v>
      </c>
      <c r="P303" s="84">
        <f t="shared" si="121"/>
        <v>18419.150000000001</v>
      </c>
      <c r="Q303" s="263"/>
      <c r="R303" s="85"/>
    </row>
    <row r="304" spans="1:18" s="34" customFormat="1" ht="28.5" customHeight="1" x14ac:dyDescent="0.25">
      <c r="A304" s="81">
        <f t="shared" si="123"/>
        <v>157</v>
      </c>
      <c r="B304" s="116" t="s">
        <v>324</v>
      </c>
      <c r="C304" s="38" t="s">
        <v>426</v>
      </c>
      <c r="D304" s="116" t="s">
        <v>34</v>
      </c>
      <c r="E304" s="116" t="s">
        <v>231</v>
      </c>
      <c r="F304" s="118">
        <v>19200</v>
      </c>
      <c r="G304" s="88">
        <f t="shared" si="124"/>
        <v>551.04</v>
      </c>
      <c r="H304" s="88">
        <f t="shared" si="125"/>
        <v>583.67999999999995</v>
      </c>
      <c r="I304" s="88"/>
      <c r="J304" s="83">
        <f t="shared" si="109"/>
        <v>1134.7199999999998</v>
      </c>
      <c r="K304" s="83">
        <f t="shared" si="112"/>
        <v>18065.28</v>
      </c>
      <c r="L304" s="83">
        <f t="shared" si="122"/>
        <v>0</v>
      </c>
      <c r="M304" s="83"/>
      <c r="N304" s="90">
        <v>245</v>
      </c>
      <c r="O304" s="115">
        <f t="shared" si="110"/>
        <v>1379.7199999999998</v>
      </c>
      <c r="P304" s="84">
        <f t="shared" si="121"/>
        <v>17820.28</v>
      </c>
      <c r="Q304" s="263"/>
      <c r="R304" s="85"/>
    </row>
    <row r="305" spans="1:18" s="34" customFormat="1" ht="28.5" customHeight="1" x14ac:dyDescent="0.25">
      <c r="A305" s="81">
        <f t="shared" si="123"/>
        <v>158</v>
      </c>
      <c r="B305" s="116" t="s">
        <v>325</v>
      </c>
      <c r="C305" s="38" t="s">
        <v>426</v>
      </c>
      <c r="D305" s="116" t="s">
        <v>34</v>
      </c>
      <c r="E305" s="116" t="s">
        <v>231</v>
      </c>
      <c r="F305" s="118">
        <v>20000</v>
      </c>
      <c r="G305" s="88">
        <f t="shared" si="124"/>
        <v>574</v>
      </c>
      <c r="H305" s="88">
        <f t="shared" si="125"/>
        <v>608</v>
      </c>
      <c r="I305" s="88"/>
      <c r="J305" s="83">
        <f t="shared" si="109"/>
        <v>1182</v>
      </c>
      <c r="K305" s="83">
        <f t="shared" si="112"/>
        <v>18818</v>
      </c>
      <c r="L305" s="83">
        <f t="shared" si="122"/>
        <v>0</v>
      </c>
      <c r="M305" s="83"/>
      <c r="N305" s="90">
        <v>4190.3500000000004</v>
      </c>
      <c r="O305" s="115">
        <f t="shared" si="110"/>
        <v>5372.35</v>
      </c>
      <c r="P305" s="84">
        <f t="shared" si="121"/>
        <v>14627.65</v>
      </c>
      <c r="Q305" s="263"/>
      <c r="R305" s="85"/>
    </row>
    <row r="306" spans="1:18" s="34" customFormat="1" ht="28.5" customHeight="1" x14ac:dyDescent="0.25">
      <c r="A306" s="81">
        <f t="shared" si="123"/>
        <v>159</v>
      </c>
      <c r="B306" s="116" t="s">
        <v>214</v>
      </c>
      <c r="C306" s="38" t="s">
        <v>426</v>
      </c>
      <c r="D306" s="116" t="s">
        <v>34</v>
      </c>
      <c r="E306" s="116" t="s">
        <v>231</v>
      </c>
      <c r="F306" s="118">
        <v>20000</v>
      </c>
      <c r="G306" s="88">
        <f t="shared" si="124"/>
        <v>574</v>
      </c>
      <c r="H306" s="88">
        <f t="shared" si="125"/>
        <v>608</v>
      </c>
      <c r="I306" s="88"/>
      <c r="J306" s="83">
        <f t="shared" si="109"/>
        <v>1182</v>
      </c>
      <c r="K306" s="83">
        <f t="shared" si="112"/>
        <v>18818</v>
      </c>
      <c r="L306" s="83">
        <f t="shared" si="122"/>
        <v>0</v>
      </c>
      <c r="M306" s="83"/>
      <c r="N306" s="90">
        <v>125</v>
      </c>
      <c r="O306" s="115">
        <f t="shared" si="110"/>
        <v>1307</v>
      </c>
      <c r="P306" s="84">
        <f t="shared" si="121"/>
        <v>18693</v>
      </c>
      <c r="Q306" s="263"/>
      <c r="R306" s="85"/>
    </row>
    <row r="307" spans="1:18" s="34" customFormat="1" ht="28.5" customHeight="1" x14ac:dyDescent="0.25">
      <c r="A307" s="81">
        <f t="shared" si="123"/>
        <v>160</v>
      </c>
      <c r="B307" s="116" t="s">
        <v>215</v>
      </c>
      <c r="C307" s="38" t="s">
        <v>426</v>
      </c>
      <c r="D307" s="116" t="s">
        <v>34</v>
      </c>
      <c r="E307" s="116" t="s">
        <v>231</v>
      </c>
      <c r="F307" s="118">
        <v>20000</v>
      </c>
      <c r="G307" s="88">
        <f t="shared" si="124"/>
        <v>574</v>
      </c>
      <c r="H307" s="88">
        <f t="shared" si="125"/>
        <v>608</v>
      </c>
      <c r="I307" s="88"/>
      <c r="J307" s="83">
        <f t="shared" si="109"/>
        <v>1182</v>
      </c>
      <c r="K307" s="83">
        <f t="shared" si="112"/>
        <v>18818</v>
      </c>
      <c r="L307" s="83">
        <f t="shared" si="122"/>
        <v>0</v>
      </c>
      <c r="M307" s="83"/>
      <c r="N307" s="90">
        <v>1125</v>
      </c>
      <c r="O307" s="115">
        <f t="shared" si="110"/>
        <v>2307</v>
      </c>
      <c r="P307" s="84">
        <f t="shared" si="121"/>
        <v>17693</v>
      </c>
      <c r="Q307" s="263"/>
      <c r="R307" s="85"/>
    </row>
    <row r="308" spans="1:18" s="34" customFormat="1" ht="28.5" customHeight="1" x14ac:dyDescent="0.25">
      <c r="A308" s="81">
        <f t="shared" si="123"/>
        <v>161</v>
      </c>
      <c r="B308" s="116" t="s">
        <v>483</v>
      </c>
      <c r="C308" s="187" t="s">
        <v>425</v>
      </c>
      <c r="D308" s="116" t="s">
        <v>34</v>
      </c>
      <c r="E308" s="116" t="s">
        <v>231</v>
      </c>
      <c r="F308" s="118">
        <v>20000</v>
      </c>
      <c r="G308" s="88">
        <f t="shared" si="124"/>
        <v>574</v>
      </c>
      <c r="H308" s="88">
        <f t="shared" si="125"/>
        <v>608</v>
      </c>
      <c r="I308" s="88"/>
      <c r="J308" s="83">
        <f t="shared" si="109"/>
        <v>1182</v>
      </c>
      <c r="K308" s="83">
        <f t="shared" si="112"/>
        <v>18818</v>
      </c>
      <c r="L308" s="83">
        <f t="shared" si="122"/>
        <v>0</v>
      </c>
      <c r="M308" s="83"/>
      <c r="N308" s="90">
        <v>25</v>
      </c>
      <c r="O308" s="115">
        <f t="shared" si="110"/>
        <v>1207</v>
      </c>
      <c r="P308" s="84">
        <f t="shared" si="121"/>
        <v>18793</v>
      </c>
      <c r="Q308" s="263"/>
      <c r="R308" s="85"/>
    </row>
    <row r="309" spans="1:18" s="41" customFormat="1" ht="33.75" customHeight="1" x14ac:dyDescent="0.25">
      <c r="A309" s="81">
        <f t="shared" si="123"/>
        <v>162</v>
      </c>
      <c r="B309" s="116" t="s">
        <v>484</v>
      </c>
      <c r="C309" s="187" t="s">
        <v>426</v>
      </c>
      <c r="D309" s="116" t="s">
        <v>34</v>
      </c>
      <c r="E309" s="116" t="s">
        <v>231</v>
      </c>
      <c r="F309" s="118">
        <v>20000</v>
      </c>
      <c r="G309" s="88">
        <f t="shared" si="124"/>
        <v>574</v>
      </c>
      <c r="H309" s="88">
        <f t="shared" si="125"/>
        <v>608</v>
      </c>
      <c r="I309" s="88"/>
      <c r="J309" s="83">
        <f t="shared" si="109"/>
        <v>1182</v>
      </c>
      <c r="K309" s="83">
        <f t="shared" si="112"/>
        <v>18818</v>
      </c>
      <c r="L309" s="83">
        <f t="shared" si="122"/>
        <v>0</v>
      </c>
      <c r="M309" s="83"/>
      <c r="N309" s="90">
        <v>125</v>
      </c>
      <c r="O309" s="115">
        <f t="shared" si="110"/>
        <v>1307</v>
      </c>
      <c r="P309" s="84">
        <f t="shared" si="121"/>
        <v>18693</v>
      </c>
      <c r="Q309" s="264"/>
      <c r="R309" s="55"/>
    </row>
    <row r="310" spans="1:18" s="41" customFormat="1" ht="30" customHeight="1" x14ac:dyDescent="0.25">
      <c r="A310" s="81">
        <f t="shared" si="123"/>
        <v>163</v>
      </c>
      <c r="B310" s="116" t="s">
        <v>485</v>
      </c>
      <c r="C310" s="187" t="s">
        <v>425</v>
      </c>
      <c r="D310" s="116" t="s">
        <v>34</v>
      </c>
      <c r="E310" s="116" t="s">
        <v>231</v>
      </c>
      <c r="F310" s="118">
        <v>20000</v>
      </c>
      <c r="G310" s="88">
        <f t="shared" si="124"/>
        <v>574</v>
      </c>
      <c r="H310" s="88">
        <f t="shared" si="125"/>
        <v>608</v>
      </c>
      <c r="I310" s="88"/>
      <c r="J310" s="83">
        <f t="shared" si="109"/>
        <v>1182</v>
      </c>
      <c r="K310" s="83">
        <f t="shared" si="112"/>
        <v>18818</v>
      </c>
      <c r="L310" s="83">
        <f t="shared" si="122"/>
        <v>0</v>
      </c>
      <c r="M310" s="83"/>
      <c r="N310" s="90">
        <v>6828.55</v>
      </c>
      <c r="O310" s="115">
        <f t="shared" si="110"/>
        <v>8010.55</v>
      </c>
      <c r="P310" s="84">
        <f t="shared" si="121"/>
        <v>11989.45</v>
      </c>
      <c r="Q310" s="264"/>
      <c r="R310" s="55"/>
    </row>
    <row r="311" spans="1:18" s="55" customFormat="1" ht="28.5" customHeight="1" x14ac:dyDescent="0.25">
      <c r="A311" s="81">
        <f>+A310+1</f>
        <v>164</v>
      </c>
      <c r="B311" s="116" t="s">
        <v>595</v>
      </c>
      <c r="C311" s="38" t="s">
        <v>425</v>
      </c>
      <c r="D311" s="116" t="s">
        <v>318</v>
      </c>
      <c r="E311" s="116" t="s">
        <v>231</v>
      </c>
      <c r="F311" s="118">
        <v>45000</v>
      </c>
      <c r="G311" s="88">
        <f t="shared" ref="G311:G312" si="126">F311*2.87%</f>
        <v>1291.5</v>
      </c>
      <c r="H311" s="88">
        <f t="shared" ref="H311:H312" si="127">+F311*3.04%</f>
        <v>1368</v>
      </c>
      <c r="I311" s="88"/>
      <c r="J311" s="83">
        <f t="shared" si="109"/>
        <v>2659.5</v>
      </c>
      <c r="K311" s="83">
        <f t="shared" si="112"/>
        <v>42340.5</v>
      </c>
      <c r="L311" s="83">
        <f t="shared" si="122"/>
        <v>1148.3248749999998</v>
      </c>
      <c r="M311" s="83"/>
      <c r="N311" s="90">
        <v>2565</v>
      </c>
      <c r="O311" s="115">
        <f t="shared" si="110"/>
        <v>6372.8248750000002</v>
      </c>
      <c r="P311" s="84">
        <f t="shared" si="121"/>
        <v>38627.175125000002</v>
      </c>
      <c r="Q311" s="264"/>
    </row>
    <row r="312" spans="1:18" s="55" customFormat="1" ht="28.5" customHeight="1" x14ac:dyDescent="0.25">
      <c r="A312" s="81">
        <f t="shared" ref="A312:A317" si="128">+A311+1</f>
        <v>165</v>
      </c>
      <c r="B312" s="116" t="s">
        <v>626</v>
      </c>
      <c r="C312" s="38" t="s">
        <v>425</v>
      </c>
      <c r="D312" s="116" t="s">
        <v>34</v>
      </c>
      <c r="E312" s="116" t="s">
        <v>199</v>
      </c>
      <c r="F312" s="118">
        <v>20000</v>
      </c>
      <c r="G312" s="88">
        <f t="shared" si="126"/>
        <v>574</v>
      </c>
      <c r="H312" s="88">
        <f t="shared" si="127"/>
        <v>608</v>
      </c>
      <c r="I312" s="88">
        <v>1577.45</v>
      </c>
      <c r="J312" s="83">
        <f t="shared" si="109"/>
        <v>2759.45</v>
      </c>
      <c r="K312" s="83">
        <f t="shared" si="112"/>
        <v>17240.55</v>
      </c>
      <c r="L312" s="83">
        <f t="shared" si="122"/>
        <v>0</v>
      </c>
      <c r="M312" s="83"/>
      <c r="N312" s="90">
        <v>4185</v>
      </c>
      <c r="O312" s="115">
        <f t="shared" si="110"/>
        <v>6944.45</v>
      </c>
      <c r="P312" s="84">
        <f t="shared" si="121"/>
        <v>13055.55</v>
      </c>
      <c r="Q312" s="264"/>
    </row>
    <row r="313" spans="1:18" s="55" customFormat="1" ht="28.5" customHeight="1" x14ac:dyDescent="0.25">
      <c r="A313" s="81">
        <f t="shared" si="128"/>
        <v>166</v>
      </c>
      <c r="B313" s="116" t="s">
        <v>627</v>
      </c>
      <c r="C313" s="38" t="s">
        <v>426</v>
      </c>
      <c r="D313" s="116" t="s">
        <v>34</v>
      </c>
      <c r="E313" s="116" t="s">
        <v>199</v>
      </c>
      <c r="F313" s="118">
        <v>20000</v>
      </c>
      <c r="G313" s="88">
        <f t="shared" ref="G313:G317" si="129">F313*2.87%</f>
        <v>574</v>
      </c>
      <c r="H313" s="88">
        <f t="shared" ref="H313:H317" si="130">+F313*3.04%</f>
        <v>608</v>
      </c>
      <c r="I313" s="88"/>
      <c r="J313" s="83">
        <f t="shared" si="109"/>
        <v>1182</v>
      </c>
      <c r="K313" s="83"/>
      <c r="L313" s="83">
        <f t="shared" si="122"/>
        <v>0</v>
      </c>
      <c r="M313" s="83"/>
      <c r="N313" s="90">
        <v>1025</v>
      </c>
      <c r="O313" s="115">
        <f t="shared" si="110"/>
        <v>2207</v>
      </c>
      <c r="P313" s="84">
        <f t="shared" si="121"/>
        <v>17793</v>
      </c>
      <c r="Q313" s="264"/>
    </row>
    <row r="314" spans="1:18" s="55" customFormat="1" ht="28.5" customHeight="1" x14ac:dyDescent="0.25">
      <c r="A314" s="81">
        <f t="shared" si="128"/>
        <v>167</v>
      </c>
      <c r="B314" s="116" t="s">
        <v>628</v>
      </c>
      <c r="C314" s="38" t="s">
        <v>425</v>
      </c>
      <c r="D314" s="116" t="s">
        <v>34</v>
      </c>
      <c r="E314" s="116" t="s">
        <v>199</v>
      </c>
      <c r="F314" s="118">
        <v>20000</v>
      </c>
      <c r="G314" s="88">
        <f t="shared" si="129"/>
        <v>574</v>
      </c>
      <c r="H314" s="88">
        <f t="shared" si="130"/>
        <v>608</v>
      </c>
      <c r="I314" s="88"/>
      <c r="J314" s="83">
        <f t="shared" si="109"/>
        <v>1182</v>
      </c>
      <c r="K314" s="83"/>
      <c r="L314" s="83">
        <f t="shared" si="122"/>
        <v>0</v>
      </c>
      <c r="M314" s="83"/>
      <c r="N314" s="90">
        <v>25</v>
      </c>
      <c r="O314" s="115">
        <f t="shared" si="110"/>
        <v>1207</v>
      </c>
      <c r="P314" s="84">
        <f t="shared" si="121"/>
        <v>18793</v>
      </c>
      <c r="Q314" s="264"/>
    </row>
    <row r="315" spans="1:18" s="55" customFormat="1" ht="28.5" customHeight="1" x14ac:dyDescent="0.25">
      <c r="A315" s="81">
        <f t="shared" si="128"/>
        <v>168</v>
      </c>
      <c r="B315" s="116" t="s">
        <v>629</v>
      </c>
      <c r="C315" s="38" t="s">
        <v>425</v>
      </c>
      <c r="D315" s="116" t="s">
        <v>34</v>
      </c>
      <c r="E315" s="116" t="s">
        <v>199</v>
      </c>
      <c r="F315" s="118">
        <v>20000</v>
      </c>
      <c r="G315" s="88">
        <f t="shared" si="129"/>
        <v>574</v>
      </c>
      <c r="H315" s="88">
        <f t="shared" si="130"/>
        <v>608</v>
      </c>
      <c r="I315" s="88"/>
      <c r="J315" s="83">
        <f t="shared" si="109"/>
        <v>1182</v>
      </c>
      <c r="K315" s="83"/>
      <c r="L315" s="83">
        <f t="shared" si="122"/>
        <v>0</v>
      </c>
      <c r="M315" s="83"/>
      <c r="N315" s="90">
        <v>2025</v>
      </c>
      <c r="O315" s="115">
        <f t="shared" si="110"/>
        <v>3207</v>
      </c>
      <c r="P315" s="84">
        <f t="shared" si="121"/>
        <v>16793</v>
      </c>
      <c r="Q315" s="264"/>
    </row>
    <row r="316" spans="1:18" s="55" customFormat="1" ht="28.5" customHeight="1" x14ac:dyDescent="0.25">
      <c r="A316" s="81">
        <f t="shared" si="128"/>
        <v>169</v>
      </c>
      <c r="B316" s="116" t="s">
        <v>630</v>
      </c>
      <c r="C316" s="38" t="s">
        <v>426</v>
      </c>
      <c r="D316" s="116" t="s">
        <v>97</v>
      </c>
      <c r="E316" s="116" t="s">
        <v>199</v>
      </c>
      <c r="F316" s="118">
        <v>20000</v>
      </c>
      <c r="G316" s="88">
        <f t="shared" si="129"/>
        <v>574</v>
      </c>
      <c r="H316" s="88">
        <f t="shared" si="130"/>
        <v>608</v>
      </c>
      <c r="I316" s="88"/>
      <c r="J316" s="83">
        <f t="shared" si="109"/>
        <v>1182</v>
      </c>
      <c r="K316" s="83"/>
      <c r="L316" s="83">
        <f t="shared" si="122"/>
        <v>0</v>
      </c>
      <c r="M316" s="83"/>
      <c r="N316" s="90">
        <v>25</v>
      </c>
      <c r="O316" s="115">
        <f t="shared" si="110"/>
        <v>1207</v>
      </c>
      <c r="P316" s="84">
        <f t="shared" si="121"/>
        <v>18793</v>
      </c>
      <c r="Q316" s="264"/>
    </row>
    <row r="317" spans="1:18" s="55" customFormat="1" ht="28.5" customHeight="1" x14ac:dyDescent="0.25">
      <c r="A317" s="81">
        <f t="shared" si="128"/>
        <v>170</v>
      </c>
      <c r="B317" s="116" t="s">
        <v>631</v>
      </c>
      <c r="C317" s="38" t="s">
        <v>426</v>
      </c>
      <c r="D317" s="116" t="s">
        <v>34</v>
      </c>
      <c r="E317" s="116" t="s">
        <v>199</v>
      </c>
      <c r="F317" s="118">
        <v>20000</v>
      </c>
      <c r="G317" s="88">
        <f t="shared" si="129"/>
        <v>574</v>
      </c>
      <c r="H317" s="88">
        <f t="shared" si="130"/>
        <v>608</v>
      </c>
      <c r="I317" s="88"/>
      <c r="J317" s="83">
        <f t="shared" si="109"/>
        <v>1182</v>
      </c>
      <c r="K317" s="83"/>
      <c r="L317" s="83">
        <f t="shared" si="122"/>
        <v>0</v>
      </c>
      <c r="M317" s="83"/>
      <c r="N317" s="90">
        <v>605</v>
      </c>
      <c r="O317" s="115">
        <f t="shared" si="110"/>
        <v>1787</v>
      </c>
      <c r="P317" s="84">
        <f t="shared" si="121"/>
        <v>18213</v>
      </c>
      <c r="Q317" s="264"/>
    </row>
    <row r="318" spans="1:18" s="85" customFormat="1" ht="30" customHeight="1" x14ac:dyDescent="0.25">
      <c r="A318" s="226" t="s">
        <v>125</v>
      </c>
      <c r="B318" s="227"/>
      <c r="C318" s="227"/>
      <c r="D318" s="227"/>
      <c r="E318" s="228"/>
      <c r="F318" s="39">
        <f>SUM(F286:F317)</f>
        <v>831075</v>
      </c>
      <c r="G318" s="39">
        <f t="shared" ref="G318:P318" si="131">SUM(G286:G317)</f>
        <v>23851.852499999997</v>
      </c>
      <c r="H318" s="39">
        <f t="shared" si="131"/>
        <v>25264.680000000004</v>
      </c>
      <c r="I318" s="39">
        <f t="shared" si="131"/>
        <v>9464.7000000000007</v>
      </c>
      <c r="J318" s="39">
        <f t="shared" si="131"/>
        <v>58581.232500000006</v>
      </c>
      <c r="K318" s="39">
        <f t="shared" si="131"/>
        <v>678403.76749999996</v>
      </c>
      <c r="L318" s="39">
        <f t="shared" si="131"/>
        <v>3002.3296249999994</v>
      </c>
      <c r="M318" s="39">
        <f t="shared" si="131"/>
        <v>1148.32</v>
      </c>
      <c r="N318" s="39">
        <f t="shared" si="131"/>
        <v>91501.010000000009</v>
      </c>
      <c r="O318" s="39">
        <f t="shared" si="131"/>
        <v>153084.57212500004</v>
      </c>
      <c r="P318" s="39">
        <f t="shared" si="131"/>
        <v>677990.42787500005</v>
      </c>
      <c r="Q318" s="263"/>
    </row>
    <row r="319" spans="1:18" s="41" customFormat="1" ht="30" customHeight="1" thickBot="1" x14ac:dyDescent="0.3">
      <c r="A319" s="52"/>
      <c r="B319" s="52"/>
      <c r="C319" s="52"/>
      <c r="D319" s="52"/>
      <c r="E319" s="5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264"/>
      <c r="R319" s="55"/>
    </row>
    <row r="320" spans="1:18" s="41" customFormat="1" ht="36" customHeight="1" thickBot="1" x14ac:dyDescent="0.3">
      <c r="A320" s="229" t="s">
        <v>327</v>
      </c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0"/>
      <c r="O320" s="230"/>
      <c r="P320" s="230"/>
      <c r="Q320" s="264"/>
      <c r="R320" s="55"/>
    </row>
    <row r="321" spans="1:18" s="41" customFormat="1" ht="36" customHeight="1" x14ac:dyDescent="0.25">
      <c r="A321" s="38">
        <f>+A317+1</f>
        <v>171</v>
      </c>
      <c r="B321" s="116" t="s">
        <v>17</v>
      </c>
      <c r="C321" s="38" t="s">
        <v>426</v>
      </c>
      <c r="D321" s="116" t="s">
        <v>676</v>
      </c>
      <c r="E321" s="116" t="s">
        <v>231</v>
      </c>
      <c r="F321" s="118">
        <v>50000</v>
      </c>
      <c r="G321" s="118">
        <f>F321*2.87%</f>
        <v>1435</v>
      </c>
      <c r="H321" s="88">
        <f>+F321*3.04%</f>
        <v>1520</v>
      </c>
      <c r="I321" s="88">
        <v>1577.45</v>
      </c>
      <c r="J321" s="83">
        <f t="shared" si="109"/>
        <v>4532.45</v>
      </c>
      <c r="K321" s="83">
        <f t="shared" si="112"/>
        <v>45467.55</v>
      </c>
      <c r="L321" s="83">
        <f t="shared" ref="L321:L326" si="132">+IF(K321*12&lt;=416220.01,0,IF(K321*12&lt;=624329.01,(((K321*12-416220.01)*0.15)/12),IF((K321*12&lt;=867123.01),(31216+0.2*(K321*12-624329.01))/12,((79776+0.25*(K321*12-867123.01))/12))))</f>
        <v>1617.382375000001</v>
      </c>
      <c r="M321" s="83"/>
      <c r="N321" s="90">
        <v>10025</v>
      </c>
      <c r="O321" s="115">
        <f t="shared" si="110"/>
        <v>16174.832375000002</v>
      </c>
      <c r="P321" s="84">
        <f t="shared" ref="P321:P326" si="133">+F321-O321</f>
        <v>33825.167625000002</v>
      </c>
      <c r="Q321" s="264"/>
      <c r="R321" s="55"/>
    </row>
    <row r="322" spans="1:18" s="41" customFormat="1" ht="36" customHeight="1" x14ac:dyDescent="0.25">
      <c r="A322" s="38">
        <f>+A321+1</f>
        <v>172</v>
      </c>
      <c r="B322" s="116" t="s">
        <v>328</v>
      </c>
      <c r="C322" s="38" t="s">
        <v>425</v>
      </c>
      <c r="D322" s="116" t="s">
        <v>329</v>
      </c>
      <c r="E322" s="116" t="s">
        <v>231</v>
      </c>
      <c r="F322" s="118">
        <v>50000</v>
      </c>
      <c r="G322" s="118">
        <f>F322*2.87%</f>
        <v>1435</v>
      </c>
      <c r="H322" s="88">
        <f>+F322*3.04%</f>
        <v>1520</v>
      </c>
      <c r="I322" s="88"/>
      <c r="J322" s="83">
        <f t="shared" si="109"/>
        <v>2955</v>
      </c>
      <c r="K322" s="83">
        <f t="shared" si="112"/>
        <v>47045</v>
      </c>
      <c r="L322" s="83">
        <f t="shared" si="132"/>
        <v>1853.9998749999997</v>
      </c>
      <c r="M322" s="83"/>
      <c r="N322" s="90">
        <v>125</v>
      </c>
      <c r="O322" s="115">
        <f t="shared" si="110"/>
        <v>4933.9998749999995</v>
      </c>
      <c r="P322" s="84">
        <f t="shared" si="133"/>
        <v>45066.000124999999</v>
      </c>
      <c r="Q322" s="264"/>
      <c r="R322" s="55"/>
    </row>
    <row r="323" spans="1:18" s="41" customFormat="1" ht="36" customHeight="1" x14ac:dyDescent="0.25">
      <c r="A323" s="38">
        <f>+A322+1</f>
        <v>173</v>
      </c>
      <c r="B323" s="116" t="s">
        <v>330</v>
      </c>
      <c r="C323" s="38" t="s">
        <v>425</v>
      </c>
      <c r="D323" s="116" t="s">
        <v>329</v>
      </c>
      <c r="E323" s="116" t="s">
        <v>231</v>
      </c>
      <c r="F323" s="118">
        <v>50000</v>
      </c>
      <c r="G323" s="118">
        <f>F323*2.87%</f>
        <v>1435</v>
      </c>
      <c r="H323" s="88">
        <f>+F323*3.04%</f>
        <v>1520</v>
      </c>
      <c r="I323" s="88">
        <v>1577.45</v>
      </c>
      <c r="J323" s="83">
        <f t="shared" si="109"/>
        <v>4532.45</v>
      </c>
      <c r="K323" s="83">
        <f t="shared" si="112"/>
        <v>45467.55</v>
      </c>
      <c r="L323" s="83">
        <f t="shared" si="132"/>
        <v>1617.382375000001</v>
      </c>
      <c r="M323" s="83"/>
      <c r="N323" s="90">
        <v>125</v>
      </c>
      <c r="O323" s="115">
        <f t="shared" si="110"/>
        <v>6274.8323750000009</v>
      </c>
      <c r="P323" s="84">
        <f t="shared" si="133"/>
        <v>43725.167625000002</v>
      </c>
      <c r="Q323" s="264"/>
      <c r="R323" s="55"/>
    </row>
    <row r="324" spans="1:18" s="41" customFormat="1" ht="28.5" customHeight="1" x14ac:dyDescent="0.25">
      <c r="A324" s="38">
        <f>+A323+1</f>
        <v>174</v>
      </c>
      <c r="B324" s="116" t="s">
        <v>402</v>
      </c>
      <c r="C324" s="38" t="s">
        <v>425</v>
      </c>
      <c r="D324" s="116" t="s">
        <v>144</v>
      </c>
      <c r="E324" s="116" t="s">
        <v>231</v>
      </c>
      <c r="F324" s="118">
        <v>28000</v>
      </c>
      <c r="G324" s="118">
        <f t="shared" ref="G324" si="134">F324*2.87%</f>
        <v>803.6</v>
      </c>
      <c r="H324" s="88">
        <f t="shared" ref="H324" si="135">+F324*3.04%</f>
        <v>851.2</v>
      </c>
      <c r="I324" s="88"/>
      <c r="J324" s="83">
        <f t="shared" si="109"/>
        <v>1654.8000000000002</v>
      </c>
      <c r="K324" s="83">
        <f t="shared" si="112"/>
        <v>26345.200000000001</v>
      </c>
      <c r="L324" s="83">
        <f t="shared" si="132"/>
        <v>0</v>
      </c>
      <c r="M324" s="83"/>
      <c r="N324" s="90">
        <v>25</v>
      </c>
      <c r="O324" s="115">
        <f t="shared" si="110"/>
        <v>1679.8000000000002</v>
      </c>
      <c r="P324" s="84">
        <f t="shared" si="133"/>
        <v>26320.2</v>
      </c>
      <c r="Q324" s="264"/>
      <c r="R324" s="55"/>
    </row>
    <row r="325" spans="1:18" s="55" customFormat="1" ht="27" customHeight="1" x14ac:dyDescent="0.25">
      <c r="A325" s="38">
        <f>+A324+1</f>
        <v>175</v>
      </c>
      <c r="B325" s="136" t="s">
        <v>403</v>
      </c>
      <c r="C325" s="162" t="s">
        <v>425</v>
      </c>
      <c r="D325" s="163" t="s">
        <v>144</v>
      </c>
      <c r="E325" s="116" t="s">
        <v>231</v>
      </c>
      <c r="F325" s="90">
        <v>28000</v>
      </c>
      <c r="G325" s="88">
        <f>F325*2.87%</f>
        <v>803.6</v>
      </c>
      <c r="H325" s="88">
        <f>+F325*3.04%</f>
        <v>851.2</v>
      </c>
      <c r="I325" s="88"/>
      <c r="J325" s="83">
        <f t="shared" si="109"/>
        <v>1654.8000000000002</v>
      </c>
      <c r="K325" s="83">
        <f t="shared" si="112"/>
        <v>26345.200000000001</v>
      </c>
      <c r="L325" s="83">
        <f t="shared" si="132"/>
        <v>0</v>
      </c>
      <c r="M325" s="83"/>
      <c r="N325" s="84">
        <v>125</v>
      </c>
      <c r="O325" s="115">
        <f t="shared" si="110"/>
        <v>1779.8000000000002</v>
      </c>
      <c r="P325" s="84">
        <f t="shared" si="133"/>
        <v>26220.2</v>
      </c>
      <c r="Q325" s="264"/>
    </row>
    <row r="326" spans="1:18" s="55" customFormat="1" ht="30" customHeight="1" x14ac:dyDescent="0.25">
      <c r="A326" s="38">
        <f>+A325+1</f>
        <v>176</v>
      </c>
      <c r="B326" s="136" t="s">
        <v>538</v>
      </c>
      <c r="C326" s="162" t="s">
        <v>425</v>
      </c>
      <c r="D326" s="163" t="s">
        <v>144</v>
      </c>
      <c r="E326" s="116" t="s">
        <v>231</v>
      </c>
      <c r="F326" s="90">
        <v>20000</v>
      </c>
      <c r="G326" s="88">
        <f>F326*2.87%</f>
        <v>574</v>
      </c>
      <c r="H326" s="88">
        <f>+F326*3.04%</f>
        <v>608</v>
      </c>
      <c r="I326" s="88"/>
      <c r="J326" s="83">
        <f t="shared" si="109"/>
        <v>1182</v>
      </c>
      <c r="K326" s="83">
        <f t="shared" si="112"/>
        <v>18818</v>
      </c>
      <c r="L326" s="83">
        <f t="shared" si="132"/>
        <v>0</v>
      </c>
      <c r="M326" s="83"/>
      <c r="N326" s="84">
        <v>125</v>
      </c>
      <c r="O326" s="115">
        <f t="shared" si="110"/>
        <v>1307</v>
      </c>
      <c r="P326" s="84">
        <f t="shared" si="133"/>
        <v>18693</v>
      </c>
      <c r="Q326" s="264"/>
    </row>
    <row r="327" spans="1:18" s="55" customFormat="1" ht="30" customHeight="1" thickBot="1" x14ac:dyDescent="0.3">
      <c r="A327" s="226" t="s">
        <v>125</v>
      </c>
      <c r="B327" s="227"/>
      <c r="C327" s="227"/>
      <c r="D327" s="227"/>
      <c r="E327" s="228"/>
      <c r="F327" s="39">
        <f>SUM(F321:F326)</f>
        <v>226000</v>
      </c>
      <c r="G327" s="39">
        <f t="shared" ref="G327:P327" si="136">SUM(G321:G326)</f>
        <v>6486.2000000000007</v>
      </c>
      <c r="H327" s="39">
        <f t="shared" si="136"/>
        <v>6870.4</v>
      </c>
      <c r="I327" s="39">
        <f t="shared" si="136"/>
        <v>3154.9</v>
      </c>
      <c r="J327" s="39">
        <f t="shared" si="136"/>
        <v>16511.5</v>
      </c>
      <c r="K327" s="39">
        <f t="shared" si="136"/>
        <v>209488.50000000003</v>
      </c>
      <c r="L327" s="39">
        <f t="shared" si="136"/>
        <v>5088.7646250000016</v>
      </c>
      <c r="M327" s="39">
        <f t="shared" si="136"/>
        <v>0</v>
      </c>
      <c r="N327" s="39">
        <f t="shared" si="136"/>
        <v>10550</v>
      </c>
      <c r="O327" s="39">
        <f t="shared" si="136"/>
        <v>32150.264625</v>
      </c>
      <c r="P327" s="39">
        <f t="shared" si="136"/>
        <v>193849.73537500002</v>
      </c>
      <c r="Q327" s="264"/>
    </row>
    <row r="328" spans="1:18" s="55" customFormat="1" ht="30" customHeight="1" thickBot="1" x14ac:dyDescent="0.3">
      <c r="A328" s="229" t="s">
        <v>331</v>
      </c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0"/>
      <c r="O328" s="230"/>
      <c r="P328" s="230"/>
      <c r="Q328" s="264"/>
    </row>
    <row r="329" spans="1:18" s="55" customFormat="1" ht="30" customHeight="1" x14ac:dyDescent="0.25">
      <c r="A329" s="86">
        <f>+A326+1</f>
        <v>177</v>
      </c>
      <c r="B329" s="116" t="s">
        <v>133</v>
      </c>
      <c r="C329" s="38" t="s">
        <v>425</v>
      </c>
      <c r="D329" s="116" t="s">
        <v>135</v>
      </c>
      <c r="E329" s="116" t="s">
        <v>231</v>
      </c>
      <c r="F329" s="118">
        <v>55000</v>
      </c>
      <c r="G329" s="88">
        <f>F329*2.87%</f>
        <v>1578.5</v>
      </c>
      <c r="H329" s="88">
        <f>+F329*3.04%</f>
        <v>1672</v>
      </c>
      <c r="I329" s="88"/>
      <c r="J329" s="83">
        <f t="shared" si="109"/>
        <v>3250.5</v>
      </c>
      <c r="K329" s="83">
        <f t="shared" si="112"/>
        <v>51749.5</v>
      </c>
      <c r="L329" s="83">
        <f>+IF(K329*12&lt;=416220.01,0,IF(K329*12&lt;=624329.01,(((K329*12-416220.01)*0.15)/12),IF((K329*12&lt;=867123.01),(31216+0.2*(K329*12-624329.01))/12,((79776+0.25*(K329*12-867123.01))/12))))-M329</f>
        <v>2559.6748749999997</v>
      </c>
      <c r="M329" s="83"/>
      <c r="N329" s="90">
        <v>25</v>
      </c>
      <c r="O329" s="115">
        <f t="shared" si="110"/>
        <v>5835.1748749999997</v>
      </c>
      <c r="P329" s="90">
        <f t="shared" ref="P329:P346" si="137">+F329-O329</f>
        <v>49164.825125000003</v>
      </c>
      <c r="Q329" s="264"/>
    </row>
    <row r="330" spans="1:18" s="55" customFormat="1" ht="30" customHeight="1" x14ac:dyDescent="0.25">
      <c r="A330" s="86">
        <f>+A329+1</f>
        <v>178</v>
      </c>
      <c r="B330" s="116" t="s">
        <v>35</v>
      </c>
      <c r="C330" s="38" t="s">
        <v>425</v>
      </c>
      <c r="D330" s="116" t="s">
        <v>135</v>
      </c>
      <c r="E330" s="116" t="s">
        <v>122</v>
      </c>
      <c r="F330" s="118">
        <v>55000</v>
      </c>
      <c r="G330" s="88">
        <f t="shared" ref="G330:G344" si="138">F330*2.87%</f>
        <v>1578.5</v>
      </c>
      <c r="H330" s="88">
        <f t="shared" ref="H330:H346" si="139">+F330*3.04%</f>
        <v>1672</v>
      </c>
      <c r="I330" s="88"/>
      <c r="J330" s="83">
        <f t="shared" si="109"/>
        <v>3250.5</v>
      </c>
      <c r="K330" s="83">
        <f t="shared" si="112"/>
        <v>51749.5</v>
      </c>
      <c r="L330" s="83">
        <f t="shared" ref="L330:L346" si="140">+IF(K330*12&lt;=416220.01,0,IF(K330*12&lt;=624329.01,(((K330*12-416220.01)*0.15)/12),IF((K330*12&lt;=867123.01),(31216+0.2*(K330*12-624329.01))/12,((79776+0.25*(K330*12-867123.01))/12))))-M330</f>
        <v>2559.6748749999997</v>
      </c>
      <c r="M330" s="83"/>
      <c r="N330" s="90">
        <v>165</v>
      </c>
      <c r="O330" s="115">
        <f t="shared" si="110"/>
        <v>5975.1748749999997</v>
      </c>
      <c r="P330" s="90">
        <f t="shared" si="137"/>
        <v>49024.825125000003</v>
      </c>
      <c r="Q330" s="264"/>
    </row>
    <row r="331" spans="1:18" s="55" customFormat="1" ht="30" customHeight="1" x14ac:dyDescent="0.25">
      <c r="A331" s="86">
        <f t="shared" ref="A331:A346" si="141">+A330+1</f>
        <v>179</v>
      </c>
      <c r="B331" s="116" t="s">
        <v>332</v>
      </c>
      <c r="C331" s="38" t="s">
        <v>425</v>
      </c>
      <c r="D331" s="116" t="s">
        <v>37</v>
      </c>
      <c r="E331" s="116" t="s">
        <v>231</v>
      </c>
      <c r="F331" s="118">
        <v>35000</v>
      </c>
      <c r="G331" s="88">
        <f t="shared" si="138"/>
        <v>1004.5</v>
      </c>
      <c r="H331" s="88">
        <f t="shared" si="139"/>
        <v>1064</v>
      </c>
      <c r="I331" s="88"/>
      <c r="J331" s="83">
        <f t="shared" si="109"/>
        <v>2068.5</v>
      </c>
      <c r="K331" s="83">
        <f t="shared" si="112"/>
        <v>32931.5</v>
      </c>
      <c r="L331" s="83">
        <f t="shared" si="140"/>
        <v>0</v>
      </c>
      <c r="M331" s="83"/>
      <c r="N331" s="90">
        <v>245</v>
      </c>
      <c r="O331" s="115">
        <f t="shared" si="110"/>
        <v>2313.5</v>
      </c>
      <c r="P331" s="90">
        <f t="shared" si="137"/>
        <v>32686.5</v>
      </c>
      <c r="Q331" s="264"/>
    </row>
    <row r="332" spans="1:18" s="97" customFormat="1" ht="30" customHeight="1" x14ac:dyDescent="0.25">
      <c r="A332" s="86">
        <f t="shared" si="141"/>
        <v>180</v>
      </c>
      <c r="B332" s="116" t="s">
        <v>40</v>
      </c>
      <c r="C332" s="38" t="s">
        <v>425</v>
      </c>
      <c r="D332" s="116" t="s">
        <v>37</v>
      </c>
      <c r="E332" s="116" t="s">
        <v>231</v>
      </c>
      <c r="F332" s="118">
        <v>35000</v>
      </c>
      <c r="G332" s="88">
        <f t="shared" si="138"/>
        <v>1004.5</v>
      </c>
      <c r="H332" s="88">
        <f t="shared" si="139"/>
        <v>1064</v>
      </c>
      <c r="I332" s="88"/>
      <c r="J332" s="83">
        <f t="shared" si="109"/>
        <v>2068.5</v>
      </c>
      <c r="K332" s="83">
        <f t="shared" si="112"/>
        <v>32931.5</v>
      </c>
      <c r="L332" s="83">
        <f t="shared" si="140"/>
        <v>0</v>
      </c>
      <c r="M332" s="83"/>
      <c r="N332" s="90">
        <v>165</v>
      </c>
      <c r="O332" s="115">
        <f t="shared" si="110"/>
        <v>2233.5</v>
      </c>
      <c r="P332" s="90">
        <f t="shared" si="137"/>
        <v>32766.5</v>
      </c>
      <c r="Q332" s="270"/>
    </row>
    <row r="333" spans="1:18" s="55" customFormat="1" ht="30" customHeight="1" x14ac:dyDescent="0.25">
      <c r="A333" s="86">
        <f t="shared" si="141"/>
        <v>181</v>
      </c>
      <c r="B333" s="116" t="s">
        <v>333</v>
      </c>
      <c r="C333" s="38" t="s">
        <v>425</v>
      </c>
      <c r="D333" s="116" t="s">
        <v>37</v>
      </c>
      <c r="E333" s="116" t="s">
        <v>231</v>
      </c>
      <c r="F333" s="118">
        <v>35000</v>
      </c>
      <c r="G333" s="88">
        <f t="shared" si="138"/>
        <v>1004.5</v>
      </c>
      <c r="H333" s="88">
        <f t="shared" si="139"/>
        <v>1064</v>
      </c>
      <c r="I333" s="88"/>
      <c r="J333" s="83">
        <f t="shared" si="109"/>
        <v>2068.5</v>
      </c>
      <c r="K333" s="83">
        <f t="shared" si="112"/>
        <v>32931.5</v>
      </c>
      <c r="L333" s="83">
        <f t="shared" si="140"/>
        <v>0</v>
      </c>
      <c r="M333" s="83"/>
      <c r="N333" s="90">
        <v>125</v>
      </c>
      <c r="O333" s="115">
        <f t="shared" si="110"/>
        <v>2193.5</v>
      </c>
      <c r="P333" s="90">
        <f t="shared" si="137"/>
        <v>32806.5</v>
      </c>
      <c r="Q333" s="264"/>
    </row>
    <row r="334" spans="1:18" s="85" customFormat="1" ht="30" customHeight="1" x14ac:dyDescent="0.25">
      <c r="A334" s="86">
        <f t="shared" si="141"/>
        <v>182</v>
      </c>
      <c r="B334" s="116" t="s">
        <v>82</v>
      </c>
      <c r="C334" s="38" t="s">
        <v>425</v>
      </c>
      <c r="D334" s="116" t="s">
        <v>37</v>
      </c>
      <c r="E334" s="116" t="s">
        <v>231</v>
      </c>
      <c r="F334" s="118">
        <v>35000</v>
      </c>
      <c r="G334" s="88">
        <f t="shared" si="138"/>
        <v>1004.5</v>
      </c>
      <c r="H334" s="88">
        <f t="shared" si="139"/>
        <v>1064</v>
      </c>
      <c r="I334" s="88"/>
      <c r="J334" s="83">
        <f t="shared" ref="J334:J393" si="142">+G334+H334+I334</f>
        <v>2068.5</v>
      </c>
      <c r="K334" s="83">
        <f t="shared" si="112"/>
        <v>32931.5</v>
      </c>
      <c r="L334" s="83">
        <f t="shared" si="140"/>
        <v>0</v>
      </c>
      <c r="M334" s="83"/>
      <c r="N334" s="90">
        <v>125</v>
      </c>
      <c r="O334" s="115">
        <f t="shared" si="110"/>
        <v>2193.5</v>
      </c>
      <c r="P334" s="90">
        <f t="shared" si="137"/>
        <v>32806.5</v>
      </c>
      <c r="Q334" s="263"/>
    </row>
    <row r="335" spans="1:18" s="55" customFormat="1" ht="30" customHeight="1" x14ac:dyDescent="0.25">
      <c r="A335" s="86">
        <f t="shared" si="141"/>
        <v>183</v>
      </c>
      <c r="B335" s="116" t="s">
        <v>334</v>
      </c>
      <c r="C335" s="38" t="s">
        <v>425</v>
      </c>
      <c r="D335" s="116" t="s">
        <v>37</v>
      </c>
      <c r="E335" s="116" t="s">
        <v>231</v>
      </c>
      <c r="F335" s="118">
        <v>35000</v>
      </c>
      <c r="G335" s="88">
        <f t="shared" si="138"/>
        <v>1004.5</v>
      </c>
      <c r="H335" s="88">
        <f t="shared" si="139"/>
        <v>1064</v>
      </c>
      <c r="I335" s="88">
        <v>1577.45</v>
      </c>
      <c r="J335" s="83">
        <f t="shared" si="142"/>
        <v>3645.95</v>
      </c>
      <c r="K335" s="83">
        <f t="shared" si="112"/>
        <v>31354.05</v>
      </c>
      <c r="L335" s="83">
        <f t="shared" si="140"/>
        <v>0</v>
      </c>
      <c r="M335" s="83"/>
      <c r="N335" s="90">
        <v>5298.99</v>
      </c>
      <c r="O335" s="115">
        <f t="shared" ref="O335:O395" si="143">+N335+I335+H335+G335+L335</f>
        <v>8944.9399999999987</v>
      </c>
      <c r="P335" s="90">
        <f t="shared" si="137"/>
        <v>26055.06</v>
      </c>
      <c r="Q335" s="264"/>
    </row>
    <row r="336" spans="1:18" s="85" customFormat="1" ht="30" customHeight="1" x14ac:dyDescent="0.25">
      <c r="A336" s="86">
        <f t="shared" si="141"/>
        <v>184</v>
      </c>
      <c r="B336" s="116" t="s">
        <v>39</v>
      </c>
      <c r="C336" s="38" t="s">
        <v>425</v>
      </c>
      <c r="D336" s="116" t="s">
        <v>37</v>
      </c>
      <c r="E336" s="116" t="s">
        <v>231</v>
      </c>
      <c r="F336" s="118">
        <v>35000</v>
      </c>
      <c r="G336" s="88">
        <f t="shared" si="138"/>
        <v>1004.5</v>
      </c>
      <c r="H336" s="88">
        <f t="shared" si="139"/>
        <v>1064</v>
      </c>
      <c r="I336" s="88"/>
      <c r="J336" s="83">
        <f t="shared" si="142"/>
        <v>2068.5</v>
      </c>
      <c r="K336" s="83">
        <f t="shared" si="112"/>
        <v>32931.5</v>
      </c>
      <c r="L336" s="83">
        <f t="shared" si="140"/>
        <v>0</v>
      </c>
      <c r="M336" s="83"/>
      <c r="N336" s="90">
        <v>665</v>
      </c>
      <c r="O336" s="115">
        <f t="shared" si="143"/>
        <v>2733.5</v>
      </c>
      <c r="P336" s="90">
        <f t="shared" si="137"/>
        <v>32266.5</v>
      </c>
      <c r="Q336" s="263"/>
    </row>
    <row r="337" spans="1:18" s="97" customFormat="1" ht="30" customHeight="1" x14ac:dyDescent="0.25">
      <c r="A337" s="86">
        <f t="shared" si="141"/>
        <v>185</v>
      </c>
      <c r="B337" s="116" t="s">
        <v>134</v>
      </c>
      <c r="C337" s="38" t="s">
        <v>425</v>
      </c>
      <c r="D337" s="135" t="s">
        <v>136</v>
      </c>
      <c r="E337" s="116" t="s">
        <v>231</v>
      </c>
      <c r="F337" s="118">
        <v>35000</v>
      </c>
      <c r="G337" s="88">
        <f>F337*2.87%</f>
        <v>1004.5</v>
      </c>
      <c r="H337" s="88">
        <f>+F337*3.04%</f>
        <v>1064</v>
      </c>
      <c r="I337" s="88"/>
      <c r="J337" s="83">
        <f t="shared" si="142"/>
        <v>2068.5</v>
      </c>
      <c r="K337" s="83">
        <f t="shared" si="112"/>
        <v>32931.5</v>
      </c>
      <c r="L337" s="83">
        <f t="shared" si="140"/>
        <v>0</v>
      </c>
      <c r="M337" s="83"/>
      <c r="N337" s="90">
        <v>25</v>
      </c>
      <c r="O337" s="115">
        <f t="shared" si="143"/>
        <v>2093.5</v>
      </c>
      <c r="P337" s="90">
        <f t="shared" si="137"/>
        <v>32906.5</v>
      </c>
      <c r="Q337" s="270"/>
    </row>
    <row r="338" spans="1:18" s="55" customFormat="1" ht="30" customHeight="1" x14ac:dyDescent="0.25">
      <c r="A338" s="86">
        <f t="shared" si="141"/>
        <v>186</v>
      </c>
      <c r="B338" s="116" t="s">
        <v>339</v>
      </c>
      <c r="C338" s="38" t="s">
        <v>425</v>
      </c>
      <c r="D338" s="116" t="s">
        <v>37</v>
      </c>
      <c r="E338" s="116" t="s">
        <v>122</v>
      </c>
      <c r="F338" s="118">
        <v>35000</v>
      </c>
      <c r="G338" s="88">
        <f>F338*2.87%</f>
        <v>1004.5</v>
      </c>
      <c r="H338" s="88">
        <f>+F338*3.04%</f>
        <v>1064</v>
      </c>
      <c r="I338" s="88"/>
      <c r="J338" s="83">
        <f t="shared" si="142"/>
        <v>2068.5</v>
      </c>
      <c r="K338" s="83">
        <f t="shared" ref="K338:K373" si="144">+F338-J338</f>
        <v>32931.5</v>
      </c>
      <c r="L338" s="83">
        <f t="shared" si="140"/>
        <v>0</v>
      </c>
      <c r="M338" s="83"/>
      <c r="N338" s="90">
        <v>125</v>
      </c>
      <c r="O338" s="115">
        <f t="shared" si="143"/>
        <v>2193.5</v>
      </c>
      <c r="P338" s="90">
        <f t="shared" si="137"/>
        <v>32806.5</v>
      </c>
      <c r="Q338" s="264"/>
    </row>
    <row r="339" spans="1:18" s="85" customFormat="1" ht="30" customHeight="1" x14ac:dyDescent="0.25">
      <c r="A339" s="86">
        <f t="shared" si="141"/>
        <v>187</v>
      </c>
      <c r="B339" s="116" t="s">
        <v>337</v>
      </c>
      <c r="C339" s="38" t="s">
        <v>425</v>
      </c>
      <c r="D339" s="135" t="s">
        <v>142</v>
      </c>
      <c r="E339" s="116" t="s">
        <v>231</v>
      </c>
      <c r="F339" s="118">
        <v>30000</v>
      </c>
      <c r="G339" s="88">
        <f t="shared" si="138"/>
        <v>861</v>
      </c>
      <c r="H339" s="88">
        <f t="shared" si="139"/>
        <v>912</v>
      </c>
      <c r="I339" s="88">
        <v>1577.45</v>
      </c>
      <c r="J339" s="83">
        <f t="shared" si="142"/>
        <v>3350.45</v>
      </c>
      <c r="K339" s="83">
        <f t="shared" si="144"/>
        <v>26649.55</v>
      </c>
      <c r="L339" s="83">
        <f t="shared" si="140"/>
        <v>0</v>
      </c>
      <c r="M339" s="83"/>
      <c r="N339" s="90">
        <v>125</v>
      </c>
      <c r="O339" s="115">
        <f t="shared" si="143"/>
        <v>3475.45</v>
      </c>
      <c r="P339" s="90">
        <f t="shared" si="137"/>
        <v>26524.55</v>
      </c>
      <c r="Q339" s="263"/>
    </row>
    <row r="340" spans="1:18" s="55" customFormat="1" ht="30" customHeight="1" x14ac:dyDescent="0.25">
      <c r="A340" s="86">
        <f t="shared" si="141"/>
        <v>188</v>
      </c>
      <c r="B340" s="116" t="s">
        <v>335</v>
      </c>
      <c r="C340" s="38" t="s">
        <v>425</v>
      </c>
      <c r="D340" s="116" t="s">
        <v>142</v>
      </c>
      <c r="E340" s="116" t="s">
        <v>231</v>
      </c>
      <c r="F340" s="118">
        <v>30000</v>
      </c>
      <c r="G340" s="88">
        <f>F340*2.87%</f>
        <v>861</v>
      </c>
      <c r="H340" s="88">
        <f>+F340*3.04%</f>
        <v>912</v>
      </c>
      <c r="I340" s="88"/>
      <c r="J340" s="83">
        <f t="shared" si="142"/>
        <v>1773</v>
      </c>
      <c r="K340" s="83">
        <f t="shared" si="144"/>
        <v>28227</v>
      </c>
      <c r="L340" s="83">
        <f t="shared" si="140"/>
        <v>0</v>
      </c>
      <c r="M340" s="83"/>
      <c r="N340" s="90">
        <v>125</v>
      </c>
      <c r="O340" s="115">
        <f t="shared" si="143"/>
        <v>1898</v>
      </c>
      <c r="P340" s="90">
        <f t="shared" si="137"/>
        <v>28102</v>
      </c>
      <c r="Q340" s="264"/>
    </row>
    <row r="341" spans="1:18" s="55" customFormat="1" ht="30" customHeight="1" x14ac:dyDescent="0.25">
      <c r="A341" s="86">
        <f t="shared" si="141"/>
        <v>189</v>
      </c>
      <c r="B341" s="116" t="s">
        <v>38</v>
      </c>
      <c r="C341" s="38" t="s">
        <v>425</v>
      </c>
      <c r="D341" s="116" t="s">
        <v>37</v>
      </c>
      <c r="E341" s="116" t="s">
        <v>122</v>
      </c>
      <c r="F341" s="118">
        <v>30000</v>
      </c>
      <c r="G341" s="88">
        <f t="shared" si="138"/>
        <v>861</v>
      </c>
      <c r="H341" s="88">
        <f t="shared" si="139"/>
        <v>912</v>
      </c>
      <c r="I341" s="88"/>
      <c r="J341" s="83">
        <f t="shared" si="142"/>
        <v>1773</v>
      </c>
      <c r="K341" s="83">
        <f t="shared" si="144"/>
        <v>28227</v>
      </c>
      <c r="L341" s="83">
        <f t="shared" si="140"/>
        <v>0</v>
      </c>
      <c r="M341" s="83"/>
      <c r="N341" s="90">
        <v>25</v>
      </c>
      <c r="O341" s="115">
        <f t="shared" si="143"/>
        <v>1798</v>
      </c>
      <c r="P341" s="90">
        <f t="shared" si="137"/>
        <v>28202</v>
      </c>
      <c r="Q341" s="264"/>
    </row>
    <row r="342" spans="1:18" s="34" customFormat="1" ht="26.25" customHeight="1" x14ac:dyDescent="0.25">
      <c r="A342" s="86">
        <f t="shared" si="141"/>
        <v>190</v>
      </c>
      <c r="B342" s="116" t="s">
        <v>338</v>
      </c>
      <c r="C342" s="38" t="s">
        <v>425</v>
      </c>
      <c r="D342" s="135" t="s">
        <v>136</v>
      </c>
      <c r="E342" s="87" t="s">
        <v>231</v>
      </c>
      <c r="F342" s="88">
        <v>28000</v>
      </c>
      <c r="G342" s="88">
        <f>F342*2.87%</f>
        <v>803.6</v>
      </c>
      <c r="H342" s="88">
        <f>+F342*3.04%</f>
        <v>851.2</v>
      </c>
      <c r="I342" s="88"/>
      <c r="J342" s="83">
        <f t="shared" si="142"/>
        <v>1654.8000000000002</v>
      </c>
      <c r="K342" s="83">
        <f t="shared" si="144"/>
        <v>26345.200000000001</v>
      </c>
      <c r="L342" s="83">
        <f t="shared" si="140"/>
        <v>0</v>
      </c>
      <c r="M342" s="83"/>
      <c r="N342" s="90">
        <v>25</v>
      </c>
      <c r="O342" s="115">
        <f t="shared" si="143"/>
        <v>1679.8000000000002</v>
      </c>
      <c r="P342" s="90">
        <f t="shared" si="137"/>
        <v>26320.2</v>
      </c>
      <c r="Q342" s="263"/>
      <c r="R342" s="85"/>
    </row>
    <row r="343" spans="1:18" s="34" customFormat="1" ht="26.25" customHeight="1" x14ac:dyDescent="0.25">
      <c r="A343" s="86">
        <f t="shared" si="141"/>
        <v>191</v>
      </c>
      <c r="B343" s="116" t="s">
        <v>481</v>
      </c>
      <c r="C343" s="38" t="s">
        <v>425</v>
      </c>
      <c r="D343" s="135" t="s">
        <v>482</v>
      </c>
      <c r="E343" s="116" t="s">
        <v>231</v>
      </c>
      <c r="F343" s="118">
        <v>26500</v>
      </c>
      <c r="G343" s="118">
        <f t="shared" si="138"/>
        <v>760.55</v>
      </c>
      <c r="H343" s="88">
        <f t="shared" si="139"/>
        <v>805.6</v>
      </c>
      <c r="I343" s="88">
        <v>1577.45</v>
      </c>
      <c r="J343" s="83">
        <f t="shared" si="142"/>
        <v>3143.6000000000004</v>
      </c>
      <c r="K343" s="83">
        <f t="shared" si="144"/>
        <v>23356.400000000001</v>
      </c>
      <c r="L343" s="83">
        <f t="shared" si="140"/>
        <v>0</v>
      </c>
      <c r="M343" s="83"/>
      <c r="N343" s="90">
        <v>5323.72</v>
      </c>
      <c r="O343" s="115">
        <f t="shared" si="143"/>
        <v>8467.32</v>
      </c>
      <c r="P343" s="90">
        <f t="shared" si="137"/>
        <v>18032.68</v>
      </c>
      <c r="Q343" s="263"/>
      <c r="R343" s="85"/>
    </row>
    <row r="344" spans="1:18" s="34" customFormat="1" ht="26.25" customHeight="1" x14ac:dyDescent="0.25">
      <c r="A344" s="86">
        <f t="shared" si="141"/>
        <v>192</v>
      </c>
      <c r="B344" s="116" t="s">
        <v>341</v>
      </c>
      <c r="C344" s="38" t="s">
        <v>425</v>
      </c>
      <c r="D344" s="116" t="s">
        <v>98</v>
      </c>
      <c r="E344" s="116" t="s">
        <v>122</v>
      </c>
      <c r="F344" s="118">
        <v>28000</v>
      </c>
      <c r="G344" s="118">
        <f t="shared" si="138"/>
        <v>803.6</v>
      </c>
      <c r="H344" s="88">
        <f t="shared" si="139"/>
        <v>851.2</v>
      </c>
      <c r="I344" s="88"/>
      <c r="J344" s="83">
        <f t="shared" si="142"/>
        <v>1654.8000000000002</v>
      </c>
      <c r="K344" s="83">
        <f t="shared" si="144"/>
        <v>26345.200000000001</v>
      </c>
      <c r="L344" s="83">
        <f t="shared" si="140"/>
        <v>0</v>
      </c>
      <c r="M344" s="83"/>
      <c r="N344" s="90">
        <v>25</v>
      </c>
      <c r="O344" s="115">
        <f t="shared" si="143"/>
        <v>1679.8000000000002</v>
      </c>
      <c r="P344" s="90">
        <f t="shared" si="137"/>
        <v>26320.2</v>
      </c>
      <c r="Q344" s="263"/>
      <c r="R344" s="85"/>
    </row>
    <row r="345" spans="1:18" s="34" customFormat="1" ht="26.25" customHeight="1" x14ac:dyDescent="0.25">
      <c r="A345" s="86">
        <f t="shared" si="141"/>
        <v>193</v>
      </c>
      <c r="B345" s="116" t="s">
        <v>566</v>
      </c>
      <c r="C345" s="38" t="s">
        <v>425</v>
      </c>
      <c r="D345" s="116" t="s">
        <v>136</v>
      </c>
      <c r="E345" s="116" t="s">
        <v>231</v>
      </c>
      <c r="F345" s="118">
        <v>25000</v>
      </c>
      <c r="G345" s="118">
        <f>F345*2.87%</f>
        <v>717.5</v>
      </c>
      <c r="H345" s="88">
        <f t="shared" si="139"/>
        <v>760</v>
      </c>
      <c r="I345" s="88"/>
      <c r="J345" s="83">
        <f t="shared" si="142"/>
        <v>1477.5</v>
      </c>
      <c r="K345" s="83">
        <f t="shared" si="144"/>
        <v>23522.5</v>
      </c>
      <c r="L345" s="83">
        <f t="shared" si="140"/>
        <v>0</v>
      </c>
      <c r="M345" s="83"/>
      <c r="N345" s="90">
        <f>500+25</f>
        <v>525</v>
      </c>
      <c r="O345" s="115">
        <f t="shared" si="143"/>
        <v>2002.5</v>
      </c>
      <c r="P345" s="90">
        <f t="shared" si="137"/>
        <v>22997.5</v>
      </c>
      <c r="Q345" s="263"/>
      <c r="R345" s="85"/>
    </row>
    <row r="346" spans="1:18" s="34" customFormat="1" ht="26.25" customHeight="1" x14ac:dyDescent="0.25">
      <c r="A346" s="86">
        <f t="shared" si="141"/>
        <v>194</v>
      </c>
      <c r="B346" s="116" t="s">
        <v>632</v>
      </c>
      <c r="C346" s="38" t="s">
        <v>425</v>
      </c>
      <c r="D346" s="116" t="s">
        <v>136</v>
      </c>
      <c r="E346" s="116" t="s">
        <v>231</v>
      </c>
      <c r="F346" s="118">
        <v>25000</v>
      </c>
      <c r="G346" s="118">
        <f>F346*2.87%</f>
        <v>717.5</v>
      </c>
      <c r="H346" s="88">
        <f t="shared" si="139"/>
        <v>760</v>
      </c>
      <c r="I346" s="88"/>
      <c r="J346" s="83">
        <f t="shared" si="142"/>
        <v>1477.5</v>
      </c>
      <c r="K346" s="83">
        <f t="shared" si="144"/>
        <v>23522.5</v>
      </c>
      <c r="L346" s="83">
        <f t="shared" si="140"/>
        <v>0</v>
      </c>
      <c r="M346" s="83"/>
      <c r="N346" s="90">
        <v>525</v>
      </c>
      <c r="O346" s="115">
        <f t="shared" si="143"/>
        <v>2002.5</v>
      </c>
      <c r="P346" s="90">
        <f t="shared" si="137"/>
        <v>22997.5</v>
      </c>
      <c r="Q346" s="263"/>
      <c r="R346" s="85"/>
    </row>
    <row r="347" spans="1:18" s="34" customFormat="1" ht="26.25" customHeight="1" x14ac:dyDescent="0.25">
      <c r="A347" s="226" t="s">
        <v>125</v>
      </c>
      <c r="B347" s="227"/>
      <c r="C347" s="227"/>
      <c r="D347" s="227"/>
      <c r="E347" s="228"/>
      <c r="F347" s="39">
        <f t="shared" ref="F347:N347" si="145">SUM(F329:F346)</f>
        <v>612500</v>
      </c>
      <c r="G347" s="39">
        <f t="shared" si="145"/>
        <v>17578.75</v>
      </c>
      <c r="H347" s="39">
        <f t="shared" si="145"/>
        <v>18620</v>
      </c>
      <c r="I347" s="39">
        <f t="shared" si="145"/>
        <v>4732.3500000000004</v>
      </c>
      <c r="J347" s="39">
        <f t="shared" si="145"/>
        <v>40931.100000000006</v>
      </c>
      <c r="K347" s="39">
        <f t="shared" si="145"/>
        <v>571568.9</v>
      </c>
      <c r="L347" s="39">
        <f t="shared" si="145"/>
        <v>5119.3497499999994</v>
      </c>
      <c r="M347" s="39">
        <f t="shared" si="145"/>
        <v>0</v>
      </c>
      <c r="N347" s="39">
        <f t="shared" si="145"/>
        <v>13662.71</v>
      </c>
      <c r="O347" s="39">
        <f>SUM(O329:O346)</f>
        <v>59713.159749999999</v>
      </c>
      <c r="P347" s="39">
        <f>SUM(P329:P346)</f>
        <v>552786.84025000001</v>
      </c>
      <c r="Q347" s="263"/>
      <c r="R347" s="85"/>
    </row>
    <row r="348" spans="1:18" s="34" customFormat="1" ht="26.25" customHeight="1" thickBot="1" x14ac:dyDescent="0.3">
      <c r="A348" s="52"/>
      <c r="B348" s="52"/>
      <c r="C348" s="52"/>
      <c r="D348" s="52"/>
      <c r="E348" s="5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263"/>
      <c r="R348" s="85"/>
    </row>
    <row r="349" spans="1:18" s="41" customFormat="1" ht="30" customHeight="1" thickBot="1" x14ac:dyDescent="0.3">
      <c r="A349" s="229" t="s">
        <v>452</v>
      </c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0"/>
      <c r="O349" s="230"/>
      <c r="P349" s="230"/>
      <c r="Q349" s="264"/>
      <c r="R349" s="55"/>
    </row>
    <row r="350" spans="1:18" s="55" customFormat="1" ht="30" customHeight="1" x14ac:dyDescent="0.25">
      <c r="A350" s="81">
        <f>A345+1</f>
        <v>194</v>
      </c>
      <c r="B350" s="116" t="s">
        <v>406</v>
      </c>
      <c r="C350" s="38" t="s">
        <v>426</v>
      </c>
      <c r="D350" s="116" t="s">
        <v>228</v>
      </c>
      <c r="E350" s="116" t="s">
        <v>122</v>
      </c>
      <c r="F350" s="118">
        <v>70000</v>
      </c>
      <c r="G350" s="88">
        <f t="shared" ref="G350" si="146">F350*2.87%</f>
        <v>2009</v>
      </c>
      <c r="H350" s="88">
        <f t="shared" ref="H350" si="147">+F350*3.04%</f>
        <v>2128</v>
      </c>
      <c r="I350" s="88">
        <v>1577.45</v>
      </c>
      <c r="J350" s="83">
        <f t="shared" si="142"/>
        <v>5714.45</v>
      </c>
      <c r="K350" s="83">
        <f t="shared" si="144"/>
        <v>64285.55</v>
      </c>
      <c r="L350" s="83">
        <f>+IF(K350*12&lt;=416220.01,0,IF(K350*12&lt;=624329.01,(((K350*12-416220.01)*0.15)/12),IF((K350*12&lt;=867123.01),(31216+0.2*(K350*12-624329.01))/12,((79776+0.25*(K350*12-867123.01))/12))))-M350</f>
        <v>5052.9598333333352</v>
      </c>
      <c r="M350" s="83"/>
      <c r="N350" s="90">
        <v>25</v>
      </c>
      <c r="O350" s="115">
        <f>+N350+I350+H350+G350+L350</f>
        <v>10792.409833333335</v>
      </c>
      <c r="P350" s="90">
        <f>+F350-O350</f>
        <v>59207.590166666661</v>
      </c>
      <c r="Q350" s="264"/>
    </row>
    <row r="351" spans="1:18" s="55" customFormat="1" ht="30" customHeight="1" x14ac:dyDescent="0.25">
      <c r="A351" s="226" t="s">
        <v>125</v>
      </c>
      <c r="B351" s="227"/>
      <c r="C351" s="227"/>
      <c r="D351" s="227"/>
      <c r="E351" s="228"/>
      <c r="F351" s="39">
        <f>SUM(F350)</f>
        <v>70000</v>
      </c>
      <c r="G351" s="39">
        <f t="shared" ref="G351:P351" si="148">SUM(G350)</f>
        <v>2009</v>
      </c>
      <c r="H351" s="39">
        <f t="shared" si="148"/>
        <v>2128</v>
      </c>
      <c r="I351" s="39">
        <f t="shared" si="148"/>
        <v>1577.45</v>
      </c>
      <c r="J351" s="39">
        <f t="shared" si="148"/>
        <v>5714.45</v>
      </c>
      <c r="K351" s="39">
        <f t="shared" si="148"/>
        <v>64285.55</v>
      </c>
      <c r="L351" s="39">
        <f t="shared" si="148"/>
        <v>5052.9598333333352</v>
      </c>
      <c r="M351" s="39">
        <f t="shared" si="148"/>
        <v>0</v>
      </c>
      <c r="N351" s="39">
        <f t="shared" si="148"/>
        <v>25</v>
      </c>
      <c r="O351" s="39">
        <f t="shared" si="148"/>
        <v>10792.409833333335</v>
      </c>
      <c r="P351" s="39">
        <f t="shared" si="148"/>
        <v>59207.590166666661</v>
      </c>
      <c r="Q351" s="264"/>
    </row>
    <row r="352" spans="1:18" s="55" customFormat="1" ht="30" customHeight="1" thickBot="1" x14ac:dyDescent="0.3">
      <c r="A352" s="52"/>
      <c r="B352" s="52"/>
      <c r="C352" s="52"/>
      <c r="D352" s="52"/>
      <c r="E352" s="52"/>
      <c r="F352"/>
      <c r="G352"/>
      <c r="H352"/>
      <c r="I352"/>
      <c r="J352"/>
      <c r="K352"/>
      <c r="L352"/>
      <c r="M352"/>
      <c r="N352"/>
      <c r="O352"/>
      <c r="P352"/>
      <c r="Q352" s="264"/>
    </row>
    <row r="353" spans="1:18" s="41" customFormat="1" ht="22.5" customHeight="1" thickBot="1" x14ac:dyDescent="0.3">
      <c r="A353" s="229" t="s">
        <v>342</v>
      </c>
      <c r="B353" s="230"/>
      <c r="C353" s="230"/>
      <c r="D353" s="230"/>
      <c r="E353" s="230"/>
      <c r="F353" s="230"/>
      <c r="G353" s="230"/>
      <c r="H353" s="230"/>
      <c r="I353" s="230"/>
      <c r="J353" s="230"/>
      <c r="K353" s="230"/>
      <c r="L353" s="230"/>
      <c r="M353" s="230"/>
      <c r="N353" s="230"/>
      <c r="O353" s="230"/>
      <c r="P353" s="230"/>
      <c r="Q353" s="264"/>
      <c r="R353" s="55"/>
    </row>
    <row r="354" spans="1:18" s="41" customFormat="1" ht="17.25" customHeight="1" x14ac:dyDescent="0.25">
      <c r="A354" s="81">
        <f>+A350+1</f>
        <v>195</v>
      </c>
      <c r="B354" s="121" t="s">
        <v>343</v>
      </c>
      <c r="C354" s="131" t="s">
        <v>426</v>
      </c>
      <c r="D354" s="121" t="s">
        <v>344</v>
      </c>
      <c r="E354" s="116" t="s">
        <v>121</v>
      </c>
      <c r="F354" s="115">
        <v>135000</v>
      </c>
      <c r="G354" s="83">
        <f>F354*2.87%</f>
        <v>3874.5</v>
      </c>
      <c r="H354" s="83">
        <f>+F354*3.04%</f>
        <v>4104</v>
      </c>
      <c r="I354" s="83"/>
      <c r="J354" s="83">
        <f t="shared" si="142"/>
        <v>7978.5</v>
      </c>
      <c r="K354" s="83">
        <f t="shared" si="144"/>
        <v>127021.5</v>
      </c>
      <c r="L354" s="83">
        <f>+IF(K354*12&lt;=416220.01,0,IF(K354*12&lt;=624329.01,(((K354*12-416220.01)*0.15)/12),IF((K354*12&lt;=867123.01),(31216+0.2*(K354*12-624329.01))/12,((79776+0.25*(K354*12-867123.01))/12))))-M354</f>
        <v>20338.312291666665</v>
      </c>
      <c r="M354" s="83"/>
      <c r="N354" s="90">
        <v>125</v>
      </c>
      <c r="O354" s="115">
        <f t="shared" si="143"/>
        <v>28441.812291666665</v>
      </c>
      <c r="P354" s="90">
        <f>+F354-O354</f>
        <v>106558.18770833334</v>
      </c>
      <c r="Q354" s="264"/>
      <c r="R354" s="55"/>
    </row>
    <row r="355" spans="1:18" s="55" customFormat="1" ht="27.75" customHeight="1" x14ac:dyDescent="0.25">
      <c r="A355" s="226" t="s">
        <v>125</v>
      </c>
      <c r="B355" s="227"/>
      <c r="C355" s="227"/>
      <c r="D355" s="227"/>
      <c r="E355" s="228"/>
      <c r="F355" s="39">
        <f t="shared" ref="F355:P355" si="149">SUM(F354:F354)</f>
        <v>135000</v>
      </c>
      <c r="G355" s="39">
        <f t="shared" si="149"/>
        <v>3874.5</v>
      </c>
      <c r="H355" s="39">
        <f t="shared" si="149"/>
        <v>4104</v>
      </c>
      <c r="I355" s="39">
        <f t="shared" si="149"/>
        <v>0</v>
      </c>
      <c r="J355" s="39">
        <f t="shared" si="149"/>
        <v>7978.5</v>
      </c>
      <c r="K355" s="39">
        <f t="shared" si="149"/>
        <v>127021.5</v>
      </c>
      <c r="L355" s="39">
        <f t="shared" si="149"/>
        <v>20338.312291666665</v>
      </c>
      <c r="M355" s="39">
        <f t="shared" si="149"/>
        <v>0</v>
      </c>
      <c r="N355" s="39">
        <f t="shared" si="149"/>
        <v>125</v>
      </c>
      <c r="O355" s="39">
        <f t="shared" si="149"/>
        <v>28441.812291666665</v>
      </c>
      <c r="P355" s="39">
        <f t="shared" si="149"/>
        <v>106558.18770833334</v>
      </c>
      <c r="Q355" s="264"/>
    </row>
    <row r="356" spans="1:18" s="41" customFormat="1" ht="23.25" customHeight="1" thickBot="1" x14ac:dyDescent="0.3">
      <c r="A356" s="52"/>
      <c r="B356" s="52"/>
      <c r="C356" s="52"/>
      <c r="D356" s="52"/>
      <c r="E356" s="5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264"/>
      <c r="R356" s="55"/>
    </row>
    <row r="357" spans="1:18" s="41" customFormat="1" ht="24.95" customHeight="1" thickBot="1" x14ac:dyDescent="0.3">
      <c r="A357" s="229" t="s">
        <v>209</v>
      </c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0"/>
      <c r="O357" s="230"/>
      <c r="P357" s="230"/>
      <c r="Q357" s="264"/>
      <c r="R357" s="55"/>
    </row>
    <row r="358" spans="1:18" s="55" customFormat="1" ht="30" customHeight="1" x14ac:dyDescent="0.25">
      <c r="A358" s="86">
        <f>+A354+1</f>
        <v>196</v>
      </c>
      <c r="B358" s="116" t="s">
        <v>345</v>
      </c>
      <c r="C358" s="38" t="s">
        <v>425</v>
      </c>
      <c r="D358" s="116" t="s">
        <v>22</v>
      </c>
      <c r="E358" s="116" t="s">
        <v>122</v>
      </c>
      <c r="F358" s="118">
        <v>40000</v>
      </c>
      <c r="G358" s="118">
        <f>F358*2.87%</f>
        <v>1148</v>
      </c>
      <c r="H358" s="88">
        <f>+F358*3.04%</f>
        <v>1216</v>
      </c>
      <c r="I358" s="88">
        <v>1577.45</v>
      </c>
      <c r="J358" s="83">
        <f t="shared" si="142"/>
        <v>3941.45</v>
      </c>
      <c r="K358" s="83">
        <f t="shared" si="144"/>
        <v>36058.550000000003</v>
      </c>
      <c r="L358" s="83">
        <f>+IF(K358*12&lt;=416220.01,0,IF(K358*12&lt;=624329.01,(((K358*12-416220.01)*0.15)/12),IF((K358*12&lt;=867123.01),(31216+0.2*(K358*12-624329.01))/12,((79776+0.25*(K358*12-867123.01))/12))))-M358</f>
        <v>206.03237500000031</v>
      </c>
      <c r="M358" s="83"/>
      <c r="N358" s="90">
        <v>125</v>
      </c>
      <c r="O358" s="115">
        <f t="shared" si="143"/>
        <v>4272.4823750000005</v>
      </c>
      <c r="P358" s="90">
        <f>+F358-O358</f>
        <v>35727.517625</v>
      </c>
      <c r="Q358" s="264"/>
    </row>
    <row r="359" spans="1:18" s="55" customFormat="1" ht="30" customHeight="1" x14ac:dyDescent="0.25">
      <c r="A359" s="226" t="s">
        <v>125</v>
      </c>
      <c r="B359" s="227"/>
      <c r="C359" s="227"/>
      <c r="D359" s="227"/>
      <c r="E359" s="228"/>
      <c r="F359" s="39">
        <f>SUM(F358:F358)</f>
        <v>40000</v>
      </c>
      <c r="G359" s="39">
        <f t="shared" ref="G359:P359" si="150">SUM(G358:G358)</f>
        <v>1148</v>
      </c>
      <c r="H359" s="39">
        <f t="shared" si="150"/>
        <v>1216</v>
      </c>
      <c r="I359" s="39">
        <f t="shared" si="150"/>
        <v>1577.45</v>
      </c>
      <c r="J359" s="39">
        <f t="shared" si="150"/>
        <v>3941.45</v>
      </c>
      <c r="K359" s="39">
        <f t="shared" si="150"/>
        <v>36058.550000000003</v>
      </c>
      <c r="L359" s="39">
        <f t="shared" si="150"/>
        <v>206.03237500000031</v>
      </c>
      <c r="M359" s="39">
        <f t="shared" si="150"/>
        <v>0</v>
      </c>
      <c r="N359" s="39">
        <f t="shared" si="150"/>
        <v>125</v>
      </c>
      <c r="O359" s="39">
        <f t="shared" si="150"/>
        <v>4272.4823750000005</v>
      </c>
      <c r="P359" s="39">
        <f t="shared" si="150"/>
        <v>35727.517625</v>
      </c>
      <c r="Q359" s="264"/>
    </row>
    <row r="360" spans="1:18" s="41" customFormat="1" ht="22.5" customHeight="1" thickBot="1" x14ac:dyDescent="0.3">
      <c r="A360" s="52"/>
      <c r="B360" s="52"/>
      <c r="C360" s="52"/>
      <c r="D360" s="52"/>
      <c r="E360" s="5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264"/>
      <c r="R360" s="55"/>
    </row>
    <row r="361" spans="1:18" s="41" customFormat="1" ht="22.5" customHeight="1" thickBot="1" x14ac:dyDescent="0.3">
      <c r="A361" s="229" t="s">
        <v>210</v>
      </c>
      <c r="B361" s="230"/>
      <c r="C361" s="230"/>
      <c r="D361" s="230"/>
      <c r="E361" s="230"/>
      <c r="F361" s="230"/>
      <c r="G361" s="230"/>
      <c r="H361" s="230"/>
      <c r="I361" s="230"/>
      <c r="J361" s="230"/>
      <c r="K361" s="230"/>
      <c r="L361" s="230"/>
      <c r="M361" s="230"/>
      <c r="N361" s="230"/>
      <c r="O361" s="230"/>
      <c r="P361" s="230"/>
      <c r="Q361" s="264"/>
      <c r="R361" s="55"/>
    </row>
    <row r="362" spans="1:18" s="41" customFormat="1" ht="22.5" customHeight="1" x14ac:dyDescent="0.25">
      <c r="A362" s="86">
        <f>+A358+1</f>
        <v>197</v>
      </c>
      <c r="B362" s="116" t="s">
        <v>84</v>
      </c>
      <c r="C362" s="38" t="s">
        <v>425</v>
      </c>
      <c r="D362" s="116" t="s">
        <v>105</v>
      </c>
      <c r="E362" s="116" t="s">
        <v>121</v>
      </c>
      <c r="F362" s="118">
        <v>60000</v>
      </c>
      <c r="G362" s="88">
        <f>F362*2.87%</f>
        <v>1722</v>
      </c>
      <c r="H362" s="88">
        <f>+F362*3.04%</f>
        <v>1824</v>
      </c>
      <c r="I362" s="88">
        <v>1577.45</v>
      </c>
      <c r="J362" s="83">
        <f t="shared" si="142"/>
        <v>5123.45</v>
      </c>
      <c r="K362" s="83">
        <f t="shared" si="144"/>
        <v>54876.55</v>
      </c>
      <c r="L362" s="83">
        <f>+IF(K362*12&lt;=416220.01,0,IF(K362*12&lt;=624329.01,(((K362*12-416220.01)*0.15)/12),IF((K362*12&lt;=867123.01),(31216+0.2*(K362*12-624329.01))/12,((79776+0.25*(K362*12-867123.01))/12))))-M362</f>
        <v>3171.159833333335</v>
      </c>
      <c r="M362" s="83"/>
      <c r="N362" s="90">
        <v>25</v>
      </c>
      <c r="O362" s="115">
        <f t="shared" si="143"/>
        <v>8319.6098333333357</v>
      </c>
      <c r="P362" s="90">
        <f>+F362-O362</f>
        <v>51680.390166666664</v>
      </c>
      <c r="Q362" s="264"/>
      <c r="R362" s="55"/>
    </row>
    <row r="363" spans="1:18" s="41" customFormat="1" ht="29.25" customHeight="1" x14ac:dyDescent="0.25">
      <c r="A363" s="226" t="s">
        <v>125</v>
      </c>
      <c r="B363" s="227"/>
      <c r="C363" s="227"/>
      <c r="D363" s="227"/>
      <c r="E363" s="228"/>
      <c r="F363" s="39">
        <f>SUM(F362:F362)</f>
        <v>60000</v>
      </c>
      <c r="G363" s="39">
        <f t="shared" ref="G363:P363" si="151">SUM(G362:G362)</f>
        <v>1722</v>
      </c>
      <c r="H363" s="39">
        <f t="shared" si="151"/>
        <v>1824</v>
      </c>
      <c r="I363" s="39">
        <f t="shared" si="151"/>
        <v>1577.45</v>
      </c>
      <c r="J363" s="39">
        <f t="shared" si="151"/>
        <v>5123.45</v>
      </c>
      <c r="K363" s="39">
        <f t="shared" si="151"/>
        <v>54876.55</v>
      </c>
      <c r="L363" s="39">
        <f t="shared" si="151"/>
        <v>3171.159833333335</v>
      </c>
      <c r="M363" s="39">
        <f t="shared" si="151"/>
        <v>0</v>
      </c>
      <c r="N363" s="39">
        <f t="shared" si="151"/>
        <v>25</v>
      </c>
      <c r="O363" s="39">
        <f t="shared" si="151"/>
        <v>8319.6098333333357</v>
      </c>
      <c r="P363" s="39">
        <f t="shared" si="151"/>
        <v>51680.390166666664</v>
      </c>
      <c r="Q363" s="264"/>
      <c r="R363" s="55"/>
    </row>
    <row r="364" spans="1:18" s="41" customFormat="1" ht="29.25" customHeight="1" thickBot="1" x14ac:dyDescent="0.3">
      <c r="A364" s="52"/>
      <c r="B364" s="52"/>
      <c r="C364" s="52"/>
      <c r="D364" s="52"/>
      <c r="E364" s="5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264"/>
      <c r="R364" s="55"/>
    </row>
    <row r="365" spans="1:18" s="41" customFormat="1" ht="30" customHeight="1" thickBot="1" x14ac:dyDescent="0.3">
      <c r="A365" s="229" t="s">
        <v>346</v>
      </c>
      <c r="B365" s="230"/>
      <c r="C365" s="230"/>
      <c r="D365" s="230"/>
      <c r="E365" s="230"/>
      <c r="F365" s="230"/>
      <c r="G365" s="230"/>
      <c r="H365" s="230"/>
      <c r="I365" s="230"/>
      <c r="J365" s="230"/>
      <c r="K365" s="230"/>
      <c r="L365" s="230"/>
      <c r="M365" s="230"/>
      <c r="N365" s="230"/>
      <c r="O365" s="230"/>
      <c r="P365" s="230"/>
      <c r="Q365" s="264"/>
      <c r="R365" s="55"/>
    </row>
    <row r="366" spans="1:18" s="41" customFormat="1" ht="27.75" customHeight="1" x14ac:dyDescent="0.25">
      <c r="A366" s="86">
        <f>+A362+1</f>
        <v>198</v>
      </c>
      <c r="B366" s="116" t="s">
        <v>428</v>
      </c>
      <c r="C366" s="38" t="s">
        <v>425</v>
      </c>
      <c r="D366" s="122" t="s">
        <v>347</v>
      </c>
      <c r="E366" s="116" t="s">
        <v>231</v>
      </c>
      <c r="F366" s="118">
        <v>35000</v>
      </c>
      <c r="G366" s="88">
        <f>F366*2.87%</f>
        <v>1004.5</v>
      </c>
      <c r="H366" s="88">
        <f>+F366*3.04%</f>
        <v>1064</v>
      </c>
      <c r="I366" s="88"/>
      <c r="J366" s="83">
        <f t="shared" si="142"/>
        <v>2068.5</v>
      </c>
      <c r="K366" s="83">
        <f t="shared" si="144"/>
        <v>32931.5</v>
      </c>
      <c r="L366" s="83">
        <f t="shared" ref="L366:L373" si="152">+IF(K366*12&lt;=416220.01,0,IF(K366*12&lt;=624329.01,(((K366*12-416220.01)*0.15)/12),IF((K366*12&lt;=867123.01),(31216+0.2*(K366*12-624329.01))/12,((79776+0.25*(K366*12-867123.01))/12))))</f>
        <v>0</v>
      </c>
      <c r="M366" s="83"/>
      <c r="N366" s="90">
        <v>25</v>
      </c>
      <c r="O366" s="115">
        <f t="shared" si="143"/>
        <v>2093.5</v>
      </c>
      <c r="P366" s="84">
        <f>+F366-O366</f>
        <v>32906.5</v>
      </c>
      <c r="Q366" s="264"/>
      <c r="R366" s="55"/>
    </row>
    <row r="367" spans="1:18" s="41" customFormat="1" ht="27.75" customHeight="1" x14ac:dyDescent="0.25">
      <c r="A367" s="86">
        <f>+A366+1</f>
        <v>199</v>
      </c>
      <c r="B367" s="116" t="s">
        <v>348</v>
      </c>
      <c r="C367" s="38" t="s">
        <v>425</v>
      </c>
      <c r="D367" s="116" t="s">
        <v>347</v>
      </c>
      <c r="E367" s="116" t="s">
        <v>231</v>
      </c>
      <c r="F367" s="118">
        <v>35000</v>
      </c>
      <c r="G367" s="88">
        <f t="shared" ref="G367:G368" si="153">F367*2.87%</f>
        <v>1004.5</v>
      </c>
      <c r="H367" s="88">
        <f t="shared" ref="H367:H368" si="154">+F367*3.04%</f>
        <v>1064</v>
      </c>
      <c r="I367" s="88"/>
      <c r="J367" s="83">
        <f t="shared" si="142"/>
        <v>2068.5</v>
      </c>
      <c r="K367" s="83">
        <f t="shared" si="144"/>
        <v>32931.5</v>
      </c>
      <c r="L367" s="83">
        <f t="shared" si="152"/>
        <v>0</v>
      </c>
      <c r="M367" s="83"/>
      <c r="N367" s="90">
        <v>3025</v>
      </c>
      <c r="O367" s="115">
        <f t="shared" si="143"/>
        <v>5093.5</v>
      </c>
      <c r="P367" s="90">
        <f>+F367-O367</f>
        <v>29906.5</v>
      </c>
      <c r="Q367" s="264"/>
      <c r="R367" s="55"/>
    </row>
    <row r="368" spans="1:18" s="55" customFormat="1" ht="30" customHeight="1" x14ac:dyDescent="0.25">
      <c r="A368" s="86">
        <f>+A367+1</f>
        <v>200</v>
      </c>
      <c r="B368" s="116" t="s">
        <v>349</v>
      </c>
      <c r="C368" s="38" t="s">
        <v>425</v>
      </c>
      <c r="D368" s="116" t="s">
        <v>347</v>
      </c>
      <c r="E368" s="116" t="s">
        <v>231</v>
      </c>
      <c r="F368" s="118">
        <v>35000</v>
      </c>
      <c r="G368" s="88">
        <f t="shared" si="153"/>
        <v>1004.5</v>
      </c>
      <c r="H368" s="88">
        <f t="shared" si="154"/>
        <v>1064</v>
      </c>
      <c r="I368" s="88"/>
      <c r="J368" s="83">
        <f t="shared" si="142"/>
        <v>2068.5</v>
      </c>
      <c r="K368" s="83">
        <f t="shared" si="144"/>
        <v>32931.5</v>
      </c>
      <c r="L368" s="83">
        <f t="shared" si="152"/>
        <v>0</v>
      </c>
      <c r="M368" s="83"/>
      <c r="N368" s="90">
        <v>25</v>
      </c>
      <c r="O368" s="115">
        <f t="shared" si="143"/>
        <v>2093.5</v>
      </c>
      <c r="P368" s="90">
        <f>+F368-O368</f>
        <v>32906.5</v>
      </c>
      <c r="Q368" s="264"/>
    </row>
    <row r="369" spans="1:18" s="41" customFormat="1" ht="30" customHeight="1" x14ac:dyDescent="0.25">
      <c r="A369" s="226" t="s">
        <v>125</v>
      </c>
      <c r="B369" s="227"/>
      <c r="C369" s="227"/>
      <c r="D369" s="227"/>
      <c r="E369" s="228"/>
      <c r="F369" s="39">
        <f t="shared" ref="F369:P369" si="155">SUM(F366:F368)</f>
        <v>105000</v>
      </c>
      <c r="G369" s="39">
        <f t="shared" si="155"/>
        <v>3013.5</v>
      </c>
      <c r="H369" s="39">
        <f t="shared" si="155"/>
        <v>3192</v>
      </c>
      <c r="I369" s="39">
        <f t="shared" si="155"/>
        <v>0</v>
      </c>
      <c r="J369" s="39">
        <f t="shared" si="155"/>
        <v>6205.5</v>
      </c>
      <c r="K369" s="39">
        <f t="shared" si="155"/>
        <v>98794.5</v>
      </c>
      <c r="L369" s="39">
        <f t="shared" si="155"/>
        <v>0</v>
      </c>
      <c r="M369" s="39"/>
      <c r="N369" s="39">
        <f t="shared" si="155"/>
        <v>3075</v>
      </c>
      <c r="O369" s="39">
        <f t="shared" si="155"/>
        <v>9280.5</v>
      </c>
      <c r="P369" s="39">
        <f t="shared" si="155"/>
        <v>95719.5</v>
      </c>
      <c r="Q369" s="264"/>
      <c r="R369" s="55"/>
    </row>
    <row r="370" spans="1:18" s="41" customFormat="1" ht="30" customHeight="1" thickBot="1" x14ac:dyDescent="0.3">
      <c r="A370" s="52"/>
      <c r="B370" s="52"/>
      <c r="C370" s="52"/>
      <c r="D370" s="52"/>
      <c r="E370" s="5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264"/>
      <c r="R370" s="55"/>
    </row>
    <row r="371" spans="1:18" s="41" customFormat="1" ht="27.75" customHeight="1" thickBot="1" x14ac:dyDescent="0.3">
      <c r="A371" s="229" t="s">
        <v>212</v>
      </c>
      <c r="B371" s="230"/>
      <c r="C371" s="230"/>
      <c r="D371" s="230"/>
      <c r="E371" s="230"/>
      <c r="F371" s="230"/>
      <c r="G371" s="230"/>
      <c r="H371" s="230"/>
      <c r="I371" s="230"/>
      <c r="J371" s="230"/>
      <c r="K371" s="230"/>
      <c r="L371" s="230"/>
      <c r="M371" s="230"/>
      <c r="N371" s="230"/>
      <c r="O371" s="230"/>
      <c r="P371" s="230"/>
      <c r="Q371" s="264"/>
      <c r="R371" s="55"/>
    </row>
    <row r="372" spans="1:18" s="41" customFormat="1" ht="30" customHeight="1" x14ac:dyDescent="0.25">
      <c r="A372" s="86">
        <f>+A368+1</f>
        <v>201</v>
      </c>
      <c r="B372" s="87" t="s">
        <v>211</v>
      </c>
      <c r="C372" s="86" t="s">
        <v>425</v>
      </c>
      <c r="D372" s="87" t="s">
        <v>213</v>
      </c>
      <c r="E372" s="87" t="s">
        <v>231</v>
      </c>
      <c r="F372" s="88">
        <v>25550</v>
      </c>
      <c r="G372" s="88">
        <f>F372*2.87%</f>
        <v>733.28499999999997</v>
      </c>
      <c r="H372" s="88">
        <f>+F372*3.04%</f>
        <v>776.72</v>
      </c>
      <c r="I372" s="88"/>
      <c r="J372" s="83">
        <f t="shared" si="142"/>
        <v>1510.0050000000001</v>
      </c>
      <c r="K372" s="83">
        <f t="shared" si="144"/>
        <v>24039.994999999999</v>
      </c>
      <c r="L372" s="83">
        <f t="shared" si="152"/>
        <v>0</v>
      </c>
      <c r="M372" s="83"/>
      <c r="N372" s="90">
        <v>25</v>
      </c>
      <c r="O372" s="115">
        <f t="shared" si="143"/>
        <v>1535.0050000000001</v>
      </c>
      <c r="P372" s="90">
        <f>+F372-O372</f>
        <v>24014.994999999999</v>
      </c>
      <c r="Q372" s="264"/>
      <c r="R372" s="55"/>
    </row>
    <row r="373" spans="1:18" s="85" customFormat="1" ht="30" customHeight="1" x14ac:dyDescent="0.25">
      <c r="A373" s="168">
        <f>+A372+1</f>
        <v>202</v>
      </c>
      <c r="B373" s="122" t="s">
        <v>487</v>
      </c>
      <c r="C373" s="38" t="s">
        <v>425</v>
      </c>
      <c r="D373" s="116" t="s">
        <v>213</v>
      </c>
      <c r="E373" s="116" t="s">
        <v>231</v>
      </c>
      <c r="F373" s="118">
        <v>25550</v>
      </c>
      <c r="G373" s="88">
        <f>F373*2.87%</f>
        <v>733.28499999999997</v>
      </c>
      <c r="H373" s="88">
        <f>+F373*3.04%</f>
        <v>776.72</v>
      </c>
      <c r="I373" s="88"/>
      <c r="J373" s="83">
        <f t="shared" si="142"/>
        <v>1510.0050000000001</v>
      </c>
      <c r="K373" s="83">
        <f t="shared" si="144"/>
        <v>24039.994999999999</v>
      </c>
      <c r="L373" s="83">
        <f t="shared" si="152"/>
        <v>0</v>
      </c>
      <c r="M373" s="83"/>
      <c r="N373" s="90">
        <v>25</v>
      </c>
      <c r="O373" s="115">
        <f t="shared" si="143"/>
        <v>1535.0050000000001</v>
      </c>
      <c r="P373" s="90">
        <f>+F373-O373</f>
        <v>24014.994999999999</v>
      </c>
      <c r="Q373" s="263"/>
    </row>
    <row r="374" spans="1:18" s="85" customFormat="1" ht="30" customHeight="1" x14ac:dyDescent="0.25">
      <c r="A374" s="226" t="s">
        <v>125</v>
      </c>
      <c r="B374" s="227"/>
      <c r="C374" s="227"/>
      <c r="D374" s="227"/>
      <c r="E374" s="228"/>
      <c r="F374" s="39">
        <f>SUM(F372:F373)</f>
        <v>51100</v>
      </c>
      <c r="G374" s="39">
        <f t="shared" ref="G374:P374" si="156">SUM(G372:G373)</f>
        <v>1466.57</v>
      </c>
      <c r="H374" s="39">
        <f t="shared" si="156"/>
        <v>1553.44</v>
      </c>
      <c r="I374" s="39">
        <f t="shared" si="156"/>
        <v>0</v>
      </c>
      <c r="J374" s="39">
        <f t="shared" si="156"/>
        <v>3020.01</v>
      </c>
      <c r="K374" s="39">
        <f t="shared" si="156"/>
        <v>48079.99</v>
      </c>
      <c r="L374" s="39">
        <f t="shared" si="156"/>
        <v>0</v>
      </c>
      <c r="M374" s="39"/>
      <c r="N374" s="39">
        <f t="shared" si="156"/>
        <v>50</v>
      </c>
      <c r="O374" s="39">
        <f t="shared" si="156"/>
        <v>3070.01</v>
      </c>
      <c r="P374" s="39">
        <f t="shared" si="156"/>
        <v>48029.99</v>
      </c>
      <c r="Q374" s="263"/>
    </row>
    <row r="375" spans="1:18" s="85" customFormat="1" ht="30" customHeight="1" thickBot="1" x14ac:dyDescent="0.3">
      <c r="A375" s="52"/>
      <c r="B375" s="52"/>
      <c r="C375" s="52"/>
      <c r="D375" s="52"/>
      <c r="E375" s="5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263"/>
    </row>
    <row r="376" spans="1:18" s="55" customFormat="1" ht="30" customHeight="1" thickBot="1" x14ac:dyDescent="0.3">
      <c r="A376" s="229" t="s">
        <v>178</v>
      </c>
      <c r="B376" s="230"/>
      <c r="C376" s="230"/>
      <c r="D376" s="230"/>
      <c r="E376" s="230"/>
      <c r="F376" s="230"/>
      <c r="G376" s="230"/>
      <c r="H376" s="230"/>
      <c r="I376" s="230"/>
      <c r="J376" s="230"/>
      <c r="K376" s="230"/>
      <c r="L376" s="230"/>
      <c r="M376" s="230"/>
      <c r="N376" s="230"/>
      <c r="O376" s="230"/>
      <c r="P376" s="230"/>
      <c r="Q376" s="264"/>
    </row>
    <row r="377" spans="1:18" s="55" customFormat="1" ht="30" customHeight="1" x14ac:dyDescent="0.25">
      <c r="A377" s="81">
        <f>+A373+1</f>
        <v>203</v>
      </c>
      <c r="B377" s="121" t="s">
        <v>350</v>
      </c>
      <c r="C377" s="131" t="s">
        <v>426</v>
      </c>
      <c r="D377" s="132" t="s">
        <v>108</v>
      </c>
      <c r="E377" s="116" t="s">
        <v>122</v>
      </c>
      <c r="F377" s="115">
        <v>77000</v>
      </c>
      <c r="G377" s="83">
        <f t="shared" ref="G377:G397" si="157">F377*2.87%</f>
        <v>2209.9</v>
      </c>
      <c r="H377" s="83">
        <f>+F377*3.04%</f>
        <v>2340.8000000000002</v>
      </c>
      <c r="I377" s="83"/>
      <c r="J377" s="83">
        <f t="shared" si="142"/>
        <v>4550.7000000000007</v>
      </c>
      <c r="K377" s="83">
        <f>+F377-J377</f>
        <v>72449.3</v>
      </c>
      <c r="L377" s="83">
        <f>+IF(K377*12&lt;=416220.01,0,IF(K377*12&lt;=624329.01,(((K377*12-416220.01)*0.15)/12),IF((K377*12&lt;=867123.01),(31216+0.2*(K377*12-624329.01))/12,((79776+0.25*(K377*12-867123.01))/12))))-M377</f>
        <v>6695.2622916666687</v>
      </c>
      <c r="M377" s="83"/>
      <c r="N377" s="90">
        <v>165</v>
      </c>
      <c r="O377" s="115">
        <f t="shared" si="143"/>
        <v>11410.96229166667</v>
      </c>
      <c r="P377" s="90">
        <f t="shared" ref="P377:P383" si="158">+F377-O377</f>
        <v>65589.03770833333</v>
      </c>
      <c r="Q377" s="264"/>
    </row>
    <row r="378" spans="1:18" s="55" customFormat="1" ht="30" customHeight="1" x14ac:dyDescent="0.25">
      <c r="A378" s="81">
        <f>+A377+1</f>
        <v>204</v>
      </c>
      <c r="B378" s="121" t="s">
        <v>619</v>
      </c>
      <c r="C378" s="131" t="s">
        <v>425</v>
      </c>
      <c r="D378" s="132" t="s">
        <v>26</v>
      </c>
      <c r="E378" s="116" t="s">
        <v>122</v>
      </c>
      <c r="F378" s="115">
        <v>35750</v>
      </c>
      <c r="G378" s="83">
        <f t="shared" ref="G378" si="159">F378*2.87%</f>
        <v>1026.0250000000001</v>
      </c>
      <c r="H378" s="83">
        <f>+F378*3.04%</f>
        <v>1086.8</v>
      </c>
      <c r="I378" s="83">
        <v>1577.45</v>
      </c>
      <c r="J378" s="83">
        <f t="shared" ref="J378" si="160">+G378+H378+I378</f>
        <v>3690.2749999999996</v>
      </c>
      <c r="K378" s="83">
        <f>+F378-J378</f>
        <v>32059.724999999999</v>
      </c>
      <c r="L378" s="83">
        <f t="shared" ref="L378:L397" si="161">+IF(K378*12&lt;=416220.01,0,IF(K378*12&lt;=624329.01,(((K378*12-416220.01)*0.15)/12),IF((K378*12&lt;=867123.01),(31216+0.2*(K378*12-624329.01))/12,((79776+0.25*(K378*12-867123.01))/12))))-M378</f>
        <v>0</v>
      </c>
      <c r="M378" s="83"/>
      <c r="N378" s="90">
        <v>25</v>
      </c>
      <c r="O378" s="115">
        <f t="shared" ref="O378" si="162">+N378+I378+H378+G378+L378</f>
        <v>3715.2750000000001</v>
      </c>
      <c r="P378" s="90">
        <f t="shared" si="158"/>
        <v>32034.724999999999</v>
      </c>
      <c r="Q378" s="264"/>
    </row>
    <row r="379" spans="1:18" s="41" customFormat="1" ht="30" customHeight="1" x14ac:dyDescent="0.25">
      <c r="A379" s="81">
        <f>+A378+1</f>
        <v>205</v>
      </c>
      <c r="B379" s="116" t="s">
        <v>44</v>
      </c>
      <c r="C379" s="38" t="s">
        <v>426</v>
      </c>
      <c r="D379" s="135" t="s">
        <v>234</v>
      </c>
      <c r="E379" s="116" t="s">
        <v>122</v>
      </c>
      <c r="F379" s="118">
        <v>50000</v>
      </c>
      <c r="G379" s="88">
        <f t="shared" si="157"/>
        <v>1435</v>
      </c>
      <c r="H379" s="83">
        <f t="shared" ref="H379:H397" si="163">+F379*3.04%</f>
        <v>1520</v>
      </c>
      <c r="I379" s="83"/>
      <c r="J379" s="83">
        <f t="shared" si="142"/>
        <v>2955</v>
      </c>
      <c r="K379" s="83">
        <f t="shared" ref="K379:K397" si="164">+F379-J379</f>
        <v>47045</v>
      </c>
      <c r="L379" s="83">
        <f t="shared" si="161"/>
        <v>1853.9998749999997</v>
      </c>
      <c r="M379" s="83"/>
      <c r="N379" s="90">
        <v>4706.53</v>
      </c>
      <c r="O379" s="115">
        <f t="shared" si="143"/>
        <v>9515.5298750000002</v>
      </c>
      <c r="P379" s="90">
        <f t="shared" si="158"/>
        <v>40484.470125</v>
      </c>
      <c r="Q379" s="264"/>
      <c r="R379" s="55"/>
    </row>
    <row r="380" spans="1:18" s="55" customFormat="1" ht="30" customHeight="1" x14ac:dyDescent="0.25">
      <c r="A380" s="81">
        <f>+A379+1</f>
        <v>206</v>
      </c>
      <c r="B380" s="116" t="s">
        <v>352</v>
      </c>
      <c r="C380" s="38" t="s">
        <v>425</v>
      </c>
      <c r="D380" s="116" t="s">
        <v>353</v>
      </c>
      <c r="E380" s="116" t="s">
        <v>122</v>
      </c>
      <c r="F380" s="118">
        <v>45000</v>
      </c>
      <c r="G380" s="88">
        <f t="shared" si="157"/>
        <v>1291.5</v>
      </c>
      <c r="H380" s="83">
        <f t="shared" si="163"/>
        <v>1368</v>
      </c>
      <c r="I380" s="83"/>
      <c r="J380" s="83">
        <f t="shared" si="142"/>
        <v>2659.5</v>
      </c>
      <c r="K380" s="83">
        <f t="shared" si="164"/>
        <v>42340.5</v>
      </c>
      <c r="L380" s="83">
        <f t="shared" si="161"/>
        <v>57.664874999999938</v>
      </c>
      <c r="M380" s="83">
        <f>1148.32-57.66</f>
        <v>1090.6599999999999</v>
      </c>
      <c r="N380" s="90">
        <v>4715.26</v>
      </c>
      <c r="O380" s="115">
        <f t="shared" si="143"/>
        <v>7432.4248750000006</v>
      </c>
      <c r="P380" s="90">
        <f t="shared" si="158"/>
        <v>37567.575125000003</v>
      </c>
      <c r="Q380" s="264"/>
    </row>
    <row r="381" spans="1:18" s="85" customFormat="1" ht="30" customHeight="1" x14ac:dyDescent="0.25">
      <c r="A381" s="81">
        <f t="shared" ref="A381:A397" si="165">+A380+1</f>
        <v>207</v>
      </c>
      <c r="B381" s="116" t="s">
        <v>354</v>
      </c>
      <c r="C381" s="38" t="s">
        <v>425</v>
      </c>
      <c r="D381" s="116" t="s">
        <v>353</v>
      </c>
      <c r="E381" s="116" t="s">
        <v>122</v>
      </c>
      <c r="F381" s="118">
        <v>45000</v>
      </c>
      <c r="G381" s="88">
        <f t="shared" si="157"/>
        <v>1291.5</v>
      </c>
      <c r="H381" s="83">
        <f t="shared" si="163"/>
        <v>1368</v>
      </c>
      <c r="I381" s="83"/>
      <c r="J381" s="83">
        <f t="shared" si="142"/>
        <v>2659.5</v>
      </c>
      <c r="K381" s="83">
        <f t="shared" si="164"/>
        <v>42340.5</v>
      </c>
      <c r="L381" s="83">
        <f t="shared" si="161"/>
        <v>1148.3248749999998</v>
      </c>
      <c r="M381" s="83"/>
      <c r="N381" s="90">
        <v>3324.8</v>
      </c>
      <c r="O381" s="115">
        <f t="shared" si="143"/>
        <v>7132.6248749999995</v>
      </c>
      <c r="P381" s="90">
        <f t="shared" si="158"/>
        <v>37867.375124999999</v>
      </c>
      <c r="Q381" s="263"/>
    </row>
    <row r="382" spans="1:18" s="85" customFormat="1" ht="30" customHeight="1" x14ac:dyDescent="0.25">
      <c r="A382" s="81">
        <f t="shared" si="165"/>
        <v>208</v>
      </c>
      <c r="B382" s="116" t="s">
        <v>8</v>
      </c>
      <c r="C382" s="38" t="s">
        <v>426</v>
      </c>
      <c r="D382" s="116" t="s">
        <v>355</v>
      </c>
      <c r="E382" s="116" t="s">
        <v>122</v>
      </c>
      <c r="F382" s="118">
        <v>45000</v>
      </c>
      <c r="G382" s="88">
        <f t="shared" si="157"/>
        <v>1291.5</v>
      </c>
      <c r="H382" s="83">
        <f t="shared" si="163"/>
        <v>1368</v>
      </c>
      <c r="I382" s="83">
        <v>1577.45</v>
      </c>
      <c r="J382" s="83">
        <f t="shared" si="142"/>
        <v>4236.95</v>
      </c>
      <c r="K382" s="83">
        <f t="shared" si="164"/>
        <v>40763.050000000003</v>
      </c>
      <c r="L382" s="83">
        <f t="shared" si="161"/>
        <v>-2.624999999738975E-3</v>
      </c>
      <c r="M382" s="83">
        <v>911.71</v>
      </c>
      <c r="N382" s="84">
        <v>125</v>
      </c>
      <c r="O382" s="115">
        <f t="shared" si="143"/>
        <v>4361.9473749999997</v>
      </c>
      <c r="P382" s="90">
        <f t="shared" si="158"/>
        <v>40638.052624999997</v>
      </c>
      <c r="Q382" s="263"/>
    </row>
    <row r="383" spans="1:18" s="85" customFormat="1" ht="30" customHeight="1" x14ac:dyDescent="0.25">
      <c r="A383" s="81">
        <f t="shared" si="165"/>
        <v>209</v>
      </c>
      <c r="B383" s="116" t="s">
        <v>43</v>
      </c>
      <c r="C383" s="38" t="s">
        <v>426</v>
      </c>
      <c r="D383" s="116" t="s">
        <v>355</v>
      </c>
      <c r="E383" s="116" t="s">
        <v>122</v>
      </c>
      <c r="F383" s="118">
        <v>45000</v>
      </c>
      <c r="G383" s="88">
        <f>F383*2.87%</f>
        <v>1291.5</v>
      </c>
      <c r="H383" s="83">
        <f t="shared" si="163"/>
        <v>1368</v>
      </c>
      <c r="I383" s="83"/>
      <c r="J383" s="83">
        <f t="shared" si="142"/>
        <v>2659.5</v>
      </c>
      <c r="K383" s="83">
        <f t="shared" si="164"/>
        <v>42340.5</v>
      </c>
      <c r="L383" s="83">
        <f t="shared" si="161"/>
        <v>444.63487499999985</v>
      </c>
      <c r="M383" s="83">
        <f>1148.32-444.63</f>
        <v>703.68999999999994</v>
      </c>
      <c r="N383" s="84">
        <v>125</v>
      </c>
      <c r="O383" s="115">
        <f t="shared" si="143"/>
        <v>3229.1348749999997</v>
      </c>
      <c r="P383" s="90">
        <f t="shared" si="158"/>
        <v>41770.865124999997</v>
      </c>
      <c r="Q383" s="263"/>
    </row>
    <row r="384" spans="1:18" s="85" customFormat="1" ht="30" customHeight="1" x14ac:dyDescent="0.25">
      <c r="A384" s="81">
        <f>+A383+1</f>
        <v>210</v>
      </c>
      <c r="B384" s="116" t="s">
        <v>362</v>
      </c>
      <c r="C384" s="38" t="s">
        <v>426</v>
      </c>
      <c r="D384" s="116" t="s">
        <v>353</v>
      </c>
      <c r="E384" s="116" t="s">
        <v>122</v>
      </c>
      <c r="F384" s="118">
        <v>45000</v>
      </c>
      <c r="G384" s="88">
        <f>F384*2.87%</f>
        <v>1291.5</v>
      </c>
      <c r="H384" s="83">
        <f t="shared" si="163"/>
        <v>1368</v>
      </c>
      <c r="I384" s="83"/>
      <c r="J384" s="83">
        <f t="shared" si="142"/>
        <v>2659.5</v>
      </c>
      <c r="K384" s="83">
        <f t="shared" si="164"/>
        <v>42340.5</v>
      </c>
      <c r="L384" s="83">
        <f t="shared" si="161"/>
        <v>4.8749999998562998E-3</v>
      </c>
      <c r="M384" s="83">
        <v>1148.32</v>
      </c>
      <c r="N384" s="90">
        <v>125</v>
      </c>
      <c r="O384" s="115">
        <f t="shared" si="143"/>
        <v>2784.5048749999996</v>
      </c>
      <c r="P384" s="90">
        <f t="shared" ref="P384:P397" si="166">+F384-O384</f>
        <v>42215.495125000001</v>
      </c>
      <c r="Q384" s="263"/>
    </row>
    <row r="385" spans="1:18" s="85" customFormat="1" ht="30" customHeight="1" x14ac:dyDescent="0.25">
      <c r="A385" s="81">
        <f t="shared" si="165"/>
        <v>211</v>
      </c>
      <c r="B385" s="116" t="s">
        <v>356</v>
      </c>
      <c r="C385" s="38" t="s">
        <v>425</v>
      </c>
      <c r="D385" s="116" t="s">
        <v>353</v>
      </c>
      <c r="E385" s="116" t="s">
        <v>122</v>
      </c>
      <c r="F385" s="118">
        <v>45000</v>
      </c>
      <c r="G385" s="88">
        <f t="shared" si="157"/>
        <v>1291.5</v>
      </c>
      <c r="H385" s="83">
        <f t="shared" si="163"/>
        <v>1368</v>
      </c>
      <c r="I385" s="83"/>
      <c r="J385" s="83">
        <f t="shared" si="142"/>
        <v>2659.5</v>
      </c>
      <c r="K385" s="83">
        <f t="shared" si="164"/>
        <v>42340.5</v>
      </c>
      <c r="L385" s="83">
        <f t="shared" si="161"/>
        <v>488.13487499999985</v>
      </c>
      <c r="M385" s="83">
        <f>1148.32-488.13</f>
        <v>660.18999999999994</v>
      </c>
      <c r="N385" s="90">
        <v>6549.26</v>
      </c>
      <c r="O385" s="115">
        <f t="shared" si="143"/>
        <v>9696.894875</v>
      </c>
      <c r="P385" s="90">
        <f t="shared" si="166"/>
        <v>35303.105125000002</v>
      </c>
      <c r="Q385" s="263"/>
    </row>
    <row r="386" spans="1:18" s="55" customFormat="1" ht="30" customHeight="1" x14ac:dyDescent="0.25">
      <c r="A386" s="81">
        <f t="shared" si="165"/>
        <v>212</v>
      </c>
      <c r="B386" s="121" t="s">
        <v>358</v>
      </c>
      <c r="C386" s="131" t="s">
        <v>426</v>
      </c>
      <c r="D386" s="121" t="s">
        <v>353</v>
      </c>
      <c r="E386" s="121" t="s">
        <v>122</v>
      </c>
      <c r="F386" s="115">
        <v>45000</v>
      </c>
      <c r="G386" s="88">
        <f>F386*2.87%</f>
        <v>1291.5</v>
      </c>
      <c r="H386" s="83">
        <f t="shared" si="163"/>
        <v>1368</v>
      </c>
      <c r="I386" s="83">
        <v>3154.9</v>
      </c>
      <c r="J386" s="83">
        <f t="shared" si="142"/>
        <v>5814.4</v>
      </c>
      <c r="K386" s="83">
        <f t="shared" si="164"/>
        <v>39185.599999999999</v>
      </c>
      <c r="L386" s="83">
        <f t="shared" si="161"/>
        <v>-1.2500000070758688E-4</v>
      </c>
      <c r="M386" s="83">
        <v>675.09</v>
      </c>
      <c r="N386" s="84">
        <v>1165</v>
      </c>
      <c r="O386" s="115">
        <f t="shared" si="143"/>
        <v>6979.3998749999992</v>
      </c>
      <c r="P386" s="90">
        <f t="shared" si="166"/>
        <v>38020.600124999997</v>
      </c>
      <c r="Q386" s="264"/>
    </row>
    <row r="387" spans="1:18" s="34" customFormat="1" ht="25.5" customHeight="1" x14ac:dyDescent="0.25">
      <c r="A387" s="81">
        <f t="shared" si="165"/>
        <v>213</v>
      </c>
      <c r="B387" s="116" t="s">
        <v>359</v>
      </c>
      <c r="C387" s="38" t="s">
        <v>426</v>
      </c>
      <c r="D387" s="116" t="s">
        <v>353</v>
      </c>
      <c r="E387" s="116" t="s">
        <v>122</v>
      </c>
      <c r="F387" s="118">
        <v>45000</v>
      </c>
      <c r="G387" s="88">
        <f>F387*2.87%</f>
        <v>1291.5</v>
      </c>
      <c r="H387" s="83">
        <f t="shared" si="163"/>
        <v>1368</v>
      </c>
      <c r="I387" s="83">
        <v>1577.45</v>
      </c>
      <c r="J387" s="83">
        <f t="shared" si="142"/>
        <v>4236.95</v>
      </c>
      <c r="K387" s="83">
        <f t="shared" si="164"/>
        <v>40763.050000000003</v>
      </c>
      <c r="L387" s="83">
        <f t="shared" si="161"/>
        <v>-2.624999999738975E-3</v>
      </c>
      <c r="M387" s="83">
        <v>911.71</v>
      </c>
      <c r="N387" s="90">
        <v>125</v>
      </c>
      <c r="O387" s="115">
        <f t="shared" si="143"/>
        <v>4361.9473749999997</v>
      </c>
      <c r="P387" s="90">
        <f t="shared" si="166"/>
        <v>40638.052624999997</v>
      </c>
      <c r="Q387" s="263"/>
      <c r="R387" s="85"/>
    </row>
    <row r="388" spans="1:18" s="85" customFormat="1" ht="30" customHeight="1" x14ac:dyDescent="0.25">
      <c r="A388" s="81">
        <f t="shared" si="165"/>
        <v>214</v>
      </c>
      <c r="B388" s="116" t="s">
        <v>360</v>
      </c>
      <c r="C388" s="38" t="s">
        <v>426</v>
      </c>
      <c r="D388" s="116" t="s">
        <v>353</v>
      </c>
      <c r="E388" s="116" t="s">
        <v>122</v>
      </c>
      <c r="F388" s="118">
        <v>45000</v>
      </c>
      <c r="G388" s="88">
        <f>F388*2.87%</f>
        <v>1291.5</v>
      </c>
      <c r="H388" s="83">
        <f t="shared" si="163"/>
        <v>1368</v>
      </c>
      <c r="I388" s="83"/>
      <c r="J388" s="83">
        <f t="shared" si="142"/>
        <v>2659.5</v>
      </c>
      <c r="K388" s="83">
        <f t="shared" si="164"/>
        <v>42340.5</v>
      </c>
      <c r="L388" s="83">
        <f t="shared" si="161"/>
        <v>4.8749999998562998E-3</v>
      </c>
      <c r="M388" s="83">
        <v>1148.32</v>
      </c>
      <c r="N388" s="90">
        <v>2031.65</v>
      </c>
      <c r="O388" s="115">
        <f t="shared" si="143"/>
        <v>4691.1548749999993</v>
      </c>
      <c r="P388" s="90">
        <f t="shared" si="166"/>
        <v>40308.845125</v>
      </c>
      <c r="Q388" s="263"/>
    </row>
    <row r="389" spans="1:18" s="85" customFormat="1" ht="30" customHeight="1" x14ac:dyDescent="0.25">
      <c r="A389" s="81">
        <f t="shared" si="165"/>
        <v>215</v>
      </c>
      <c r="B389" s="116" t="s">
        <v>42</v>
      </c>
      <c r="C389" s="38" t="s">
        <v>426</v>
      </c>
      <c r="D389" s="116" t="s">
        <v>353</v>
      </c>
      <c r="E389" s="116" t="s">
        <v>122</v>
      </c>
      <c r="F389" s="118">
        <v>45000</v>
      </c>
      <c r="G389" s="88">
        <f>F389*2.87%</f>
        <v>1291.5</v>
      </c>
      <c r="H389" s="83">
        <f t="shared" si="163"/>
        <v>1368</v>
      </c>
      <c r="I389" s="83"/>
      <c r="J389" s="83">
        <f t="shared" si="142"/>
        <v>2659.5</v>
      </c>
      <c r="K389" s="83">
        <f t="shared" si="164"/>
        <v>42340.5</v>
      </c>
      <c r="L389" s="83">
        <f t="shared" si="161"/>
        <v>4.8749999998562998E-3</v>
      </c>
      <c r="M389" s="83">
        <v>1148.32</v>
      </c>
      <c r="N389" s="90">
        <v>3325</v>
      </c>
      <c r="O389" s="115">
        <f t="shared" si="143"/>
        <v>5984.5048749999996</v>
      </c>
      <c r="P389" s="90">
        <f t="shared" si="166"/>
        <v>39015.495125000001</v>
      </c>
      <c r="Q389" s="263"/>
    </row>
    <row r="390" spans="1:18" s="85" customFormat="1" ht="30" customHeight="1" x14ac:dyDescent="0.25">
      <c r="A390" s="81">
        <f t="shared" si="165"/>
        <v>216</v>
      </c>
      <c r="B390" s="116" t="s">
        <v>23</v>
      </c>
      <c r="C390" s="38" t="s">
        <v>426</v>
      </c>
      <c r="D390" s="116" t="s">
        <v>353</v>
      </c>
      <c r="E390" s="116" t="s">
        <v>121</v>
      </c>
      <c r="F390" s="118">
        <v>40000</v>
      </c>
      <c r="G390" s="88">
        <f>F390*2.87%</f>
        <v>1148</v>
      </c>
      <c r="H390" s="83">
        <f t="shared" si="163"/>
        <v>1216</v>
      </c>
      <c r="I390" s="83">
        <v>1577.45</v>
      </c>
      <c r="J390" s="83">
        <f t="shared" si="142"/>
        <v>3941.45</v>
      </c>
      <c r="K390" s="83">
        <f t="shared" si="164"/>
        <v>36058.550000000003</v>
      </c>
      <c r="L390" s="83">
        <f t="shared" si="161"/>
        <v>206.03237500000031</v>
      </c>
      <c r="M390" s="83"/>
      <c r="N390" s="90">
        <v>19124.560000000001</v>
      </c>
      <c r="O390" s="115">
        <f t="shared" si="143"/>
        <v>23272.042375000001</v>
      </c>
      <c r="P390" s="90">
        <f t="shared" si="166"/>
        <v>16727.957624999999</v>
      </c>
      <c r="Q390" s="263"/>
    </row>
    <row r="391" spans="1:18" s="85" customFormat="1" ht="30" customHeight="1" x14ac:dyDescent="0.25">
      <c r="A391" s="81">
        <f>+A390+1</f>
        <v>217</v>
      </c>
      <c r="B391" s="116" t="s">
        <v>46</v>
      </c>
      <c r="C391" s="38" t="s">
        <v>426</v>
      </c>
      <c r="D391" s="116" t="s">
        <v>357</v>
      </c>
      <c r="E391" s="116" t="s">
        <v>122</v>
      </c>
      <c r="F391" s="134">
        <v>35000</v>
      </c>
      <c r="G391" s="88">
        <f t="shared" si="157"/>
        <v>1004.5</v>
      </c>
      <c r="H391" s="83">
        <f t="shared" si="163"/>
        <v>1064</v>
      </c>
      <c r="I391" s="83">
        <v>1577.45</v>
      </c>
      <c r="J391" s="83">
        <f t="shared" si="142"/>
        <v>3645.95</v>
      </c>
      <c r="K391" s="83">
        <f t="shared" si="164"/>
        <v>31354.05</v>
      </c>
      <c r="L391" s="83">
        <f t="shared" si="161"/>
        <v>0</v>
      </c>
      <c r="M391" s="83"/>
      <c r="N391" s="84">
        <v>1125</v>
      </c>
      <c r="O391" s="115">
        <f t="shared" si="143"/>
        <v>4770.95</v>
      </c>
      <c r="P391" s="90">
        <f t="shared" si="166"/>
        <v>30229.05</v>
      </c>
      <c r="Q391" s="263"/>
    </row>
    <row r="392" spans="1:18" s="85" customFormat="1" ht="30" customHeight="1" x14ac:dyDescent="0.25">
      <c r="A392" s="81">
        <f t="shared" si="165"/>
        <v>218</v>
      </c>
      <c r="B392" s="116" t="s">
        <v>361</v>
      </c>
      <c r="C392" s="38" t="s">
        <v>426</v>
      </c>
      <c r="D392" s="116" t="s">
        <v>26</v>
      </c>
      <c r="E392" s="116" t="s">
        <v>122</v>
      </c>
      <c r="F392" s="118">
        <v>40000</v>
      </c>
      <c r="G392" s="88">
        <f t="shared" si="157"/>
        <v>1148</v>
      </c>
      <c r="H392" s="83">
        <f t="shared" si="163"/>
        <v>1216</v>
      </c>
      <c r="I392" s="83">
        <v>1577.45</v>
      </c>
      <c r="J392" s="83">
        <f t="shared" si="142"/>
        <v>3941.45</v>
      </c>
      <c r="K392" s="83">
        <f t="shared" si="164"/>
        <v>36058.550000000003</v>
      </c>
      <c r="L392" s="83">
        <f t="shared" si="161"/>
        <v>2.3750000003133209E-3</v>
      </c>
      <c r="M392" s="83">
        <v>206.03</v>
      </c>
      <c r="N392" s="90">
        <v>245</v>
      </c>
      <c r="O392" s="115">
        <f t="shared" si="143"/>
        <v>4186.4523749999998</v>
      </c>
      <c r="P392" s="90">
        <f t="shared" si="166"/>
        <v>35813.547624999999</v>
      </c>
      <c r="Q392" s="263"/>
    </row>
    <row r="393" spans="1:18" s="85" customFormat="1" ht="30" customHeight="1" x14ac:dyDescent="0.25">
      <c r="A393" s="81">
        <f t="shared" si="165"/>
        <v>219</v>
      </c>
      <c r="B393" s="122" t="s">
        <v>200</v>
      </c>
      <c r="C393" s="187" t="s">
        <v>425</v>
      </c>
      <c r="D393" s="116" t="s">
        <v>201</v>
      </c>
      <c r="E393" s="116" t="s">
        <v>231</v>
      </c>
      <c r="F393" s="118">
        <v>26000</v>
      </c>
      <c r="G393" s="88">
        <f>F393*2.87%</f>
        <v>746.2</v>
      </c>
      <c r="H393" s="83">
        <f t="shared" si="163"/>
        <v>790.4</v>
      </c>
      <c r="I393" s="83"/>
      <c r="J393" s="83">
        <f t="shared" si="142"/>
        <v>1536.6</v>
      </c>
      <c r="K393" s="83">
        <f t="shared" si="164"/>
        <v>24463.4</v>
      </c>
      <c r="L393" s="83">
        <f t="shared" si="161"/>
        <v>0</v>
      </c>
      <c r="M393" s="83"/>
      <c r="N393" s="90">
        <v>125</v>
      </c>
      <c r="O393" s="115">
        <f t="shared" si="143"/>
        <v>1661.6</v>
      </c>
      <c r="P393" s="90">
        <f t="shared" si="166"/>
        <v>24338.400000000001</v>
      </c>
      <c r="Q393" s="263"/>
    </row>
    <row r="394" spans="1:18" s="34" customFormat="1" ht="30" customHeight="1" x14ac:dyDescent="0.25">
      <c r="A394" s="81">
        <f t="shared" si="165"/>
        <v>220</v>
      </c>
      <c r="B394" s="116" t="s">
        <v>363</v>
      </c>
      <c r="C394" s="38" t="s">
        <v>425</v>
      </c>
      <c r="D394" s="116" t="s">
        <v>99</v>
      </c>
      <c r="E394" s="116" t="s">
        <v>231</v>
      </c>
      <c r="F394" s="118">
        <v>23908.5</v>
      </c>
      <c r="G394" s="88">
        <f t="shared" si="157"/>
        <v>686.17394999999999</v>
      </c>
      <c r="H394" s="83">
        <f t="shared" si="163"/>
        <v>726.8184</v>
      </c>
      <c r="I394" s="83"/>
      <c r="J394" s="83">
        <f t="shared" ref="J394:J397" si="167">+G394+H394+I394</f>
        <v>1412.99235</v>
      </c>
      <c r="K394" s="83">
        <f t="shared" si="164"/>
        <v>22495.50765</v>
      </c>
      <c r="L394" s="83">
        <f t="shared" si="161"/>
        <v>0</v>
      </c>
      <c r="M394" s="83"/>
      <c r="N394" s="90">
        <v>1165</v>
      </c>
      <c r="O394" s="115">
        <f t="shared" si="143"/>
        <v>2577.99235</v>
      </c>
      <c r="P394" s="90">
        <f t="shared" si="166"/>
        <v>21330.50765</v>
      </c>
      <c r="Q394" s="263"/>
      <c r="R394" s="85"/>
    </row>
    <row r="395" spans="1:18" s="34" customFormat="1" ht="30" customHeight="1" x14ac:dyDescent="0.25">
      <c r="A395" s="81">
        <f t="shared" si="165"/>
        <v>221</v>
      </c>
      <c r="B395" s="116" t="s">
        <v>45</v>
      </c>
      <c r="C395" s="38" t="s">
        <v>425</v>
      </c>
      <c r="D395" s="116" t="s">
        <v>99</v>
      </c>
      <c r="E395" s="116" t="s">
        <v>122</v>
      </c>
      <c r="F395" s="118">
        <v>23835</v>
      </c>
      <c r="G395" s="88">
        <f t="shared" si="157"/>
        <v>684.06449999999995</v>
      </c>
      <c r="H395" s="83">
        <f t="shared" si="163"/>
        <v>724.58399999999995</v>
      </c>
      <c r="I395" s="83"/>
      <c r="J395" s="83">
        <f t="shared" si="167"/>
        <v>1408.6484999999998</v>
      </c>
      <c r="K395" s="83">
        <f t="shared" si="164"/>
        <v>22426.351500000001</v>
      </c>
      <c r="L395" s="83">
        <f t="shared" si="161"/>
        <v>0</v>
      </c>
      <c r="M395" s="83"/>
      <c r="N395" s="90">
        <v>25</v>
      </c>
      <c r="O395" s="115">
        <f t="shared" si="143"/>
        <v>1433.6484999999998</v>
      </c>
      <c r="P395" s="90">
        <f t="shared" si="166"/>
        <v>22401.351500000001</v>
      </c>
      <c r="Q395" s="263"/>
      <c r="R395" s="85"/>
    </row>
    <row r="396" spans="1:18" ht="36" customHeight="1" x14ac:dyDescent="0.25">
      <c r="A396" s="81">
        <f t="shared" si="165"/>
        <v>222</v>
      </c>
      <c r="B396" s="116" t="s">
        <v>364</v>
      </c>
      <c r="C396" s="38" t="s">
        <v>425</v>
      </c>
      <c r="D396" s="116" t="s">
        <v>99</v>
      </c>
      <c r="E396" s="116" t="s">
        <v>122</v>
      </c>
      <c r="F396" s="118">
        <v>30000</v>
      </c>
      <c r="G396" s="88">
        <f t="shared" si="157"/>
        <v>861</v>
      </c>
      <c r="H396" s="83">
        <f t="shared" si="163"/>
        <v>912</v>
      </c>
      <c r="I396" s="83"/>
      <c r="J396" s="83">
        <f t="shared" si="167"/>
        <v>1773</v>
      </c>
      <c r="K396" s="83">
        <f t="shared" si="164"/>
        <v>28227</v>
      </c>
      <c r="L396" s="83">
        <f t="shared" si="161"/>
        <v>0</v>
      </c>
      <c r="M396" s="83"/>
      <c r="N396" s="90">
        <v>1825</v>
      </c>
      <c r="O396" s="115">
        <f t="shared" ref="O396:O397" si="168">+N396+I396+H396+G396+L396</f>
        <v>3598</v>
      </c>
      <c r="P396" s="90">
        <f t="shared" si="166"/>
        <v>26402</v>
      </c>
    </row>
    <row r="397" spans="1:18" ht="36" customHeight="1" x14ac:dyDescent="0.25">
      <c r="A397" s="81">
        <f t="shared" si="165"/>
        <v>223</v>
      </c>
      <c r="B397" s="116" t="s">
        <v>633</v>
      </c>
      <c r="C397" s="38" t="s">
        <v>425</v>
      </c>
      <c r="D397" s="116" t="s">
        <v>201</v>
      </c>
      <c r="E397" s="116" t="s">
        <v>231</v>
      </c>
      <c r="F397" s="118">
        <v>20000</v>
      </c>
      <c r="G397" s="88">
        <f t="shared" si="157"/>
        <v>574</v>
      </c>
      <c r="H397" s="83">
        <f t="shared" si="163"/>
        <v>608</v>
      </c>
      <c r="I397" s="83"/>
      <c r="J397" s="83">
        <f t="shared" si="167"/>
        <v>1182</v>
      </c>
      <c r="K397" s="83">
        <f t="shared" si="164"/>
        <v>18818</v>
      </c>
      <c r="L397" s="83">
        <f t="shared" si="161"/>
        <v>0</v>
      </c>
      <c r="M397" s="83"/>
      <c r="N397" s="90">
        <v>25</v>
      </c>
      <c r="O397" s="115">
        <f t="shared" si="168"/>
        <v>1207</v>
      </c>
      <c r="P397" s="90">
        <f t="shared" si="166"/>
        <v>18793</v>
      </c>
    </row>
    <row r="398" spans="1:18" ht="30" customHeight="1" x14ac:dyDescent="0.25">
      <c r="A398" s="226" t="s">
        <v>125</v>
      </c>
      <c r="B398" s="227"/>
      <c r="C398" s="227"/>
      <c r="D398" s="227"/>
      <c r="E398" s="228"/>
      <c r="F398" s="39">
        <f>SUM(F377:F397)</f>
        <v>851493.5</v>
      </c>
      <c r="G398" s="39">
        <f t="shared" ref="G398:P398" si="169">SUM(G377:G397)</f>
        <v>24437.863450000001</v>
      </c>
      <c r="H398" s="39">
        <f t="shared" si="169"/>
        <v>25885.402399999999</v>
      </c>
      <c r="I398" s="39">
        <f t="shared" si="169"/>
        <v>12619.600000000002</v>
      </c>
      <c r="J398" s="39">
        <f t="shared" si="169"/>
        <v>62942.865849999987</v>
      </c>
      <c r="K398" s="39">
        <f t="shared" si="169"/>
        <v>788550.63415000017</v>
      </c>
      <c r="L398" s="39">
        <f t="shared" si="169"/>
        <v>10894.065666666673</v>
      </c>
      <c r="M398" s="39">
        <f t="shared" si="169"/>
        <v>8604.0400000000009</v>
      </c>
      <c r="N398" s="39">
        <f>SUM(N377:N397)</f>
        <v>50167.06</v>
      </c>
      <c r="O398" s="39">
        <f t="shared" si="169"/>
        <v>124003.99151666666</v>
      </c>
      <c r="P398" s="39">
        <f t="shared" si="169"/>
        <v>727489.50848333351</v>
      </c>
    </row>
    <row r="399" spans="1:18" ht="30" customHeight="1" thickBot="1" x14ac:dyDescent="0.3">
      <c r="A399" s="43"/>
      <c r="B399" s="50"/>
      <c r="C399" s="149"/>
      <c r="D399" s="50"/>
      <c r="E399" s="50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271">
        <f>+P399+N399</f>
        <v>0</v>
      </c>
    </row>
    <row r="400" spans="1:18" ht="30" customHeight="1" thickBot="1" x14ac:dyDescent="0.3">
      <c r="A400" s="56"/>
      <c r="B400" s="57" t="s">
        <v>419</v>
      </c>
      <c r="C400" s="150"/>
      <c r="D400" s="58"/>
      <c r="E400" s="59"/>
      <c r="F400" s="60">
        <f>+F21+F26+F30+F36+F43+F50+F55+F62+F68+F77+F81+F87+F93+F100+F104+F108+F116+F121+F128+F134+F143+F148+F156+F161+F172+F178+F182+F187+F194+F203+F212+F217+F221+F230+F235+F244+F250+F255+F259+F264+F269+F284+F318+F347+F355+F369+F398+F374+F363+F359+F327+F240+F207+F275+F225+F351+F279+F165</f>
        <v>15407418.5</v>
      </c>
      <c r="G400" s="60">
        <f t="shared" ref="G400:J400" si="170">+G21+G26+G30+G36+G43+G50+G55+G62+G68+G77+G81+G87+G93+G100+G104+G108+G116+G121+G128+G134+G143+G148+G156+G161+G172+G178+G182+G187+G194+G203+G212+G217+G221+G230+G235+G244+G250+G255+G259+G264+G269+G284+G318+G347+G355+G369+G398+G374+G363+G359+G327+G240+G207+G275+G225+G351+G279+G165</f>
        <v>442192.91094999993</v>
      </c>
      <c r="H400" s="60">
        <f t="shared" si="170"/>
        <v>466137.74640000006</v>
      </c>
      <c r="I400" s="60">
        <f t="shared" si="170"/>
        <v>127773.04999999996</v>
      </c>
      <c r="J400" s="60">
        <f t="shared" si="170"/>
        <v>1036103.7073499998</v>
      </c>
      <c r="K400" s="60">
        <f>+K21+K26+K30+K36+K43+K50+K55+K62+K68+K77+K81+K87+K93+K100+K104+K108+K116+K121+K128+K134+K143+K148+K156+K161+K172+K178+K182+K187+K194+K203+K212+K217+K221+K230+K235+K244+K250+K255+K259+K264+K269+K284+K318+K347+K355+K369+K398+K374+K363+K359+K327+K240+K207+K275+K225+K351+K279+K165</f>
        <v>14277224.792650005</v>
      </c>
      <c r="L400" s="60">
        <f t="shared" ref="L400:P400" si="171">+L21+L26+L30+L36+L43+L50+L55+L62+L68+L77+L81+L87+L93+L100+L104+L108+L116+L121+L128+L134+L143+L148+L156+L161+L172+L178+L182+L187+L194+L203+L212+L217+L221+L230+L235+L244+L250+L255+L259+L264+L269+L284+L318+L347+L355+L369+L398+L374+L363+L359+L327+L240+L207+L275+L225+L351+L279+L165</f>
        <v>1398316.5488333337</v>
      </c>
      <c r="M400" s="60">
        <f t="shared" si="171"/>
        <v>28205.690000000002</v>
      </c>
      <c r="N400" s="60">
        <f t="shared" si="171"/>
        <v>623794.42999999993</v>
      </c>
      <c r="O400" s="60">
        <f t="shared" si="171"/>
        <v>3058214.6861833348</v>
      </c>
      <c r="P400" s="60">
        <f t="shared" si="171"/>
        <v>12349203.81381667</v>
      </c>
    </row>
    <row r="401" spans="1:16" ht="15" x14ac:dyDescent="0.25">
      <c r="A401" s="30"/>
      <c r="B401" s="29"/>
      <c r="C401" s="30"/>
      <c r="D401" s="29"/>
      <c r="E401" s="29"/>
      <c r="F401" s="18">
        <f>+F400-'[1]ADMFIJOS MAYO 2023'!$G$253</f>
        <v>0</v>
      </c>
      <c r="G401" s="19"/>
      <c r="H401" s="19"/>
      <c r="I401" s="19"/>
      <c r="J401" s="19"/>
      <c r="K401" s="257"/>
      <c r="L401" s="19"/>
      <c r="M401" s="19"/>
      <c r="N401" s="19"/>
      <c r="O401" s="19"/>
      <c r="P401" s="257"/>
    </row>
    <row r="402" spans="1:16" ht="15" x14ac:dyDescent="0.25">
      <c r="A402" s="30"/>
      <c r="B402" s="29"/>
      <c r="C402" s="30"/>
      <c r="D402" s="29"/>
      <c r="E402" s="29"/>
      <c r="F402" s="18"/>
      <c r="G402" s="19"/>
      <c r="H402" s="19"/>
      <c r="I402" s="19"/>
      <c r="J402" s="19"/>
      <c r="K402" s="19"/>
      <c r="L402" s="19"/>
      <c r="M402" s="19"/>
      <c r="N402" s="19"/>
      <c r="O402" s="19"/>
      <c r="P402" s="19"/>
    </row>
    <row r="403" spans="1:16" ht="15.75" x14ac:dyDescent="0.25">
      <c r="B403" s="21"/>
      <c r="C403" s="151"/>
      <c r="D403" s="22"/>
      <c r="E403" s="21"/>
      <c r="F403" s="1"/>
      <c r="P403" s="7"/>
    </row>
    <row r="404" spans="1:16" ht="15.75" x14ac:dyDescent="0.25">
      <c r="B404" s="23" t="s">
        <v>202</v>
      </c>
      <c r="C404" s="152"/>
      <c r="D404" s="22"/>
      <c r="E404" s="23" t="s">
        <v>494</v>
      </c>
      <c r="F404" s="1"/>
      <c r="P404" s="169"/>
    </row>
    <row r="405" spans="1:16" ht="15.75" x14ac:dyDescent="0.25">
      <c r="B405" s="23" t="s">
        <v>495</v>
      </c>
      <c r="C405" s="152"/>
      <c r="D405" s="22"/>
      <c r="E405" s="23" t="s">
        <v>496</v>
      </c>
      <c r="F405" s="1"/>
    </row>
    <row r="406" spans="1:16" x14ac:dyDescent="0.2">
      <c r="P406" s="7"/>
    </row>
    <row r="16886" spans="2:18" s="4" customFormat="1" x14ac:dyDescent="0.2">
      <c r="B16886" s="25"/>
      <c r="D16886" s="25"/>
      <c r="E16886" s="25"/>
      <c r="F16886" s="2"/>
      <c r="G16886" s="1"/>
      <c r="H16886" s="1"/>
      <c r="I16886" s="1"/>
      <c r="J16886" s="1"/>
      <c r="K16886" s="1"/>
      <c r="L16886" s="1"/>
      <c r="M16886" s="1"/>
      <c r="N16886" s="1"/>
      <c r="O16886" s="1"/>
      <c r="P16886" s="1"/>
      <c r="Q16886" s="272"/>
      <c r="R16886" s="137"/>
    </row>
    <row r="16888" spans="2:18" s="4" customFormat="1" x14ac:dyDescent="0.2">
      <c r="B16888" s="25"/>
      <c r="D16888" s="25"/>
      <c r="E16888" s="25"/>
      <c r="F16888" s="2"/>
      <c r="G16888" s="1"/>
      <c r="H16888" s="1"/>
      <c r="I16888" s="1"/>
      <c r="J16888" s="1"/>
      <c r="K16888" s="1"/>
      <c r="L16888" s="1"/>
      <c r="M16888" s="1"/>
      <c r="N16888" s="1"/>
      <c r="O16888" s="1"/>
      <c r="P16888" s="1"/>
      <c r="Q16888" s="272"/>
      <c r="R16888" s="137"/>
    </row>
    <row r="16907" spans="7:11" x14ac:dyDescent="0.2">
      <c r="G16907" s="4"/>
      <c r="H16907" s="4"/>
      <c r="I16907" s="4"/>
      <c r="J16907" s="4"/>
      <c r="K16907" s="4"/>
    </row>
    <row r="16909" spans="7:11" x14ac:dyDescent="0.2">
      <c r="G16909" s="4"/>
      <c r="H16909" s="4"/>
      <c r="I16909" s="4"/>
      <c r="J16909" s="4"/>
      <c r="K16909" s="4"/>
    </row>
    <row r="16919" spans="2:16" x14ac:dyDescent="0.2">
      <c r="N16919" s="4"/>
      <c r="O16919" s="4"/>
      <c r="P16919" s="4"/>
    </row>
    <row r="16921" spans="2:16" x14ac:dyDescent="0.2">
      <c r="N16921" s="4"/>
      <c r="O16921" s="4"/>
      <c r="P16921" s="4"/>
    </row>
    <row r="16922" spans="2:16" x14ac:dyDescent="0.2">
      <c r="L16922" s="4"/>
      <c r="M16922" s="4"/>
    </row>
    <row r="16923" spans="2:16" x14ac:dyDescent="0.2">
      <c r="B16923" s="25">
        <f>SUM(B6:B16922)</f>
        <v>0</v>
      </c>
    </row>
    <row r="16924" spans="2:16" x14ac:dyDescent="0.2">
      <c r="L16924" s="4"/>
      <c r="M16924" s="4"/>
    </row>
    <row r="16925" spans="2:16" x14ac:dyDescent="0.2">
      <c r="B16925" s="25">
        <f>SUM(B16923)</f>
        <v>0</v>
      </c>
    </row>
    <row r="1000248" spans="15:15" x14ac:dyDescent="0.2">
      <c r="O1000248" s="11" t="e">
        <f>SUM(#REF!)</f>
        <v>#REF!</v>
      </c>
    </row>
  </sheetData>
  <mergeCells count="22">
    <mergeCell ref="A136:E136"/>
    <mergeCell ref="A1:P1"/>
    <mergeCell ref="A2:P2"/>
    <mergeCell ref="A3:P3"/>
    <mergeCell ref="A95:D95"/>
    <mergeCell ref="A102:E102"/>
    <mergeCell ref="A145:E145"/>
    <mergeCell ref="A150:E150"/>
    <mergeCell ref="A167:E167"/>
    <mergeCell ref="A257:D257"/>
    <mergeCell ref="G5:J5"/>
    <mergeCell ref="A57:B57"/>
    <mergeCell ref="A64:B64"/>
    <mergeCell ref="A70:B70"/>
    <mergeCell ref="A78:C78"/>
    <mergeCell ref="A83:D83"/>
    <mergeCell ref="A89:D89"/>
    <mergeCell ref="A105:E105"/>
    <mergeCell ref="A110:E110"/>
    <mergeCell ref="A118:E118"/>
    <mergeCell ref="A123:E123"/>
    <mergeCell ref="A129:E129"/>
  </mergeCells>
  <pageMargins left="0.23622047244094488" right="0.23622047244094488" top="0.74803149606299213" bottom="0.74803149606299213" header="0.31496062992125984" footer="0.31496062992125984"/>
  <pageSetup paperSize="5" scale="54" fitToHeight="0" orientation="landscape" r:id="rId1"/>
  <rowBreaks count="14" manualBreakCount="14">
    <brk id="34" max="15" man="1"/>
    <brk id="62" max="15" man="1"/>
    <brk id="89" max="15" man="1"/>
    <brk id="116" max="15" man="1"/>
    <brk id="143" max="15" man="1"/>
    <brk id="169" max="15" man="1"/>
    <brk id="194" max="15" man="1"/>
    <brk id="221" max="15" man="1"/>
    <brk id="248" max="15" man="1"/>
    <brk id="275" max="15" man="1"/>
    <brk id="302" max="15" man="1"/>
    <brk id="329" max="15" man="1"/>
    <brk id="358" max="15" man="1"/>
    <brk id="386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193"/>
  <sheetViews>
    <sheetView showGridLines="0" view="pageBreakPreview" zoomScale="55" zoomScaleNormal="100" zoomScaleSheetLayoutView="55" workbookViewId="0">
      <pane xSplit="2" ySplit="8" topLeftCell="D13" activePane="bottomRight" state="frozen"/>
      <selection pane="topRight" activeCell="C1" sqref="C1"/>
      <selection pane="bottomLeft" activeCell="A9" sqref="A9"/>
      <selection pane="bottomRight" activeCell="P258" sqref="P258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5" customWidth="1"/>
    <col min="3" max="3" width="11.7109375" style="4" customWidth="1"/>
    <col min="4" max="4" width="38.5703125" style="25" customWidth="1"/>
    <col min="5" max="5" width="20.42578125" style="25" customWidth="1"/>
    <col min="6" max="6" width="25.140625" style="25" customWidth="1"/>
    <col min="7" max="7" width="25.5703125" style="25" customWidth="1"/>
    <col min="8" max="8" width="17" style="2" bestFit="1" customWidth="1"/>
    <col min="9" max="9" width="17.140625" style="1" customWidth="1"/>
    <col min="10" max="12" width="15.5703125" style="1" customWidth="1"/>
    <col min="13" max="13" width="16.28515625" style="1" customWidth="1"/>
    <col min="14" max="15" width="14.5703125" style="1" customWidth="1"/>
    <col min="16" max="16" width="19" style="1" bestFit="1" customWidth="1"/>
    <col min="17" max="17" width="20" style="1" customWidth="1"/>
    <col min="18" max="18" width="17" style="1" bestFit="1" customWidth="1"/>
    <col min="19" max="16384" width="11.42578125" style="1"/>
  </cols>
  <sheetData>
    <row r="1" spans="1:19" x14ac:dyDescent="0.2">
      <c r="B1" s="24"/>
      <c r="C1" s="146"/>
    </row>
    <row r="2" spans="1:19" ht="23.25" x14ac:dyDescent="0.35">
      <c r="A2" s="279" t="s">
        <v>414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</row>
    <row r="3" spans="1:19" ht="21" x14ac:dyDescent="0.35">
      <c r="A3" s="280" t="s">
        <v>417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</row>
    <row r="4" spans="1:19" ht="18.75" x14ac:dyDescent="0.3">
      <c r="A4" s="281" t="s">
        <v>669</v>
      </c>
      <c r="B4" s="281"/>
      <c r="C4" s="281"/>
      <c r="D4" s="281"/>
      <c r="E4" s="281"/>
      <c r="F4" s="281"/>
      <c r="G4" s="281"/>
      <c r="H4" s="281"/>
      <c r="I4" s="281"/>
      <c r="J4" s="281"/>
      <c r="K4" s="281"/>
      <c r="L4" s="281"/>
      <c r="M4" s="281"/>
      <c r="N4" s="281"/>
      <c r="O4" s="281"/>
      <c r="P4" s="281"/>
      <c r="Q4" s="281"/>
      <c r="R4" s="281"/>
    </row>
    <row r="5" spans="1:19" ht="6.75" customHeight="1" x14ac:dyDescent="0.3">
      <c r="A5" s="216"/>
      <c r="B5" s="216"/>
      <c r="C5" s="17"/>
      <c r="D5" s="24"/>
      <c r="E5" s="24"/>
      <c r="F5" s="24"/>
      <c r="G5" s="24"/>
      <c r="H5" s="17"/>
    </row>
    <row r="6" spans="1:19" ht="24.75" customHeight="1" thickBot="1" x14ac:dyDescent="0.3">
      <c r="A6" s="240"/>
      <c r="B6" s="240"/>
      <c r="C6" s="52"/>
      <c r="D6" s="44"/>
      <c r="E6" s="44"/>
      <c r="F6" s="44"/>
      <c r="G6" s="44"/>
      <c r="H6" s="41"/>
      <c r="I6" s="241" t="s">
        <v>120</v>
      </c>
      <c r="J6" s="242"/>
      <c r="K6" s="242"/>
      <c r="L6" s="242"/>
      <c r="M6" s="222"/>
      <c r="N6" s="34"/>
      <c r="O6" s="34"/>
      <c r="P6" s="34"/>
      <c r="Q6" s="34"/>
      <c r="R6" s="34"/>
    </row>
    <row r="7" spans="1:19" s="2" customFormat="1" ht="28.5" customHeight="1" thickBot="1" x14ac:dyDescent="0.25">
      <c r="A7" s="35" t="s">
        <v>0</v>
      </c>
      <c r="B7" s="35" t="s">
        <v>423</v>
      </c>
      <c r="C7" s="35" t="s">
        <v>427</v>
      </c>
      <c r="D7" s="35" t="s">
        <v>448</v>
      </c>
      <c r="E7" s="35" t="s">
        <v>114</v>
      </c>
      <c r="F7" s="35" t="s">
        <v>118</v>
      </c>
      <c r="G7" s="35" t="s">
        <v>119</v>
      </c>
      <c r="H7" s="37" t="s">
        <v>124</v>
      </c>
      <c r="I7" s="35" t="s">
        <v>1</v>
      </c>
      <c r="J7" s="35" t="s">
        <v>2</v>
      </c>
      <c r="K7" s="37" t="s">
        <v>620</v>
      </c>
      <c r="L7" s="35" t="s">
        <v>617</v>
      </c>
      <c r="M7" s="37" t="s">
        <v>618</v>
      </c>
      <c r="N7" s="37" t="s">
        <v>115</v>
      </c>
      <c r="O7" s="37" t="s">
        <v>656</v>
      </c>
      <c r="P7" s="37" t="s">
        <v>117</v>
      </c>
      <c r="Q7" s="37" t="s">
        <v>3</v>
      </c>
      <c r="R7" s="37" t="s">
        <v>116</v>
      </c>
    </row>
    <row r="8" spans="1:19" s="2" customFormat="1" ht="24.95" customHeight="1" thickBot="1" x14ac:dyDescent="0.25">
      <c r="A8" s="251" t="s">
        <v>371</v>
      </c>
      <c r="B8" s="252"/>
      <c r="C8" s="252"/>
      <c r="D8" s="252"/>
      <c r="E8" s="252"/>
      <c r="F8" s="252"/>
      <c r="G8" s="252"/>
      <c r="H8" s="252"/>
      <c r="I8" s="252"/>
      <c r="J8" s="252"/>
      <c r="K8" s="252"/>
      <c r="L8" s="252"/>
      <c r="M8" s="252"/>
      <c r="N8" s="252"/>
      <c r="O8" s="252"/>
      <c r="P8" s="252"/>
      <c r="Q8" s="252"/>
      <c r="R8" s="252"/>
    </row>
    <row r="9" spans="1:19" s="70" customFormat="1" ht="24.95" customHeight="1" x14ac:dyDescent="0.2">
      <c r="A9" s="104">
        <v>1</v>
      </c>
      <c r="B9" s="61" t="s">
        <v>373</v>
      </c>
      <c r="C9" s="155" t="s">
        <v>425</v>
      </c>
      <c r="D9" s="124" t="s">
        <v>424</v>
      </c>
      <c r="E9" s="124" t="s">
        <v>216</v>
      </c>
      <c r="F9" s="207" t="s">
        <v>555</v>
      </c>
      <c r="G9" s="207" t="s">
        <v>634</v>
      </c>
      <c r="H9" s="175">
        <v>130000</v>
      </c>
      <c r="I9" s="8">
        <f>H9*2.87%</f>
        <v>3731</v>
      </c>
      <c r="J9" s="8">
        <f>+H9*3.04%</f>
        <v>3952</v>
      </c>
      <c r="K9" s="8"/>
      <c r="L9" s="8">
        <f>+J9+I9+K9</f>
        <v>7683</v>
      </c>
      <c r="M9" s="8">
        <f>+H9-L9</f>
        <v>122317</v>
      </c>
      <c r="N9" s="8">
        <f>+IF(M9*12&lt;=416220.01,0,IF(M9*12&lt;=624329.01,(((M9*12-416220.01)*0.15)/12),IF((M9*12&lt;=867123.01),(31216+0.2*(M9*12-624329.01))/12,((79776+0.25*(M9*12-867123.01))/12))))-O9</f>
        <v>19162.187291666665</v>
      </c>
      <c r="O9" s="8"/>
      <c r="P9" s="9">
        <v>25</v>
      </c>
      <c r="Q9" s="8">
        <f>+P9+N9+L9</f>
        <v>26870.187291666665</v>
      </c>
      <c r="R9" s="9">
        <f>+H9-Q9</f>
        <v>103129.81270833334</v>
      </c>
      <c r="S9" s="2"/>
    </row>
    <row r="10" spans="1:19" s="70" customFormat="1" ht="24.95" customHeight="1" x14ac:dyDescent="0.2">
      <c r="A10" s="68">
        <v>2</v>
      </c>
      <c r="B10" s="204" t="s">
        <v>568</v>
      </c>
      <c r="C10" s="154" t="s">
        <v>425</v>
      </c>
      <c r="D10" s="127" t="s">
        <v>132</v>
      </c>
      <c r="E10" s="124" t="s">
        <v>216</v>
      </c>
      <c r="F10" s="207" t="s">
        <v>555</v>
      </c>
      <c r="G10" s="207" t="s">
        <v>634</v>
      </c>
      <c r="H10" s="10">
        <v>50000</v>
      </c>
      <c r="I10" s="5">
        <f>H10*2.87%</f>
        <v>1435</v>
      </c>
      <c r="J10" s="5">
        <f>+H10*3.04%</f>
        <v>1520</v>
      </c>
      <c r="K10" s="5"/>
      <c r="L10" s="8">
        <f t="shared" ref="L10:L70" si="0">+J10+I10+K10</f>
        <v>2955</v>
      </c>
      <c r="M10" s="8">
        <f t="shared" ref="M10:M70" si="1">+H10-L10</f>
        <v>47045</v>
      </c>
      <c r="N10" s="8">
        <f t="shared" ref="N10:N11" si="2">+IF(M10*12&lt;=416220.01,0,IF(M10*12&lt;=624329.01,(((M10*12-416220.01)*0.15)/12),IF((M10*12&lt;=867123.01),(31216+0.2*(M10*12-624329.01))/12,((79776+0.25*(M10*12-867123.01))/12))))-O10</f>
        <v>-1.2500000025283953E-4</v>
      </c>
      <c r="O10" s="8">
        <v>1854</v>
      </c>
      <c r="P10" s="123">
        <v>1098.01</v>
      </c>
      <c r="Q10" s="8">
        <f>+P10+N10+L10</f>
        <v>4053.0098749999997</v>
      </c>
      <c r="R10" s="123">
        <f>H10-Q10</f>
        <v>45946.990124999997</v>
      </c>
      <c r="S10" s="2"/>
    </row>
    <row r="11" spans="1:19" s="70" customFormat="1" ht="24.95" customHeight="1" x14ac:dyDescent="0.2">
      <c r="A11" s="68">
        <v>3</v>
      </c>
      <c r="B11" s="204" t="s">
        <v>584</v>
      </c>
      <c r="C11" s="154" t="s">
        <v>425</v>
      </c>
      <c r="D11" s="127" t="s">
        <v>132</v>
      </c>
      <c r="E11" s="124" t="s">
        <v>216</v>
      </c>
      <c r="F11" s="198" t="s">
        <v>585</v>
      </c>
      <c r="G11" s="207" t="s">
        <v>635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si="0"/>
        <v>2955</v>
      </c>
      <c r="M11" s="8">
        <f t="shared" si="1"/>
        <v>47045</v>
      </c>
      <c r="N11" s="8">
        <f t="shared" si="2"/>
        <v>1853.9998749999997</v>
      </c>
      <c r="O11" s="8"/>
      <c r="P11" s="123">
        <v>25</v>
      </c>
      <c r="Q11" s="8">
        <f>+P11+N11+L11</f>
        <v>4833.9998749999995</v>
      </c>
      <c r="R11" s="123">
        <f>H11-Q11</f>
        <v>45166.000124999999</v>
      </c>
      <c r="S11" s="2"/>
    </row>
    <row r="12" spans="1:19" s="2" customFormat="1" ht="20.25" customHeight="1" x14ac:dyDescent="0.2">
      <c r="A12" s="282" t="s">
        <v>125</v>
      </c>
      <c r="B12" s="283"/>
      <c r="C12" s="245"/>
      <c r="D12" s="245"/>
      <c r="E12" s="245"/>
      <c r="F12" s="245"/>
      <c r="G12" s="245"/>
      <c r="H12" s="16">
        <f>SUM(H9:H11)</f>
        <v>230000</v>
      </c>
      <c r="I12" s="16">
        <f t="shared" ref="I12:L12" si="3">SUM(I9:I11)</f>
        <v>6601</v>
      </c>
      <c r="J12" s="16">
        <f t="shared" si="3"/>
        <v>6992</v>
      </c>
      <c r="K12" s="16">
        <f t="shared" si="3"/>
        <v>0</v>
      </c>
      <c r="L12" s="16">
        <f t="shared" si="3"/>
        <v>13593</v>
      </c>
      <c r="M12" s="16">
        <f t="shared" ref="M12" si="4">SUM(M9:M11)</f>
        <v>216407</v>
      </c>
      <c r="N12" s="16">
        <f t="shared" ref="N12:O12" si="5">SUM(N9:N11)</f>
        <v>21016.187041666668</v>
      </c>
      <c r="O12" s="16">
        <f t="shared" si="5"/>
        <v>1854</v>
      </c>
      <c r="P12" s="16">
        <f t="shared" ref="P12" si="6">SUM(P9:P11)</f>
        <v>1148.01</v>
      </c>
      <c r="Q12" s="16">
        <f t="shared" ref="Q12" si="7">SUM(Q9:Q11)</f>
        <v>35757.197041666666</v>
      </c>
      <c r="R12" s="16">
        <f t="shared" ref="R12" si="8">SUM(R9:R11)</f>
        <v>194242.80295833331</v>
      </c>
    </row>
    <row r="13" spans="1:19" s="2" customFormat="1" ht="21" customHeight="1" thickBot="1" x14ac:dyDescent="0.25">
      <c r="A13"/>
      <c r="B13"/>
      <c r="C13" s="146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24.95" customHeight="1" thickBot="1" x14ac:dyDescent="0.25">
      <c r="A14" s="251" t="s">
        <v>294</v>
      </c>
      <c r="B14" s="252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</row>
    <row r="15" spans="1:19" s="80" customFormat="1" ht="24.95" customHeight="1" x14ac:dyDescent="0.2">
      <c r="A15" s="68">
        <f>+A11+1</f>
        <v>4</v>
      </c>
      <c r="B15" s="204" t="s">
        <v>375</v>
      </c>
      <c r="C15" s="154" t="s">
        <v>426</v>
      </c>
      <c r="D15" s="127" t="s">
        <v>217</v>
      </c>
      <c r="E15" s="124" t="s">
        <v>216</v>
      </c>
      <c r="F15" s="143" t="s">
        <v>543</v>
      </c>
      <c r="G15" s="2" t="s">
        <v>636</v>
      </c>
      <c r="H15" s="9">
        <v>70000</v>
      </c>
      <c r="I15" s="108">
        <f>H15*2.87%</f>
        <v>2009</v>
      </c>
      <c r="J15" s="108">
        <f>+H15*3.04%</f>
        <v>2128</v>
      </c>
      <c r="K15" s="108"/>
      <c r="L15" s="8">
        <f t="shared" si="0"/>
        <v>4137</v>
      </c>
      <c r="M15" s="8">
        <f t="shared" si="1"/>
        <v>65863</v>
      </c>
      <c r="N15" s="8">
        <f>+IF(M15*12&lt;=416220.01,0,IF(M15*12&lt;=624329.01,(((M15*12-416220.01)*0.15)/12),IF((M15*12&lt;=867123.01),(31216+0.2*(M15*12-624329.01))/12,((79776+0.25*(M15*12-867123.01))/12))))-O15</f>
        <v>5368.4498333333331</v>
      </c>
      <c r="O15" s="8"/>
      <c r="P15" s="107">
        <v>25</v>
      </c>
      <c r="Q15" s="8">
        <f>+P15+N15+L15</f>
        <v>9530.4498333333322</v>
      </c>
      <c r="R15" s="107">
        <f>+H15-Q15</f>
        <v>60469.550166666668</v>
      </c>
      <c r="S15" s="6"/>
    </row>
    <row r="16" spans="1:19" s="70" customFormat="1" ht="24.95" customHeight="1" x14ac:dyDescent="0.2">
      <c r="A16" s="68">
        <f>+A15+1</f>
        <v>5</v>
      </c>
      <c r="B16" s="204" t="s">
        <v>607</v>
      </c>
      <c r="C16" s="154" t="s">
        <v>425</v>
      </c>
      <c r="D16" s="127" t="s">
        <v>586</v>
      </c>
      <c r="E16" s="124" t="s">
        <v>216</v>
      </c>
      <c r="F16" s="207" t="s">
        <v>585</v>
      </c>
      <c r="G16" s="207" t="s">
        <v>637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f t="shared" ref="N16:N17" si="9">+IF(M16*12&lt;=416220.01,0,IF(M16*12&lt;=624329.01,(((M16*12-416220.01)*0.15)/12),IF((M16*12&lt;=867123.01),(31216+0.2*(M16*12-624329.01))/12,((79776+0.25*(M16*12-867123.01))/12))))-O16</f>
        <v>-1.6666666670062114E-4</v>
      </c>
      <c r="O16" s="8">
        <v>5368.45</v>
      </c>
      <c r="P16" s="123">
        <v>25</v>
      </c>
      <c r="Q16" s="8">
        <f>+P16+N16+L16</f>
        <v>4161.9998333333333</v>
      </c>
      <c r="R16" s="123">
        <f>H16-Q16</f>
        <v>65838.000166666665</v>
      </c>
      <c r="S16" s="2"/>
    </row>
    <row r="17" spans="1:19" s="70" customFormat="1" ht="24.95" customHeight="1" x14ac:dyDescent="0.2">
      <c r="A17" s="68">
        <f>+A16+1</f>
        <v>6</v>
      </c>
      <c r="B17" s="204" t="s">
        <v>606</v>
      </c>
      <c r="C17" s="154" t="s">
        <v>657</v>
      </c>
      <c r="D17" s="127" t="s">
        <v>608</v>
      </c>
      <c r="E17" s="124" t="s">
        <v>216</v>
      </c>
      <c r="F17" s="198" t="s">
        <v>542</v>
      </c>
      <c r="G17" s="207" t="s">
        <v>609</v>
      </c>
      <c r="H17" s="10">
        <v>170000</v>
      </c>
      <c r="I17" s="5">
        <v>4879</v>
      </c>
      <c r="J17" s="5">
        <f>+H17*3.04%</f>
        <v>5168</v>
      </c>
      <c r="K17" s="5"/>
      <c r="L17" s="8">
        <f t="shared" si="0"/>
        <v>10047</v>
      </c>
      <c r="M17" s="8">
        <f t="shared" si="1"/>
        <v>159953</v>
      </c>
      <c r="N17" s="8">
        <f t="shared" si="9"/>
        <v>28571.187291666665</v>
      </c>
      <c r="O17" s="8"/>
      <c r="P17" s="123">
        <v>25</v>
      </c>
      <c r="Q17" s="8">
        <f>+P17+N17+L17</f>
        <v>38643.187291666662</v>
      </c>
      <c r="R17" s="123">
        <f>H17-Q17</f>
        <v>131356.81270833334</v>
      </c>
      <c r="S17" s="2"/>
    </row>
    <row r="18" spans="1:19" s="2" customFormat="1" ht="24.95" customHeight="1" x14ac:dyDescent="0.2">
      <c r="A18" s="282" t="s">
        <v>125</v>
      </c>
      <c r="B18" s="283"/>
      <c r="C18" s="245"/>
      <c r="D18" s="245"/>
      <c r="E18" s="245"/>
      <c r="F18" s="245"/>
      <c r="G18" s="245"/>
      <c r="H18" s="16">
        <f>SUM(H15:H17)</f>
        <v>310000</v>
      </c>
      <c r="I18" s="16">
        <f t="shared" ref="I18:R18" si="10">SUM(I15:I17)</f>
        <v>8897</v>
      </c>
      <c r="J18" s="16">
        <f t="shared" si="10"/>
        <v>9424</v>
      </c>
      <c r="K18" s="16">
        <f t="shared" si="10"/>
        <v>0</v>
      </c>
      <c r="L18" s="16">
        <f t="shared" si="10"/>
        <v>18321</v>
      </c>
      <c r="M18" s="16">
        <f t="shared" si="10"/>
        <v>291679</v>
      </c>
      <c r="N18" s="16">
        <f t="shared" si="10"/>
        <v>33939.636958333329</v>
      </c>
      <c r="O18" s="16">
        <f t="shared" si="10"/>
        <v>5368.45</v>
      </c>
      <c r="P18" s="16">
        <f t="shared" si="10"/>
        <v>75</v>
      </c>
      <c r="Q18" s="16">
        <f t="shared" si="10"/>
        <v>52335.636958333329</v>
      </c>
      <c r="R18" s="16">
        <f t="shared" si="10"/>
        <v>257664.36304166669</v>
      </c>
    </row>
    <row r="19" spans="1:19" s="2" customFormat="1" ht="20.25" customHeight="1" thickBot="1" x14ac:dyDescent="0.25">
      <c r="A19" s="64"/>
      <c r="B19" s="64"/>
      <c r="C19" s="64"/>
      <c r="D19" s="64"/>
      <c r="E19" s="64"/>
      <c r="F19" s="64"/>
      <c r="G19" s="64"/>
      <c r="H19"/>
      <c r="I19"/>
      <c r="J19"/>
      <c r="K19"/>
      <c r="L19"/>
      <c r="M19"/>
      <c r="N19"/>
      <c r="O19"/>
      <c r="P19"/>
      <c r="Q19"/>
      <c r="R19"/>
    </row>
    <row r="20" spans="1:19" s="2" customFormat="1" ht="24.95" customHeight="1" thickBot="1" x14ac:dyDescent="0.25">
      <c r="A20" s="251" t="s">
        <v>90</v>
      </c>
      <c r="B20" s="252"/>
      <c r="C20" s="252"/>
      <c r="D20" s="252"/>
      <c r="E20" s="252"/>
      <c r="F20" s="252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</row>
    <row r="21" spans="1:19" s="80" customFormat="1" ht="24.95" customHeight="1" x14ac:dyDescent="0.2">
      <c r="A21" s="104">
        <f>+A17+1</f>
        <v>7</v>
      </c>
      <c r="B21" s="61" t="s">
        <v>374</v>
      </c>
      <c r="C21" s="155" t="s">
        <v>425</v>
      </c>
      <c r="D21" s="127" t="s">
        <v>534</v>
      </c>
      <c r="E21" s="124" t="s">
        <v>216</v>
      </c>
      <c r="F21" s="26" t="s">
        <v>569</v>
      </c>
      <c r="G21" s="26" t="s">
        <v>638</v>
      </c>
      <c r="H21" s="9">
        <v>170000</v>
      </c>
      <c r="I21" s="108">
        <f>H21*2.87%</f>
        <v>4879</v>
      </c>
      <c r="J21" s="209">
        <f>+H21*3.04%</f>
        <v>5168</v>
      </c>
      <c r="K21" s="108"/>
      <c r="L21" s="8">
        <f t="shared" si="0"/>
        <v>10047</v>
      </c>
      <c r="M21" s="8">
        <f t="shared" si="1"/>
        <v>159953</v>
      </c>
      <c r="N21" s="8">
        <f>+IF(M21*12&lt;=416220.01,0,IF(M21*12&lt;=624329.01,(((M21*12-416220.01)*0.15)/12),IF((M21*12&lt;=867123.01),(31216+0.2*(M21*12-624329.01))/12,((79776+0.25*(M21*12-867123.01))/12))))-O21</f>
        <v>28571.187291666665</v>
      </c>
      <c r="O21" s="8"/>
      <c r="P21" s="107">
        <v>7525</v>
      </c>
      <c r="Q21" s="8">
        <f>+P21+N21+L21</f>
        <v>46143.187291666662</v>
      </c>
      <c r="R21" s="107">
        <f>+H21-Q21</f>
        <v>123856.81270833334</v>
      </c>
      <c r="S21" s="6"/>
    </row>
    <row r="22" spans="1:19" s="70" customFormat="1" ht="24.95" customHeight="1" x14ac:dyDescent="0.2">
      <c r="A22" s="194">
        <f>+A21+1</f>
        <v>8</v>
      </c>
      <c r="B22" s="211" t="s">
        <v>377</v>
      </c>
      <c r="C22" s="208" t="s">
        <v>425</v>
      </c>
      <c r="D22" s="195" t="s">
        <v>143</v>
      </c>
      <c r="E22" s="195" t="s">
        <v>216</v>
      </c>
      <c r="F22" s="2" t="s">
        <v>543</v>
      </c>
      <c r="G22" s="2" t="s">
        <v>639</v>
      </c>
      <c r="H22" s="9">
        <v>70000</v>
      </c>
      <c r="I22" s="209">
        <f>H22*2.87%</f>
        <v>2009</v>
      </c>
      <c r="J22" s="209">
        <f>+H22*3.04%</f>
        <v>2128</v>
      </c>
      <c r="K22" s="209"/>
      <c r="L22" s="8">
        <f t="shared" si="0"/>
        <v>4137</v>
      </c>
      <c r="M22" s="8">
        <f t="shared" si="1"/>
        <v>65863</v>
      </c>
      <c r="N22" s="8">
        <f t="shared" ref="N22:N23" si="11">+IF(M22*12&lt;=416220.01,0,IF(M22*12&lt;=624329.01,(((M22*12-416220.01)*0.15)/12),IF((M22*12&lt;=867123.01),(31216+0.2*(M22*12-624329.01))/12,((79776+0.25*(M22*12-867123.01))/12))))-O22</f>
        <v>5368.4498333333331</v>
      </c>
      <c r="O22" s="8"/>
      <c r="P22" s="210">
        <v>25</v>
      </c>
      <c r="Q22" s="8">
        <f>+P22+N22+L22</f>
        <v>9530.4498333333322</v>
      </c>
      <c r="R22" s="210">
        <f>+H22-Q22</f>
        <v>60469.550166666668</v>
      </c>
      <c r="S22" s="2"/>
    </row>
    <row r="23" spans="1:19" s="70" customFormat="1" ht="24.95" customHeight="1" x14ac:dyDescent="0.2">
      <c r="A23" s="128">
        <f>A22+1</f>
        <v>9</v>
      </c>
      <c r="B23" s="5" t="s">
        <v>570</v>
      </c>
      <c r="C23" s="154" t="s">
        <v>425</v>
      </c>
      <c r="D23" s="127" t="s">
        <v>143</v>
      </c>
      <c r="E23" s="195" t="s">
        <v>216</v>
      </c>
      <c r="F23" s="5" t="s">
        <v>556</v>
      </c>
      <c r="G23" s="5" t="s">
        <v>640</v>
      </c>
      <c r="H23" s="123">
        <v>70000</v>
      </c>
      <c r="I23" s="63">
        <f>H23*2.87%</f>
        <v>2009</v>
      </c>
      <c r="J23" s="63">
        <f>+H23*3.04%</f>
        <v>2128</v>
      </c>
      <c r="K23" s="63"/>
      <c r="L23" s="8">
        <f t="shared" si="0"/>
        <v>4137</v>
      </c>
      <c r="M23" s="8">
        <f t="shared" si="1"/>
        <v>65863</v>
      </c>
      <c r="N23" s="8">
        <f t="shared" si="11"/>
        <v>-1.6666666670062114E-4</v>
      </c>
      <c r="O23" s="8">
        <v>5368.45</v>
      </c>
      <c r="P23" s="69">
        <f>25+886.92</f>
        <v>911.92</v>
      </c>
      <c r="Q23" s="8">
        <f>+P23+N23+L23</f>
        <v>5048.9198333333334</v>
      </c>
      <c r="R23" s="69">
        <f>H23-Q23</f>
        <v>64951.080166666667</v>
      </c>
      <c r="S23" s="2"/>
    </row>
    <row r="24" spans="1:19" s="2" customFormat="1" ht="24.95" customHeight="1" x14ac:dyDescent="0.2">
      <c r="A24" s="282" t="s">
        <v>125</v>
      </c>
      <c r="B24" s="283"/>
      <c r="C24" s="245"/>
      <c r="D24" s="245"/>
      <c r="E24" s="245"/>
      <c r="F24" s="245"/>
      <c r="G24" s="245"/>
      <c r="H24" s="16">
        <f t="shared" ref="H24:R24" si="12">SUM(H21:H23)</f>
        <v>310000</v>
      </c>
      <c r="I24" s="16">
        <f t="shared" si="12"/>
        <v>8897</v>
      </c>
      <c r="J24" s="16">
        <f t="shared" si="12"/>
        <v>9424</v>
      </c>
      <c r="K24" s="16">
        <f t="shared" si="12"/>
        <v>0</v>
      </c>
      <c r="L24" s="16">
        <f t="shared" si="12"/>
        <v>18321</v>
      </c>
      <c r="M24" s="16">
        <f t="shared" si="12"/>
        <v>291679</v>
      </c>
      <c r="N24" s="16">
        <f t="shared" si="12"/>
        <v>33939.636958333336</v>
      </c>
      <c r="O24" s="16">
        <f t="shared" si="12"/>
        <v>5368.45</v>
      </c>
      <c r="P24" s="16">
        <f t="shared" si="12"/>
        <v>8461.92</v>
      </c>
      <c r="Q24" s="16">
        <f t="shared" si="12"/>
        <v>60722.556958333327</v>
      </c>
      <c r="R24" s="16">
        <f t="shared" si="12"/>
        <v>249277.44304166664</v>
      </c>
    </row>
    <row r="25" spans="1:19" s="2" customFormat="1" ht="15.75" customHeight="1" thickBot="1" x14ac:dyDescent="0.25">
      <c r="A25" s="64"/>
      <c r="B25" s="64"/>
      <c r="C25" s="64"/>
      <c r="D25" s="64"/>
      <c r="E25" s="64"/>
      <c r="F25" s="64"/>
      <c r="G25" s="64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9" s="2" customFormat="1" ht="24.95" customHeight="1" thickBot="1" x14ac:dyDescent="0.25">
      <c r="A26" s="243" t="s">
        <v>436</v>
      </c>
      <c r="B26" s="244"/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4"/>
      <c r="O26" s="244"/>
      <c r="P26" s="244"/>
      <c r="Q26" s="244"/>
      <c r="R26" s="244"/>
    </row>
    <row r="27" spans="1:19" s="80" customFormat="1" ht="28.5" customHeight="1" x14ac:dyDescent="0.2">
      <c r="A27" s="109">
        <f>A23+1</f>
        <v>10</v>
      </c>
      <c r="B27" s="193" t="s">
        <v>437</v>
      </c>
      <c r="C27" s="194" t="s">
        <v>426</v>
      </c>
      <c r="D27" s="195" t="s">
        <v>438</v>
      </c>
      <c r="E27" s="124" t="s">
        <v>216</v>
      </c>
      <c r="F27" s="129" t="s">
        <v>573</v>
      </c>
      <c r="G27" s="26" t="s">
        <v>641</v>
      </c>
      <c r="H27" s="10">
        <v>130000</v>
      </c>
      <c r="I27" s="8">
        <f>H27*2.87%</f>
        <v>3731</v>
      </c>
      <c r="J27" s="8">
        <f>+H27*3.04%</f>
        <v>3952</v>
      </c>
      <c r="K27" s="8"/>
      <c r="L27" s="8">
        <f t="shared" si="0"/>
        <v>7683</v>
      </c>
      <c r="M27" s="8">
        <f t="shared" si="1"/>
        <v>122317</v>
      </c>
      <c r="N27" s="8">
        <f>+IF(M27*12&lt;=416220.01,0,IF(M27*12&lt;=624329.01,(((M27*12-416220.01)*0.15)/12),IF((M27*12&lt;=867123.01),(31216+0.2*(M27*12-624329.01))/12,((79776+0.25*(M27*12-867123.01))/12))))</f>
        <v>19162.187291666665</v>
      </c>
      <c r="O27" s="8"/>
      <c r="P27" s="9">
        <v>25</v>
      </c>
      <c r="Q27" s="8">
        <f>+P27+N27+L27</f>
        <v>26870.187291666665</v>
      </c>
      <c r="R27" s="9">
        <f>+H27-Q27</f>
        <v>103129.81270833334</v>
      </c>
      <c r="S27" s="6"/>
    </row>
    <row r="28" spans="1:19" s="6" customFormat="1" ht="24.95" customHeight="1" x14ac:dyDescent="0.2">
      <c r="A28" s="282" t="s">
        <v>125</v>
      </c>
      <c r="B28" s="283"/>
      <c r="C28" s="245"/>
      <c r="D28" s="245"/>
      <c r="E28" s="245"/>
      <c r="F28" s="245"/>
      <c r="G28" s="245"/>
      <c r="H28" s="16">
        <f>SUM(H27)</f>
        <v>130000</v>
      </c>
      <c r="I28" s="16">
        <f t="shared" ref="I28:R28" si="13">SUM(I27)</f>
        <v>3731</v>
      </c>
      <c r="J28" s="16">
        <f t="shared" si="13"/>
        <v>3952</v>
      </c>
      <c r="K28" s="16">
        <f t="shared" si="13"/>
        <v>0</v>
      </c>
      <c r="L28" s="16">
        <f t="shared" si="13"/>
        <v>7683</v>
      </c>
      <c r="M28" s="16">
        <f t="shared" si="13"/>
        <v>122317</v>
      </c>
      <c r="N28" s="16">
        <f t="shared" si="13"/>
        <v>19162.187291666665</v>
      </c>
      <c r="O28" s="16"/>
      <c r="P28" s="16">
        <f t="shared" si="13"/>
        <v>25</v>
      </c>
      <c r="Q28" s="16">
        <f t="shared" si="13"/>
        <v>26870.187291666665</v>
      </c>
      <c r="R28" s="16">
        <f t="shared" si="13"/>
        <v>103129.81270833334</v>
      </c>
    </row>
    <row r="29" spans="1:19" s="6" customFormat="1" ht="24.95" customHeight="1" thickBot="1" x14ac:dyDescent="0.25">
      <c r="A29" s="64"/>
      <c r="B29" s="64"/>
      <c r="C29" s="64"/>
      <c r="D29" s="64"/>
      <c r="E29" s="64"/>
      <c r="F29" s="64"/>
      <c r="G29" s="64"/>
    </row>
    <row r="30" spans="1:19" s="2" customFormat="1" ht="24.95" customHeight="1" thickBot="1" x14ac:dyDescent="0.25">
      <c r="A30" s="251" t="s">
        <v>378</v>
      </c>
      <c r="B30" s="252"/>
      <c r="C30" s="252"/>
      <c r="D30" s="252"/>
      <c r="E30" s="252"/>
      <c r="F30" s="252"/>
      <c r="G30" s="252"/>
      <c r="H30" s="252"/>
      <c r="I30" s="252"/>
      <c r="J30" s="252"/>
      <c r="K30" s="252"/>
      <c r="L30" s="252"/>
      <c r="M30" s="252"/>
      <c r="N30" s="252"/>
      <c r="O30" s="252"/>
      <c r="P30" s="252"/>
      <c r="Q30" s="252"/>
      <c r="R30" s="252"/>
    </row>
    <row r="31" spans="1:19" s="2" customFormat="1" ht="24.95" customHeight="1" x14ac:dyDescent="0.2">
      <c r="A31" s="128">
        <f>+A27+1</f>
        <v>11</v>
      </c>
      <c r="B31" s="5" t="s">
        <v>376</v>
      </c>
      <c r="C31" s="155" t="s">
        <v>425</v>
      </c>
      <c r="D31" s="124" t="s">
        <v>553</v>
      </c>
      <c r="E31" s="124" t="s">
        <v>216</v>
      </c>
      <c r="F31" s="142" t="s">
        <v>555</v>
      </c>
      <c r="G31" s="142" t="s">
        <v>642</v>
      </c>
      <c r="H31" s="9">
        <v>100000</v>
      </c>
      <c r="I31" s="108">
        <f>H31*2.87%</f>
        <v>2870</v>
      </c>
      <c r="J31" s="108">
        <f>+H31*3.04%</f>
        <v>3040</v>
      </c>
      <c r="K31" s="108"/>
      <c r="L31" s="8">
        <f t="shared" si="0"/>
        <v>5910</v>
      </c>
      <c r="M31" s="8">
        <f t="shared" si="1"/>
        <v>94090</v>
      </c>
      <c r="N31" s="8">
        <f>+IF(M31*12&lt;=416220.01,0,IF(M31*12&lt;=624329.01,(((M31*12-416220.01)*0.15)/12),IF((M31*12&lt;=867123.01),(31216+0.2*(M31*12-624329.01))/12,((79776+0.25*(M31*12-867123.01))/12))))-O31</f>
        <v>12105.437291666667</v>
      </c>
      <c r="O31" s="8"/>
      <c r="P31" s="107">
        <v>23985.35</v>
      </c>
      <c r="Q31" s="8">
        <f>+P31+N31+L31</f>
        <v>42000.787291666667</v>
      </c>
      <c r="R31" s="107">
        <f>+H31-Q31</f>
        <v>57999.212708333333</v>
      </c>
    </row>
    <row r="32" spans="1:19" s="70" customFormat="1" ht="27" customHeight="1" x14ac:dyDescent="0.2">
      <c r="A32" s="12">
        <f>A31+1</f>
        <v>12</v>
      </c>
      <c r="B32" s="8" t="s">
        <v>379</v>
      </c>
      <c r="C32" s="155" t="s">
        <v>426</v>
      </c>
      <c r="D32" s="124" t="s">
        <v>146</v>
      </c>
      <c r="E32" s="124" t="s">
        <v>216</v>
      </c>
      <c r="F32" s="26" t="s">
        <v>556</v>
      </c>
      <c r="G32" s="26" t="s">
        <v>643</v>
      </c>
      <c r="H32" s="9">
        <v>90000</v>
      </c>
      <c r="I32" s="108">
        <f>H32*2.87%</f>
        <v>2583</v>
      </c>
      <c r="J32" s="108">
        <f>+H32*3.04%</f>
        <v>2736</v>
      </c>
      <c r="K32" s="108"/>
      <c r="L32" s="8">
        <f t="shared" si="0"/>
        <v>5319</v>
      </c>
      <c r="M32" s="8">
        <f t="shared" si="1"/>
        <v>84681</v>
      </c>
      <c r="N32" s="8">
        <f t="shared" ref="N32:N34" si="14">+IF(M32*12&lt;=416220.01,0,IF(M32*12&lt;=624329.01,(((M32*12-416220.01)*0.15)/12),IF((M32*12&lt;=867123.01),(31216+0.2*(M32*12-624329.01))/12,((79776+0.25*(M32*12-867123.01))/12))))-O32</f>
        <v>9753.1872916666671</v>
      </c>
      <c r="O32" s="8"/>
      <c r="P32" s="107">
        <f>1073.01+25</f>
        <v>1098.01</v>
      </c>
      <c r="Q32" s="8">
        <f>+P32+N32+L32</f>
        <v>16170.197291666667</v>
      </c>
      <c r="R32" s="107">
        <f>+H32-Q32</f>
        <v>73829.802708333329</v>
      </c>
      <c r="S32" s="2"/>
    </row>
    <row r="33" spans="1:19" s="70" customFormat="1" ht="32.25" customHeight="1" x14ac:dyDescent="0.2">
      <c r="A33" s="12">
        <f>+A32+1</f>
        <v>13</v>
      </c>
      <c r="B33" s="8" t="s">
        <v>505</v>
      </c>
      <c r="C33" s="155" t="s">
        <v>425</v>
      </c>
      <c r="D33" s="124" t="s">
        <v>506</v>
      </c>
      <c r="E33" s="124" t="s">
        <v>216</v>
      </c>
      <c r="F33" s="26" t="s">
        <v>571</v>
      </c>
      <c r="G33" s="26" t="s">
        <v>644</v>
      </c>
      <c r="H33" s="9">
        <v>35000</v>
      </c>
      <c r="I33" s="108">
        <f>H33*2.87%</f>
        <v>1004.5</v>
      </c>
      <c r="J33" s="108">
        <f>+H33*3.04%</f>
        <v>1064</v>
      </c>
      <c r="K33" s="108"/>
      <c r="L33" s="8">
        <f t="shared" si="0"/>
        <v>2068.5</v>
      </c>
      <c r="M33" s="8">
        <f t="shared" si="1"/>
        <v>32931.5</v>
      </c>
      <c r="N33" s="8">
        <f t="shared" si="14"/>
        <v>0</v>
      </c>
      <c r="O33" s="8"/>
      <c r="P33" s="107">
        <v>4661.92</v>
      </c>
      <c r="Q33" s="8">
        <f>+P33+N33+L33</f>
        <v>6730.42</v>
      </c>
      <c r="R33" s="107">
        <f>+H33-Q33</f>
        <v>28269.58</v>
      </c>
      <c r="S33" s="2"/>
    </row>
    <row r="34" spans="1:19" s="80" customFormat="1" ht="24.95" customHeight="1" x14ac:dyDescent="0.2">
      <c r="A34" s="104">
        <f>+A33+1</f>
        <v>14</v>
      </c>
      <c r="B34" s="126" t="s">
        <v>390</v>
      </c>
      <c r="C34" s="154" t="s">
        <v>426</v>
      </c>
      <c r="D34" s="129" t="s">
        <v>230</v>
      </c>
      <c r="E34" s="124" t="s">
        <v>216</v>
      </c>
      <c r="F34" s="26" t="s">
        <v>583</v>
      </c>
      <c r="G34" s="26" t="s">
        <v>645</v>
      </c>
      <c r="H34" s="123">
        <v>70000</v>
      </c>
      <c r="I34" s="8">
        <f t="shared" ref="I34" si="15">H34*2.87%</f>
        <v>2009</v>
      </c>
      <c r="J34" s="8">
        <f t="shared" ref="J34" si="16">+H34*3.04%</f>
        <v>2128</v>
      </c>
      <c r="K34" s="8"/>
      <c r="L34" s="8">
        <f t="shared" si="0"/>
        <v>4137</v>
      </c>
      <c r="M34" s="8">
        <f t="shared" si="1"/>
        <v>65863</v>
      </c>
      <c r="N34" s="8">
        <f t="shared" si="14"/>
        <v>5368.4498333333331</v>
      </c>
      <c r="O34" s="8"/>
      <c r="P34" s="9">
        <f>25+9809.32</f>
        <v>9834.32</v>
      </c>
      <c r="Q34" s="8">
        <f>+P34+N34+L34</f>
        <v>19339.769833333332</v>
      </c>
      <c r="R34" s="9">
        <f>+H34-Q34</f>
        <v>50660.230166666668</v>
      </c>
      <c r="S34" s="6"/>
    </row>
    <row r="35" spans="1:19" s="2" customFormat="1" ht="24.95" customHeight="1" x14ac:dyDescent="0.2">
      <c r="A35" s="282" t="s">
        <v>125</v>
      </c>
      <c r="B35" s="283"/>
      <c r="C35" s="245"/>
      <c r="D35" s="245"/>
      <c r="E35" s="245"/>
      <c r="F35" s="245"/>
      <c r="G35" s="245"/>
      <c r="H35" s="16">
        <f>SUM(H31:H34)</f>
        <v>295000</v>
      </c>
      <c r="I35" s="16">
        <f t="shared" ref="I35:R35" si="17">SUM(I31:I34)</f>
        <v>8466.5</v>
      </c>
      <c r="J35" s="16">
        <f t="shared" si="17"/>
        <v>8968</v>
      </c>
      <c r="K35" s="16">
        <f t="shared" si="17"/>
        <v>0</v>
      </c>
      <c r="L35" s="16">
        <f t="shared" si="17"/>
        <v>17434.5</v>
      </c>
      <c r="M35" s="16">
        <f t="shared" si="17"/>
        <v>277565.5</v>
      </c>
      <c r="N35" s="16">
        <f t="shared" si="17"/>
        <v>27227.074416666666</v>
      </c>
      <c r="O35" s="16">
        <f t="shared" si="17"/>
        <v>0</v>
      </c>
      <c r="P35" s="16">
        <f t="shared" si="17"/>
        <v>39579.599999999999</v>
      </c>
      <c r="Q35" s="16">
        <f t="shared" si="17"/>
        <v>84241.174416666676</v>
      </c>
      <c r="R35" s="16">
        <f t="shared" si="17"/>
        <v>210758.82558333332</v>
      </c>
    </row>
    <row r="36" spans="1:19" s="6" customFormat="1" ht="15" customHeight="1" thickBot="1" x14ac:dyDescent="0.25">
      <c r="A36" s="64"/>
      <c r="B36" s="64"/>
      <c r="C36" s="64"/>
      <c r="D36" s="64"/>
      <c r="E36" s="64"/>
      <c r="F36" s="64"/>
      <c r="G36" s="64"/>
    </row>
    <row r="37" spans="1:19" s="2" customFormat="1" ht="24.95" customHeight="1" thickBot="1" x14ac:dyDescent="0.25">
      <c r="A37" s="251" t="s">
        <v>92</v>
      </c>
      <c r="B37" s="252"/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252"/>
      <c r="N37" s="252"/>
      <c r="O37" s="252"/>
      <c r="P37" s="252"/>
      <c r="Q37" s="252"/>
      <c r="R37" s="252"/>
    </row>
    <row r="38" spans="1:19" s="80" customFormat="1" ht="35.25" customHeight="1" x14ac:dyDescent="0.2">
      <c r="A38" s="128">
        <f>+A34+1</f>
        <v>15</v>
      </c>
      <c r="B38" s="129" t="s">
        <v>380</v>
      </c>
      <c r="C38" s="128" t="s">
        <v>426</v>
      </c>
      <c r="D38" s="127" t="s">
        <v>458</v>
      </c>
      <c r="E38" s="127" t="s">
        <v>216</v>
      </c>
      <c r="F38" s="5" t="s">
        <v>542</v>
      </c>
      <c r="G38" s="126" t="s">
        <v>640</v>
      </c>
      <c r="H38" s="5">
        <v>110000</v>
      </c>
      <c r="I38" s="63">
        <f>H38*2.87%</f>
        <v>3157</v>
      </c>
      <c r="J38" s="63">
        <f>+H38*3.04%</f>
        <v>3344</v>
      </c>
      <c r="K38" s="63"/>
      <c r="L38" s="8">
        <f t="shared" si="0"/>
        <v>6501</v>
      </c>
      <c r="M38" s="8">
        <f t="shared" si="1"/>
        <v>103499</v>
      </c>
      <c r="N38" s="8">
        <f>+IF(M38*12&lt;=416220.01,0,IF(M38*12&lt;=624329.01,(((M38*12-416220.01)*0.15)/12),IF((M38*12&lt;=867123.01),(31216+0.2*(M38*12-624329.01))/12,((79776+0.25*(M38*12-867123.01))/12))))-O38</f>
        <v>14457.687291666667</v>
      </c>
      <c r="O38" s="8"/>
      <c r="P38" s="69">
        <v>25</v>
      </c>
      <c r="Q38" s="8">
        <f>+P38+N38+L38</f>
        <v>20983.687291666669</v>
      </c>
      <c r="R38" s="69">
        <f>+H38-Q38</f>
        <v>89016.312708333338</v>
      </c>
      <c r="S38" s="6"/>
    </row>
    <row r="39" spans="1:19" s="80" customFormat="1" ht="35.25" customHeight="1" x14ac:dyDescent="0.2">
      <c r="A39" s="68">
        <f>+A38+1</f>
        <v>16</v>
      </c>
      <c r="B39" s="129" t="s">
        <v>439</v>
      </c>
      <c r="C39" s="128" t="s">
        <v>426</v>
      </c>
      <c r="D39" s="127" t="s">
        <v>289</v>
      </c>
      <c r="E39" s="127" t="s">
        <v>216</v>
      </c>
      <c r="F39" s="26" t="s">
        <v>569</v>
      </c>
      <c r="G39" s="26" t="s">
        <v>638</v>
      </c>
      <c r="H39" s="8">
        <v>70000</v>
      </c>
      <c r="I39" s="108">
        <f>H39*2.87%</f>
        <v>2009</v>
      </c>
      <c r="J39" s="108">
        <f>+H39*3.04%</f>
        <v>2128</v>
      </c>
      <c r="K39" s="108"/>
      <c r="L39" s="8">
        <f t="shared" si="0"/>
        <v>4137</v>
      </c>
      <c r="M39" s="8">
        <f t="shared" si="1"/>
        <v>65863</v>
      </c>
      <c r="N39" s="8">
        <f>+IF(M39*12&lt;=416220.01,0,IF(M39*12&lt;=624329.01,(((M39*12-416220.01)*0.15)/12),IF((M39*12&lt;=867123.01),(31216+0.2*(M39*12-624329.01))/12,((79776+0.25*(M39*12-867123.01))/12))))-O39</f>
        <v>5368.4498333333331</v>
      </c>
      <c r="O39" s="8"/>
      <c r="P39" s="107">
        <v>25</v>
      </c>
      <c r="Q39" s="8">
        <f>+P39+N39+L39</f>
        <v>9530.4498333333322</v>
      </c>
      <c r="R39" s="107">
        <f>+H39-Q39</f>
        <v>60469.550166666668</v>
      </c>
      <c r="S39" s="6"/>
    </row>
    <row r="40" spans="1:19" s="6" customFormat="1" ht="24.95" customHeight="1" x14ac:dyDescent="0.2">
      <c r="A40" s="104">
        <f>+A39+1</f>
        <v>17</v>
      </c>
      <c r="B40" s="26" t="s">
        <v>511</v>
      </c>
      <c r="C40" s="12" t="s">
        <v>426</v>
      </c>
      <c r="D40" s="26" t="s">
        <v>512</v>
      </c>
      <c r="E40" s="124" t="s">
        <v>216</v>
      </c>
      <c r="F40" s="26" t="s">
        <v>560</v>
      </c>
      <c r="G40" s="26" t="s">
        <v>651</v>
      </c>
      <c r="H40" s="8">
        <v>70000</v>
      </c>
      <c r="I40" s="108">
        <f>H40*2.87%</f>
        <v>2009</v>
      </c>
      <c r="J40" s="108">
        <f>+H40*3.04%</f>
        <v>2128</v>
      </c>
      <c r="K40" s="108"/>
      <c r="L40" s="8">
        <f>+J40+I40+K40</f>
        <v>4137</v>
      </c>
      <c r="M40" s="8">
        <f>+H40-L40</f>
        <v>65863</v>
      </c>
      <c r="N40" s="5">
        <f>+IF(M40*12&lt;=416220.01,0,IF(M40*12&lt;=624329.01,(((M40*12-416220.01)*0.15)/12),IF((M40*12&lt;=867123.01),(31216+0.2*(M40*12-624329.01))/12,((79776+0.25*(M40*12-867123.01))/12))))-O40</f>
        <v>-1.6666666670062114E-4</v>
      </c>
      <c r="O40" s="8">
        <v>5368.45</v>
      </c>
      <c r="P40" s="107">
        <v>2525</v>
      </c>
      <c r="Q40" s="8">
        <f>+P40+N40+L40</f>
        <v>6661.9998333333333</v>
      </c>
      <c r="R40" s="107">
        <f>+H40-Q40</f>
        <v>63338.000166666665</v>
      </c>
    </row>
    <row r="41" spans="1:19" s="6" customFormat="1" ht="24.95" customHeight="1" x14ac:dyDescent="0.2">
      <c r="A41" s="282" t="s">
        <v>125</v>
      </c>
      <c r="B41" s="283"/>
      <c r="C41" s="245"/>
      <c r="D41" s="245"/>
      <c r="E41" s="245"/>
      <c r="F41" s="245"/>
      <c r="G41" s="245"/>
      <c r="H41" s="16">
        <f>SUM(H38:H40)</f>
        <v>250000</v>
      </c>
      <c r="I41" s="16">
        <f t="shared" ref="I41:R41" si="18">SUM(I38:I40)</f>
        <v>7175</v>
      </c>
      <c r="J41" s="16">
        <f t="shared" si="18"/>
        <v>7600</v>
      </c>
      <c r="K41" s="16">
        <f t="shared" si="18"/>
        <v>0</v>
      </c>
      <c r="L41" s="16">
        <f t="shared" si="18"/>
        <v>14775</v>
      </c>
      <c r="M41" s="16">
        <f t="shared" si="18"/>
        <v>235225</v>
      </c>
      <c r="N41" s="16">
        <f t="shared" si="18"/>
        <v>19826.136958333336</v>
      </c>
      <c r="O41" s="16">
        <f t="shared" si="18"/>
        <v>5368.45</v>
      </c>
      <c r="P41" s="16">
        <f t="shared" si="18"/>
        <v>2575</v>
      </c>
      <c r="Q41" s="16">
        <f t="shared" si="18"/>
        <v>37176.136958333336</v>
      </c>
      <c r="R41" s="16">
        <f t="shared" si="18"/>
        <v>212823.86304166666</v>
      </c>
    </row>
    <row r="42" spans="1:19" s="80" customFormat="1" ht="24.95" customHeight="1" thickBot="1" x14ac:dyDescent="0.25">
      <c r="A42" s="212"/>
      <c r="B42" s="212"/>
      <c r="C42" s="212"/>
      <c r="D42" s="212"/>
      <c r="E42" s="212"/>
      <c r="F42" s="212"/>
      <c r="G42" s="212"/>
      <c r="S42" s="6"/>
    </row>
    <row r="43" spans="1:19" s="2" customFormat="1" ht="24.95" customHeight="1" thickBot="1" x14ac:dyDescent="0.25">
      <c r="A43" s="243" t="s">
        <v>154</v>
      </c>
      <c r="B43" s="244"/>
      <c r="C43" s="244"/>
      <c r="D43" s="244"/>
      <c r="E43" s="244"/>
      <c r="F43" s="244"/>
      <c r="G43" s="244"/>
      <c r="H43" s="244"/>
      <c r="I43" s="244"/>
      <c r="J43" s="244"/>
      <c r="K43" s="244"/>
      <c r="L43" s="244"/>
      <c r="M43" s="244"/>
      <c r="N43" s="244"/>
      <c r="O43" s="244"/>
      <c r="P43" s="244"/>
      <c r="Q43" s="244"/>
      <c r="R43" s="244"/>
    </row>
    <row r="44" spans="1:19" s="80" customFormat="1" ht="24.95" customHeight="1" x14ac:dyDescent="0.2">
      <c r="A44" s="104">
        <f>+A39+1</f>
        <v>17</v>
      </c>
      <c r="B44" s="1" t="s">
        <v>128</v>
      </c>
      <c r="C44" s="4" t="s">
        <v>425</v>
      </c>
      <c r="D44" s="124" t="s">
        <v>51</v>
      </c>
      <c r="E44" s="124" t="s">
        <v>216</v>
      </c>
      <c r="F44" s="26" t="s">
        <v>569</v>
      </c>
      <c r="G44" s="26" t="s">
        <v>638</v>
      </c>
      <c r="H44" s="8">
        <v>80000</v>
      </c>
      <c r="I44" s="108">
        <f>H44*2.87%</f>
        <v>2296</v>
      </c>
      <c r="J44" s="108">
        <f>+H44*3.04%</f>
        <v>2432</v>
      </c>
      <c r="K44" s="108"/>
      <c r="L44" s="8">
        <f t="shared" si="0"/>
        <v>4728</v>
      </c>
      <c r="M44" s="8">
        <f t="shared" si="1"/>
        <v>75272</v>
      </c>
      <c r="N44" s="8">
        <f>+IF(M44*12&lt;=416220.01,0,IF(M44*12&lt;=624329.01,(((M44*12-416220.01)*0.15)/12),IF((M44*12&lt;=867123.01),(31216+0.2*(M44*12-624329.01))/12,((79776+0.25*(M44*12-867123.01))/12))))-O44</f>
        <v>7400.9372916666662</v>
      </c>
      <c r="O44" s="8"/>
      <c r="P44" s="107">
        <v>25</v>
      </c>
      <c r="Q44" s="8">
        <f>+P44+N44+L44</f>
        <v>12153.937291666665</v>
      </c>
      <c r="R44" s="107">
        <f>+H44-Q44</f>
        <v>67846.062708333338</v>
      </c>
      <c r="S44" s="6"/>
    </row>
    <row r="45" spans="1:19" s="6" customFormat="1" ht="24.95" customHeight="1" x14ac:dyDescent="0.2">
      <c r="A45" s="282" t="s">
        <v>125</v>
      </c>
      <c r="B45" s="283"/>
      <c r="C45" s="245"/>
      <c r="D45" s="245"/>
      <c r="E45" s="245"/>
      <c r="F45" s="245"/>
      <c r="G45" s="245"/>
      <c r="H45" s="16">
        <f>SUM(H44)</f>
        <v>80000</v>
      </c>
      <c r="I45" s="16">
        <f t="shared" ref="I45:R45" si="19">SUM(I44)</f>
        <v>2296</v>
      </c>
      <c r="J45" s="16">
        <f t="shared" si="19"/>
        <v>2432</v>
      </c>
      <c r="K45" s="16">
        <f t="shared" si="19"/>
        <v>0</v>
      </c>
      <c r="L45" s="16">
        <f t="shared" si="19"/>
        <v>4728</v>
      </c>
      <c r="M45" s="16">
        <f t="shared" si="19"/>
        <v>75272</v>
      </c>
      <c r="N45" s="16">
        <f t="shared" si="19"/>
        <v>7400.9372916666662</v>
      </c>
      <c r="O45" s="16">
        <f t="shared" si="19"/>
        <v>0</v>
      </c>
      <c r="P45" s="16">
        <f t="shared" si="19"/>
        <v>25</v>
      </c>
      <c r="Q45" s="16">
        <f t="shared" si="19"/>
        <v>12153.937291666665</v>
      </c>
      <c r="R45" s="16">
        <f t="shared" si="19"/>
        <v>67846.062708333338</v>
      </c>
    </row>
    <row r="46" spans="1:19" s="6" customFormat="1" ht="18.75" customHeight="1" thickBot="1" x14ac:dyDescent="0.25">
      <c r="A46" s="64"/>
      <c r="B46" s="64"/>
      <c r="C46" s="64"/>
      <c r="D46" s="64"/>
      <c r="E46" s="64"/>
      <c r="F46" s="64"/>
      <c r="G46" s="64"/>
    </row>
    <row r="47" spans="1:19" s="2" customFormat="1" ht="24.95" customHeight="1" thickBot="1" x14ac:dyDescent="0.25">
      <c r="A47" s="243" t="s">
        <v>155</v>
      </c>
      <c r="B47" s="244"/>
      <c r="C47" s="244"/>
      <c r="D47" s="244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4"/>
      <c r="P47" s="244"/>
      <c r="Q47" s="244"/>
      <c r="R47" s="244"/>
    </row>
    <row r="48" spans="1:19" s="80" customFormat="1" ht="30.75" customHeight="1" x14ac:dyDescent="0.2">
      <c r="A48" s="104">
        <f>+A44+1</f>
        <v>18</v>
      </c>
      <c r="B48" s="142" t="s">
        <v>218</v>
      </c>
      <c r="C48" s="12" t="s">
        <v>426</v>
      </c>
      <c r="D48" s="124" t="s">
        <v>147</v>
      </c>
      <c r="E48" s="124" t="s">
        <v>216</v>
      </c>
      <c r="F48" s="126" t="s">
        <v>542</v>
      </c>
      <c r="G48" s="126" t="s">
        <v>640</v>
      </c>
      <c r="H48" s="8">
        <v>70000</v>
      </c>
      <c r="I48" s="108">
        <f>H48*2.87%</f>
        <v>2009</v>
      </c>
      <c r="J48" s="108">
        <f>+H48*3.04%</f>
        <v>2128</v>
      </c>
      <c r="K48" s="108"/>
      <c r="L48" s="8">
        <f t="shared" si="0"/>
        <v>4137</v>
      </c>
      <c r="M48" s="8">
        <f t="shared" si="1"/>
        <v>65863</v>
      </c>
      <c r="N48" s="8">
        <f>+IF(M48*12&lt;=416220.01,0,IF(M48*12&lt;=624329.01,(((M48*12-416220.01)*0.15)/12),IF((M48*12&lt;=867123.01),(31216+0.2*(M48*12-624329.01))/12,((79776+0.25*(M48*12-867123.01))/12))))</f>
        <v>5368.4498333333331</v>
      </c>
      <c r="O48" s="8"/>
      <c r="P48" s="107">
        <v>1125</v>
      </c>
      <c r="Q48" s="8">
        <f>+P48+N48+L48</f>
        <v>10630.449833333332</v>
      </c>
      <c r="R48" s="107">
        <f>+H48-Q48</f>
        <v>59369.550166666668</v>
      </c>
      <c r="S48" s="6"/>
    </row>
    <row r="49" spans="1:19" s="80" customFormat="1" ht="27" customHeight="1" x14ac:dyDescent="0.2">
      <c r="A49" s="104">
        <f>+A48+1</f>
        <v>19</v>
      </c>
      <c r="B49" s="126" t="s">
        <v>440</v>
      </c>
      <c r="C49" s="128" t="s">
        <v>426</v>
      </c>
      <c r="D49" s="127" t="s">
        <v>147</v>
      </c>
      <c r="E49" s="127" t="s">
        <v>216</v>
      </c>
      <c r="F49" s="26" t="s">
        <v>569</v>
      </c>
      <c r="G49" s="26" t="s">
        <v>638</v>
      </c>
      <c r="H49" s="8">
        <v>70000</v>
      </c>
      <c r="I49" s="108">
        <f>H49*2.87%</f>
        <v>2009</v>
      </c>
      <c r="J49" s="108">
        <f>+H49*3.04%</f>
        <v>2128</v>
      </c>
      <c r="K49" s="108"/>
      <c r="L49" s="8">
        <f t="shared" si="0"/>
        <v>4137</v>
      </c>
      <c r="M49" s="8">
        <f t="shared" si="1"/>
        <v>65863</v>
      </c>
      <c r="N49" s="8">
        <f>+IF(M49*12&lt;=416220.01,0,IF(M49*12&lt;=624329.01,(((M49*12-416220.01)*0.15)/12),IF((M49*12&lt;=867123.01),(31216+0.2*(M49*12-624329.01))/12,((79776+0.25*(M49*12-867123.01))/12))))-O49</f>
        <v>5368.4498333333331</v>
      </c>
      <c r="O49" s="8"/>
      <c r="P49" s="107">
        <v>25</v>
      </c>
      <c r="Q49" s="8">
        <f>+P49+N49+L49</f>
        <v>9530.4498333333322</v>
      </c>
      <c r="R49" s="107">
        <f>+H49-Q49</f>
        <v>60469.550166666668</v>
      </c>
      <c r="S49" s="6"/>
    </row>
    <row r="50" spans="1:19" s="6" customFormat="1" ht="24.75" customHeight="1" x14ac:dyDescent="0.2">
      <c r="A50" s="282" t="s">
        <v>125</v>
      </c>
      <c r="B50" s="283"/>
      <c r="C50" s="245"/>
      <c r="D50" s="245"/>
      <c r="E50" s="245"/>
      <c r="F50" s="245"/>
      <c r="G50" s="245"/>
      <c r="H50" s="16">
        <f t="shared" ref="H50:R50" si="20">SUM(H48:H49)</f>
        <v>140000</v>
      </c>
      <c r="I50" s="16">
        <f t="shared" si="20"/>
        <v>4018</v>
      </c>
      <c r="J50" s="16">
        <f t="shared" si="20"/>
        <v>4256</v>
      </c>
      <c r="K50" s="16">
        <f t="shared" si="20"/>
        <v>0</v>
      </c>
      <c r="L50" s="16">
        <f t="shared" si="20"/>
        <v>8274</v>
      </c>
      <c r="M50" s="16">
        <f t="shared" si="20"/>
        <v>131726</v>
      </c>
      <c r="N50" s="16">
        <f t="shared" si="20"/>
        <v>10736.899666666666</v>
      </c>
      <c r="O50" s="16">
        <f t="shared" si="20"/>
        <v>0</v>
      </c>
      <c r="P50" s="16">
        <f t="shared" si="20"/>
        <v>1150</v>
      </c>
      <c r="Q50" s="16">
        <f t="shared" si="20"/>
        <v>20160.899666666664</v>
      </c>
      <c r="R50" s="16">
        <f t="shared" si="20"/>
        <v>119839.10033333334</v>
      </c>
    </row>
    <row r="51" spans="1:19" s="6" customFormat="1" ht="14.25" customHeight="1" x14ac:dyDescent="0.2">
      <c r="A51" s="64"/>
      <c r="B51" s="64"/>
      <c r="C51" s="64"/>
      <c r="D51" s="64"/>
      <c r="E51" s="64"/>
      <c r="F51" s="64"/>
      <c r="G51" s="64"/>
    </row>
    <row r="52" spans="1:19" s="6" customFormat="1" ht="16.5" customHeight="1" thickBot="1" x14ac:dyDescent="0.25">
      <c r="A52" s="64"/>
      <c r="B52" s="64"/>
      <c r="C52" s="64"/>
      <c r="D52" s="64"/>
      <c r="E52" s="64"/>
      <c r="F52" s="64"/>
      <c r="G52" s="64"/>
    </row>
    <row r="53" spans="1:19" s="6" customFormat="1" ht="23.25" customHeight="1" thickBot="1" x14ac:dyDescent="0.25">
      <c r="A53" s="251" t="s">
        <v>158</v>
      </c>
      <c r="B53" s="252"/>
      <c r="C53" s="252"/>
      <c r="D53" s="252"/>
      <c r="E53" s="252"/>
      <c r="F53" s="252"/>
      <c r="G53" s="252"/>
      <c r="H53" s="252"/>
      <c r="I53" s="252"/>
      <c r="J53" s="252"/>
      <c r="K53" s="252"/>
      <c r="L53" s="252"/>
      <c r="M53" s="252"/>
      <c r="N53" s="252"/>
      <c r="O53" s="252"/>
      <c r="P53" s="252"/>
      <c r="Q53" s="252"/>
      <c r="R53" s="252"/>
    </row>
    <row r="54" spans="1:19" s="6" customFormat="1" ht="28.5" customHeight="1" x14ac:dyDescent="0.2">
      <c r="A54" s="12">
        <f>+A49+1</f>
        <v>20</v>
      </c>
      <c r="B54" s="5" t="s">
        <v>466</v>
      </c>
      <c r="C54" s="155" t="s">
        <v>425</v>
      </c>
      <c r="D54" s="124" t="s">
        <v>147</v>
      </c>
      <c r="E54" s="124" t="s">
        <v>216</v>
      </c>
      <c r="F54" s="26" t="s">
        <v>603</v>
      </c>
      <c r="G54" s="26" t="s">
        <v>604</v>
      </c>
      <c r="H54" s="9">
        <v>70000</v>
      </c>
      <c r="I54" s="8">
        <f>H54*2.87%</f>
        <v>2009</v>
      </c>
      <c r="J54" s="8">
        <f>+H54*3.04%</f>
        <v>2128</v>
      </c>
      <c r="K54" s="8"/>
      <c r="L54" s="8">
        <f t="shared" si="0"/>
        <v>4137</v>
      </c>
      <c r="M54" s="8">
        <f t="shared" si="1"/>
        <v>65863</v>
      </c>
      <c r="N54" s="8">
        <f>+IF(M55*12&lt;=416220.01,0,IF(M54*12&lt;=624329.01,(((M54*12-416220.01)*0.15)/12),IF((M54*12&lt;=867123.01),(31216+0.2*(M54*12-624329.01))/12,((79776+0.25*(M54*12-867123.01))/12))))-O54</f>
        <v>5368.4498333333331</v>
      </c>
      <c r="O54" s="8"/>
      <c r="P54" s="9">
        <v>3668.07</v>
      </c>
      <c r="Q54" s="8">
        <f>+P54+N54+L54</f>
        <v>13173.519833333334</v>
      </c>
      <c r="R54" s="9">
        <f>+H54-Q54</f>
        <v>56826.480166666668</v>
      </c>
    </row>
    <row r="55" spans="1:19" s="6" customFormat="1" ht="23.25" customHeight="1" x14ac:dyDescent="0.2">
      <c r="A55" s="282" t="s">
        <v>125</v>
      </c>
      <c r="B55" s="283"/>
      <c r="C55" s="245"/>
      <c r="D55" s="245"/>
      <c r="E55" s="245"/>
      <c r="F55" s="245"/>
      <c r="G55" s="245"/>
      <c r="H55" s="16">
        <f>SUM(H54)</f>
        <v>70000</v>
      </c>
      <c r="I55" s="16">
        <f t="shared" ref="I55:R55" si="21">SUM(I54)</f>
        <v>2009</v>
      </c>
      <c r="J55" s="16">
        <f t="shared" si="21"/>
        <v>2128</v>
      </c>
      <c r="K55" s="16">
        <f t="shared" si="21"/>
        <v>0</v>
      </c>
      <c r="L55" s="16">
        <f t="shared" si="21"/>
        <v>4137</v>
      </c>
      <c r="M55" s="16">
        <f t="shared" si="21"/>
        <v>65863</v>
      </c>
      <c r="N55" s="16">
        <f t="shared" si="21"/>
        <v>5368.4498333333331</v>
      </c>
      <c r="O55" s="16">
        <f t="shared" si="21"/>
        <v>0</v>
      </c>
      <c r="P55" s="16">
        <f t="shared" si="21"/>
        <v>3668.07</v>
      </c>
      <c r="Q55" s="16">
        <f t="shared" si="21"/>
        <v>13173.519833333334</v>
      </c>
      <c r="R55" s="16">
        <f t="shared" si="21"/>
        <v>56826.480166666668</v>
      </c>
    </row>
    <row r="56" spans="1:19" s="6" customFormat="1" ht="23.25" customHeight="1" thickBot="1" x14ac:dyDescent="0.25">
      <c r="A56" s="64"/>
      <c r="B56" s="64"/>
      <c r="C56" s="64"/>
      <c r="D56" s="64"/>
      <c r="E56" s="64"/>
      <c r="F56" s="64"/>
      <c r="G56" s="64"/>
      <c r="J56" s="80"/>
      <c r="K56" s="80"/>
      <c r="L56" s="80"/>
      <c r="M56" s="80"/>
      <c r="N56" s="80"/>
      <c r="O56" s="80"/>
      <c r="P56" s="80"/>
      <c r="Q56" s="80"/>
      <c r="R56" s="80"/>
    </row>
    <row r="57" spans="1:19" s="6" customFormat="1" ht="23.25" customHeight="1" thickBot="1" x14ac:dyDescent="0.25">
      <c r="A57" s="251" t="s">
        <v>508</v>
      </c>
      <c r="B57" s="252"/>
      <c r="C57" s="252"/>
      <c r="D57" s="252"/>
      <c r="E57" s="252"/>
      <c r="F57" s="252"/>
      <c r="G57" s="252"/>
      <c r="H57" s="252"/>
      <c r="I57" s="252"/>
      <c r="J57" s="252"/>
      <c r="K57" s="252"/>
      <c r="L57" s="252"/>
      <c r="M57" s="252"/>
      <c r="N57" s="252"/>
      <c r="O57" s="252"/>
      <c r="P57" s="252"/>
      <c r="Q57" s="252"/>
      <c r="R57" s="252"/>
    </row>
    <row r="58" spans="1:19" s="6" customFormat="1" ht="29.25" customHeight="1" x14ac:dyDescent="0.2">
      <c r="A58" s="12">
        <f>+A54+1</f>
        <v>21</v>
      </c>
      <c r="B58" s="5" t="s">
        <v>507</v>
      </c>
      <c r="C58" s="155" t="s">
        <v>426</v>
      </c>
      <c r="D58" s="124" t="s">
        <v>147</v>
      </c>
      <c r="E58" s="124" t="s">
        <v>216</v>
      </c>
      <c r="F58" s="26" t="s">
        <v>571</v>
      </c>
      <c r="G58" s="26" t="s">
        <v>644</v>
      </c>
      <c r="H58" s="9">
        <v>70000</v>
      </c>
      <c r="I58" s="8">
        <f>H58*2.87%</f>
        <v>2009</v>
      </c>
      <c r="J58" s="8">
        <f>+H58*3.04%</f>
        <v>2128</v>
      </c>
      <c r="K58" s="8"/>
      <c r="L58" s="8">
        <f t="shared" si="0"/>
        <v>4137</v>
      </c>
      <c r="M58" s="8">
        <f t="shared" si="1"/>
        <v>65863</v>
      </c>
      <c r="N58" s="8">
        <f>+IF(M58*12&lt;=416220.01,0,IF(M58*12&lt;=624329.01,(((M58*12-416220.01)*0.15)/12),IF((M58*12&lt;=867123.01),(31216+0.2*(M58*12-624329.01))/12,((79776+0.25*(M58*12-867123.01))/12))))-O58</f>
        <v>-1.6666666670062114E-4</v>
      </c>
      <c r="O58" s="8">
        <v>5368.45</v>
      </c>
      <c r="P58" s="9">
        <f>2500+25</f>
        <v>2525</v>
      </c>
      <c r="Q58" s="8">
        <f>+P58+N58+L58</f>
        <v>6661.9998333333333</v>
      </c>
      <c r="R58" s="9">
        <f>+H58-Q58</f>
        <v>63338.000166666665</v>
      </c>
    </row>
    <row r="59" spans="1:19" s="6" customFormat="1" ht="23.25" customHeight="1" x14ac:dyDescent="0.2">
      <c r="A59" s="282" t="s">
        <v>125</v>
      </c>
      <c r="B59" s="283"/>
      <c r="C59" s="245"/>
      <c r="D59" s="245"/>
      <c r="E59" s="245"/>
      <c r="F59" s="245"/>
      <c r="G59" s="245"/>
      <c r="H59" s="16">
        <f>SUM(H58)</f>
        <v>70000</v>
      </c>
      <c r="I59" s="16">
        <f t="shared" ref="I59:R59" si="22">SUM(I58)</f>
        <v>2009</v>
      </c>
      <c r="J59" s="16">
        <f t="shared" si="22"/>
        <v>2128</v>
      </c>
      <c r="K59" s="16">
        <f t="shared" si="22"/>
        <v>0</v>
      </c>
      <c r="L59" s="16">
        <f t="shared" si="22"/>
        <v>4137</v>
      </c>
      <c r="M59" s="16">
        <f t="shared" si="22"/>
        <v>65863</v>
      </c>
      <c r="N59" s="16">
        <f t="shared" si="22"/>
        <v>-1.6666666670062114E-4</v>
      </c>
      <c r="O59" s="16">
        <f t="shared" si="22"/>
        <v>5368.45</v>
      </c>
      <c r="P59" s="16">
        <f t="shared" si="22"/>
        <v>2525</v>
      </c>
      <c r="Q59" s="16">
        <f t="shared" si="22"/>
        <v>6661.9998333333333</v>
      </c>
      <c r="R59" s="16">
        <f t="shared" si="22"/>
        <v>63338.000166666665</v>
      </c>
    </row>
    <row r="60" spans="1:19" s="6" customFormat="1" ht="23.25" customHeight="1" x14ac:dyDescent="0.2">
      <c r="A60" s="64"/>
      <c r="B60" s="64"/>
      <c r="C60" s="64"/>
      <c r="D60" s="64"/>
      <c r="E60" s="64"/>
      <c r="F60" s="64"/>
      <c r="G60" s="64"/>
    </row>
    <row r="61" spans="1:19" s="2" customFormat="1" ht="12" customHeight="1" thickBot="1" x14ac:dyDescent="0.25">
      <c r="A61" s="64"/>
      <c r="B61" s="64"/>
      <c r="C61" s="64"/>
      <c r="D61" s="64"/>
      <c r="E61" s="64"/>
      <c r="F61" s="64"/>
      <c r="G61" s="64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</row>
    <row r="62" spans="1:19" s="70" customFormat="1" ht="27" customHeight="1" thickBot="1" x14ac:dyDescent="0.25">
      <c r="A62" s="251" t="s">
        <v>196</v>
      </c>
      <c r="B62" s="252"/>
      <c r="C62" s="252"/>
      <c r="D62" s="252"/>
      <c r="E62" s="252"/>
      <c r="F62" s="252"/>
      <c r="G62" s="252"/>
      <c r="H62" s="252"/>
      <c r="I62" s="252"/>
      <c r="J62" s="252"/>
      <c r="K62" s="252"/>
      <c r="L62" s="252"/>
      <c r="M62" s="252"/>
      <c r="N62" s="252"/>
      <c r="O62" s="252"/>
      <c r="P62" s="252"/>
      <c r="Q62" s="252"/>
      <c r="R62" s="252"/>
      <c r="S62" s="2"/>
    </row>
    <row r="63" spans="1:19" s="70" customFormat="1" ht="39" customHeight="1" x14ac:dyDescent="0.2">
      <c r="A63" s="104">
        <f>A58+1</f>
        <v>22</v>
      </c>
      <c r="B63" s="5" t="s">
        <v>381</v>
      </c>
      <c r="C63" s="155" t="s">
        <v>426</v>
      </c>
      <c r="D63" s="124" t="s">
        <v>147</v>
      </c>
      <c r="E63" s="124" t="s">
        <v>216</v>
      </c>
      <c r="F63" s="26" t="s">
        <v>556</v>
      </c>
      <c r="G63" s="26" t="s">
        <v>643</v>
      </c>
      <c r="H63" s="9">
        <v>80000</v>
      </c>
      <c r="I63" s="108">
        <f>H63*2.87%</f>
        <v>2296</v>
      </c>
      <c r="J63" s="108">
        <f>+H63*3.04%</f>
        <v>2432</v>
      </c>
      <c r="K63" s="108"/>
      <c r="L63" s="8">
        <f t="shared" si="0"/>
        <v>4728</v>
      </c>
      <c r="M63" s="8">
        <f t="shared" si="1"/>
        <v>75272</v>
      </c>
      <c r="N63" s="8">
        <f>+IF(M63*12&lt;=416220.01,0,IF(M63*12&lt;=624329.01,(((M63*12-416220.01)*0.15)/12),IF((M63*12&lt;=867123.01),(31216+0.2*(M63*12-624329.01))/12,((79776+0.25*(M63*12-867123.01))/12))))-O63</f>
        <v>7400.9372916666662</v>
      </c>
      <c r="O63" s="8"/>
      <c r="P63" s="107">
        <f>25+9460.27</f>
        <v>9485.27</v>
      </c>
      <c r="Q63" s="8">
        <f>+P63+N63+L63</f>
        <v>21614.207291666666</v>
      </c>
      <c r="R63" s="107">
        <f>+H63-Q63</f>
        <v>58385.792708333334</v>
      </c>
      <c r="S63" s="2"/>
    </row>
    <row r="64" spans="1:19" s="70" customFormat="1" ht="39" customHeight="1" x14ac:dyDescent="0.2">
      <c r="A64" s="104">
        <f>+A63+1</f>
        <v>23</v>
      </c>
      <c r="B64" s="5" t="s">
        <v>382</v>
      </c>
      <c r="C64" s="155" t="s">
        <v>426</v>
      </c>
      <c r="D64" s="124" t="s">
        <v>147</v>
      </c>
      <c r="E64" s="124" t="s">
        <v>216</v>
      </c>
      <c r="F64" s="129" t="s">
        <v>587</v>
      </c>
      <c r="G64" s="129" t="s">
        <v>646</v>
      </c>
      <c r="H64" s="9">
        <v>70000</v>
      </c>
      <c r="I64" s="108">
        <f>H64*2.87%</f>
        <v>2009</v>
      </c>
      <c r="J64" s="108">
        <f>+H64*3.04%</f>
        <v>2128</v>
      </c>
      <c r="K64" s="108"/>
      <c r="L64" s="8">
        <f t="shared" si="0"/>
        <v>4137</v>
      </c>
      <c r="M64" s="8">
        <f t="shared" si="1"/>
        <v>65863</v>
      </c>
      <c r="N64" s="8">
        <f>+IF(M64*12&lt;=416220.01,0,IF(M64*12&lt;=624329.01,(((M64*12-416220.01)*0.15)/12),IF((M64*12&lt;=867123.01),(31216+0.2*(M64*12-624329.01))/12,((79776+0.25*(M64*12-867123.01))/12))))-O64</f>
        <v>5368.4498333333331</v>
      </c>
      <c r="O64" s="8"/>
      <c r="P64" s="107">
        <v>6336.33</v>
      </c>
      <c r="Q64" s="8">
        <f>+P64+N64+L64</f>
        <v>15841.779833333334</v>
      </c>
      <c r="R64" s="107">
        <f>+H64-Q64</f>
        <v>54158.220166666666</v>
      </c>
      <c r="S64" s="2"/>
    </row>
    <row r="65" spans="1:19" s="2" customFormat="1" ht="23.25" customHeight="1" x14ac:dyDescent="0.2">
      <c r="A65" s="282" t="s">
        <v>125</v>
      </c>
      <c r="B65" s="283"/>
      <c r="C65" s="245"/>
      <c r="D65" s="245"/>
      <c r="E65" s="245"/>
      <c r="F65" s="245"/>
      <c r="G65" s="245"/>
      <c r="H65" s="16">
        <f t="shared" ref="H65:R65" si="23">SUM(H63:H64)</f>
        <v>150000</v>
      </c>
      <c r="I65" s="16">
        <f t="shared" si="23"/>
        <v>4305</v>
      </c>
      <c r="J65" s="16">
        <f t="shared" si="23"/>
        <v>4560</v>
      </c>
      <c r="K65" s="16">
        <f t="shared" si="23"/>
        <v>0</v>
      </c>
      <c r="L65" s="16">
        <f t="shared" si="23"/>
        <v>8865</v>
      </c>
      <c r="M65" s="16">
        <f t="shared" si="23"/>
        <v>141135</v>
      </c>
      <c r="N65" s="16">
        <f t="shared" si="23"/>
        <v>12769.387124999999</v>
      </c>
      <c r="O65" s="16">
        <f t="shared" si="23"/>
        <v>0</v>
      </c>
      <c r="P65" s="16">
        <f t="shared" si="23"/>
        <v>15821.6</v>
      </c>
      <c r="Q65" s="16">
        <f t="shared" si="23"/>
        <v>37455.987125</v>
      </c>
      <c r="R65" s="16">
        <f t="shared" si="23"/>
        <v>112544.012875</v>
      </c>
    </row>
    <row r="66" spans="1:19" s="6" customFormat="1" ht="24.75" customHeight="1" thickBot="1" x14ac:dyDescent="0.25">
      <c r="A66" s="64"/>
      <c r="B66" s="64"/>
      <c r="C66" s="64"/>
      <c r="D66" s="64"/>
      <c r="E66" s="64"/>
      <c r="F66" s="64"/>
      <c r="G66" s="64"/>
    </row>
    <row r="67" spans="1:19" s="80" customFormat="1" ht="30" customHeight="1" thickBot="1" x14ac:dyDescent="0.25">
      <c r="A67" s="251" t="s">
        <v>161</v>
      </c>
      <c r="B67" s="252"/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6"/>
    </row>
    <row r="68" spans="1:19" s="80" customFormat="1" ht="38.25" x14ac:dyDescent="0.2">
      <c r="A68" s="104">
        <f>A64+1</f>
        <v>24</v>
      </c>
      <c r="B68" s="5" t="s">
        <v>151</v>
      </c>
      <c r="C68" s="155" t="s">
        <v>425</v>
      </c>
      <c r="D68" s="124" t="s">
        <v>564</v>
      </c>
      <c r="E68" s="124" t="s">
        <v>216</v>
      </c>
      <c r="F68" s="26" t="s">
        <v>603</v>
      </c>
      <c r="G68" s="26" t="s">
        <v>604</v>
      </c>
      <c r="H68" s="9">
        <v>155000</v>
      </c>
      <c r="I68" s="108">
        <f>H68*2.87%</f>
        <v>4448.5</v>
      </c>
      <c r="J68" s="108">
        <f>+H68*3.04%</f>
        <v>4712</v>
      </c>
      <c r="K68" s="108"/>
      <c r="L68" s="8">
        <f t="shared" si="0"/>
        <v>9160.5</v>
      </c>
      <c r="M68" s="8">
        <f t="shared" si="1"/>
        <v>145839.5</v>
      </c>
      <c r="N68" s="8">
        <f>+IF(M68*12&lt;=416220.01,0,IF(M68*12&lt;=624329.01,(((M68*12-416220.01)*0.15)/12),IF((M68*12&lt;=867123.01),(31216+0.2*(M68*12-624329.01))/12,((79776+0.25*(M68*12-867123.01))/12))))-O68</f>
        <v>25042.812291666665</v>
      </c>
      <c r="O68" s="8">
        <v>0</v>
      </c>
      <c r="P68" s="107">
        <v>25</v>
      </c>
      <c r="Q68" s="8">
        <f>+P68+N68+L68</f>
        <v>34228.312291666662</v>
      </c>
      <c r="R68" s="107">
        <f>+H68-Q68</f>
        <v>120771.68770833334</v>
      </c>
      <c r="S68" s="6"/>
    </row>
    <row r="69" spans="1:19" s="6" customFormat="1" ht="31.5" customHeight="1" x14ac:dyDescent="0.2">
      <c r="A69" s="12">
        <f>A68+1</f>
        <v>25</v>
      </c>
      <c r="B69" s="5" t="s">
        <v>383</v>
      </c>
      <c r="C69" s="155" t="s">
        <v>425</v>
      </c>
      <c r="D69" s="124" t="s">
        <v>147</v>
      </c>
      <c r="E69" s="124" t="s">
        <v>216</v>
      </c>
      <c r="F69" s="129" t="s">
        <v>569</v>
      </c>
      <c r="G69" s="129" t="s">
        <v>638</v>
      </c>
      <c r="H69" s="9">
        <v>70000</v>
      </c>
      <c r="I69" s="108">
        <f>H69*2.87%</f>
        <v>2009</v>
      </c>
      <c r="J69" s="108">
        <f>+H69*3.04%</f>
        <v>2128</v>
      </c>
      <c r="K69" s="108"/>
      <c r="L69" s="8">
        <f t="shared" si="0"/>
        <v>4137</v>
      </c>
      <c r="M69" s="8">
        <f t="shared" si="1"/>
        <v>65863</v>
      </c>
      <c r="N69" s="8">
        <f>+IF(M69*12&lt;=416220.01,0,IF(M69*12&lt;=624329.01,(((M69*12-416220.01)*0.15)/12),IF((M69*12&lt;=867123.01),(31216+0.2*(M69*12-624329.01))/12,((79776+0.25*(M69*12-867123.01))/12))))-O69</f>
        <v>5368.4498333333331</v>
      </c>
      <c r="O69" s="8"/>
      <c r="P69" s="107">
        <v>6043.99</v>
      </c>
      <c r="Q69" s="8">
        <f>+P69+N69+L69</f>
        <v>15549.439833333334</v>
      </c>
      <c r="R69" s="107">
        <f>+H69-Q69</f>
        <v>54450.560166666663</v>
      </c>
    </row>
    <row r="70" spans="1:19" s="6" customFormat="1" ht="29.25" customHeight="1" x14ac:dyDescent="0.2">
      <c r="A70" s="12">
        <f>+A69+1</f>
        <v>26</v>
      </c>
      <c r="B70" s="5" t="s">
        <v>509</v>
      </c>
      <c r="C70" s="155" t="s">
        <v>426</v>
      </c>
      <c r="D70" s="124" t="s">
        <v>147</v>
      </c>
      <c r="E70" s="124" t="s">
        <v>216</v>
      </c>
      <c r="F70" s="129" t="s">
        <v>571</v>
      </c>
      <c r="G70" s="129" t="s">
        <v>644</v>
      </c>
      <c r="H70" s="9">
        <v>70000</v>
      </c>
      <c r="I70" s="108">
        <f>H70*2.87%</f>
        <v>2009</v>
      </c>
      <c r="J70" s="108">
        <f>+H70*3.04%</f>
        <v>2128</v>
      </c>
      <c r="K70" s="108"/>
      <c r="L70" s="8">
        <f t="shared" si="0"/>
        <v>4137</v>
      </c>
      <c r="M70" s="8">
        <f t="shared" si="1"/>
        <v>65863</v>
      </c>
      <c r="N70" s="8">
        <f>+IF(M70*12&lt;=416220.01,0,IF(M70*12&lt;=624329.01,(((M70*12-416220.01)*0.15)/12),IF((M70*12&lt;=867123.01),(31216+0.2*(M70*12-624329.01))/12,((79776+0.25*(M70*12-867123.01))/12))))-O70</f>
        <v>-1.6666666670062114E-4</v>
      </c>
      <c r="O70" s="8">
        <v>5368.45</v>
      </c>
      <c r="P70" s="107">
        <v>925</v>
      </c>
      <c r="Q70" s="8">
        <f>+P70+N70+L70</f>
        <v>5061.9998333333333</v>
      </c>
      <c r="R70" s="107">
        <f>+H70-Q70</f>
        <v>64938.000166666665</v>
      </c>
    </row>
    <row r="71" spans="1:19" s="6" customFormat="1" ht="23.25" customHeight="1" x14ac:dyDescent="0.2">
      <c r="A71" s="282" t="s">
        <v>125</v>
      </c>
      <c r="B71" s="283"/>
      <c r="C71" s="245"/>
      <c r="D71" s="245"/>
      <c r="E71" s="245"/>
      <c r="F71" s="245"/>
      <c r="G71" s="245"/>
      <c r="H71" s="16">
        <f t="shared" ref="H71:R71" si="24">SUM(H68:H70)</f>
        <v>295000</v>
      </c>
      <c r="I71" s="16">
        <f t="shared" si="24"/>
        <v>8466.5</v>
      </c>
      <c r="J71" s="16">
        <f t="shared" si="24"/>
        <v>8968</v>
      </c>
      <c r="K71" s="16">
        <f t="shared" si="24"/>
        <v>0</v>
      </c>
      <c r="L71" s="16">
        <f t="shared" si="24"/>
        <v>17434.5</v>
      </c>
      <c r="M71" s="16">
        <f t="shared" si="24"/>
        <v>277565.5</v>
      </c>
      <c r="N71" s="16">
        <f t="shared" si="24"/>
        <v>30411.261958333329</v>
      </c>
      <c r="O71" s="16">
        <f t="shared" si="24"/>
        <v>5368.45</v>
      </c>
      <c r="P71" s="16">
        <f t="shared" si="24"/>
        <v>6993.99</v>
      </c>
      <c r="Q71" s="16">
        <f t="shared" si="24"/>
        <v>54839.751958333334</v>
      </c>
      <c r="R71" s="16">
        <f t="shared" si="24"/>
        <v>240160.24804166667</v>
      </c>
    </row>
    <row r="72" spans="1:19" s="6" customFormat="1" ht="24.75" customHeight="1" thickBot="1" x14ac:dyDescent="0.25">
      <c r="A72" s="64"/>
      <c r="B72" s="64"/>
      <c r="C72" s="64"/>
      <c r="D72" s="64"/>
      <c r="E72" s="64"/>
      <c r="F72" s="64"/>
      <c r="G72" s="64"/>
    </row>
    <row r="73" spans="1:19" s="80" customFormat="1" ht="30" customHeight="1" thickBot="1" x14ac:dyDescent="0.25">
      <c r="A73" s="251"/>
      <c r="B73" s="252"/>
      <c r="C73" s="252"/>
      <c r="D73" s="252"/>
      <c r="E73" s="252"/>
      <c r="F73" s="252"/>
      <c r="G73" s="252"/>
      <c r="H73" s="252"/>
      <c r="I73" s="252"/>
      <c r="J73" s="252"/>
      <c r="K73" s="252"/>
      <c r="L73" s="252"/>
      <c r="M73" s="252"/>
      <c r="N73" s="252"/>
      <c r="O73" s="252"/>
      <c r="P73" s="252"/>
      <c r="Q73" s="252"/>
      <c r="R73" s="252"/>
      <c r="S73" s="6"/>
    </row>
    <row r="74" spans="1:19" s="80" customFormat="1" ht="30" customHeight="1" thickBot="1" x14ac:dyDescent="0.25">
      <c r="A74" s="251" t="s">
        <v>602</v>
      </c>
      <c r="B74" s="252"/>
      <c r="C74" s="252"/>
      <c r="D74" s="252"/>
      <c r="E74" s="252"/>
      <c r="F74" s="252"/>
      <c r="G74" s="252"/>
      <c r="H74" s="252"/>
      <c r="I74" s="252"/>
      <c r="J74" s="252"/>
      <c r="K74" s="252"/>
      <c r="L74" s="252"/>
      <c r="M74" s="252"/>
      <c r="N74" s="252"/>
      <c r="O74" s="252"/>
      <c r="P74" s="252"/>
      <c r="Q74" s="252"/>
      <c r="R74" s="252"/>
      <c r="S74" s="6"/>
    </row>
    <row r="75" spans="1:19" s="2" customFormat="1" ht="24.95" customHeight="1" x14ac:dyDescent="0.2">
      <c r="A75" s="104">
        <f>+A70+1</f>
        <v>27</v>
      </c>
      <c r="B75" s="61" t="s">
        <v>405</v>
      </c>
      <c r="C75" s="155" t="s">
        <v>425</v>
      </c>
      <c r="D75" s="125" t="s">
        <v>147</v>
      </c>
      <c r="E75" s="124" t="s">
        <v>216</v>
      </c>
      <c r="F75" s="129" t="s">
        <v>544</v>
      </c>
      <c r="G75" s="127" t="s">
        <v>634</v>
      </c>
      <c r="H75" s="108">
        <v>70000</v>
      </c>
      <c r="I75" s="108">
        <f>H75*2.87%</f>
        <v>2009</v>
      </c>
      <c r="J75" s="108">
        <f>+H75*3.04%</f>
        <v>2128</v>
      </c>
      <c r="K75" s="108"/>
      <c r="L75" s="8">
        <f t="shared" ref="L75:L148" si="25">+J75+I75+K75</f>
        <v>4137</v>
      </c>
      <c r="M75" s="8">
        <f t="shared" ref="M75:M148" si="26">+H75-L75</f>
        <v>65863</v>
      </c>
      <c r="N75" s="8">
        <f>+IF(M75*12&lt;=416220.01,0,IF(M75*12&lt;=624329.01,(((M75*12-416220.01)*0.15)/12),IF((M75*12&lt;=867123.01),(31216+0.2*(M75*12-624329.01))/12,((79776+0.25*(M75*12-867123.01))/12))))-O75</f>
        <v>5368.4498333333331</v>
      </c>
      <c r="O75" s="8"/>
      <c r="P75" s="107">
        <v>25</v>
      </c>
      <c r="Q75" s="8">
        <f>+P75+N75+L75</f>
        <v>9530.4498333333322</v>
      </c>
      <c r="R75" s="107">
        <f>+H75-Q75</f>
        <v>60469.550166666668</v>
      </c>
    </row>
    <row r="76" spans="1:19" s="6" customFormat="1" ht="24.75" customHeight="1" x14ac:dyDescent="0.2">
      <c r="A76" s="282" t="s">
        <v>125</v>
      </c>
      <c r="B76" s="283"/>
      <c r="C76" s="245"/>
      <c r="D76" s="245"/>
      <c r="E76" s="245"/>
      <c r="F76" s="245"/>
      <c r="G76" s="245"/>
      <c r="H76" s="16">
        <v>70000</v>
      </c>
      <c r="I76" s="16">
        <f>H76*2.87%</f>
        <v>2009</v>
      </c>
      <c r="J76" s="16">
        <f>+H76*3.04%</f>
        <v>2128</v>
      </c>
      <c r="K76" s="16"/>
      <c r="L76" s="16">
        <f t="shared" si="25"/>
        <v>4137</v>
      </c>
      <c r="M76" s="16">
        <f t="shared" si="26"/>
        <v>65863</v>
      </c>
      <c r="N76" s="16">
        <f>+N75</f>
        <v>5368.4498333333331</v>
      </c>
      <c r="O76" s="16">
        <f t="shared" ref="O76:R76" si="27">+O75</f>
        <v>0</v>
      </c>
      <c r="P76" s="16">
        <f t="shared" si="27"/>
        <v>25</v>
      </c>
      <c r="Q76" s="16">
        <f t="shared" si="27"/>
        <v>9530.4498333333322</v>
      </c>
      <c r="R76" s="16">
        <f t="shared" si="27"/>
        <v>60469.550166666668</v>
      </c>
    </row>
    <row r="77" spans="1:19" s="6" customFormat="1" ht="23.25" customHeight="1" thickBot="1" x14ac:dyDescent="0.25">
      <c r="A77" s="64"/>
      <c r="B77" s="64"/>
      <c r="C77" s="64"/>
      <c r="D77" s="64"/>
      <c r="E77" s="64"/>
      <c r="G77" s="64"/>
    </row>
    <row r="78" spans="1:19" s="6" customFormat="1" ht="28.5" customHeight="1" thickBot="1" x14ac:dyDescent="0.25">
      <c r="A78" s="251" t="s">
        <v>166</v>
      </c>
      <c r="B78" s="252"/>
      <c r="C78" s="252"/>
      <c r="D78" s="252"/>
      <c r="E78" s="252"/>
      <c r="F78" s="252"/>
      <c r="G78" s="252"/>
      <c r="H78" s="252"/>
      <c r="I78" s="252"/>
      <c r="J78" s="252"/>
      <c r="K78" s="252"/>
      <c r="L78" s="252"/>
      <c r="M78" s="252"/>
      <c r="N78" s="252"/>
      <c r="O78" s="252"/>
      <c r="P78" s="252"/>
      <c r="Q78" s="252"/>
      <c r="R78" s="252"/>
    </row>
    <row r="79" spans="1:19" s="6" customFormat="1" ht="23.25" customHeight="1" x14ac:dyDescent="0.2">
      <c r="A79" s="12">
        <f>+A75+1</f>
        <v>28</v>
      </c>
      <c r="B79" s="5" t="s">
        <v>457</v>
      </c>
      <c r="C79" s="155" t="s">
        <v>425</v>
      </c>
      <c r="D79" s="124" t="s">
        <v>147</v>
      </c>
      <c r="E79" s="124" t="s">
        <v>216</v>
      </c>
      <c r="F79" s="26" t="s">
        <v>581</v>
      </c>
      <c r="G79" s="26" t="s">
        <v>647</v>
      </c>
      <c r="H79" s="9">
        <v>70000</v>
      </c>
      <c r="I79" s="8">
        <f>H79*2.87%</f>
        <v>2009</v>
      </c>
      <c r="J79" s="8">
        <f>+H79*3.04%</f>
        <v>2128</v>
      </c>
      <c r="K79" s="8"/>
      <c r="L79" s="8">
        <f t="shared" si="25"/>
        <v>4137</v>
      </c>
      <c r="M79" s="8">
        <f t="shared" si="26"/>
        <v>65863</v>
      </c>
      <c r="N79" s="8">
        <f>+IF(M79*12&lt;=416220.01,0,IF(M79*12&lt;=624329.01,(((M79*12-416220.01)*0.15)/12),IF((M79*12&lt;=867123.01),(31216+0.2*(M79*12-624329.01))/12,((79776+0.25*(M79*12-867123.01))/12))))</f>
        <v>5368.4498333333331</v>
      </c>
      <c r="O79" s="8"/>
      <c r="P79" s="9">
        <f>25+100</f>
        <v>125</v>
      </c>
      <c r="Q79" s="8">
        <f>+P79+N79+L79</f>
        <v>9630.4498333333322</v>
      </c>
      <c r="R79" s="9">
        <f>+H79-Q79</f>
        <v>60369.550166666668</v>
      </c>
    </row>
    <row r="80" spans="1:19" s="6" customFormat="1" ht="26.25" customHeight="1" x14ac:dyDescent="0.2">
      <c r="A80" s="282" t="s">
        <v>125</v>
      </c>
      <c r="B80" s="283"/>
      <c r="C80" s="245"/>
      <c r="D80" s="245"/>
      <c r="E80" s="245"/>
      <c r="F80" s="245"/>
      <c r="G80" s="245"/>
      <c r="H80" s="16">
        <f>SUM(H79)</f>
        <v>70000</v>
      </c>
      <c r="I80" s="16">
        <f t="shared" ref="I80:R80" si="28">SUM(I79)</f>
        <v>2009</v>
      </c>
      <c r="J80" s="16">
        <f t="shared" si="28"/>
        <v>2128</v>
      </c>
      <c r="K80" s="16">
        <f t="shared" si="28"/>
        <v>0</v>
      </c>
      <c r="L80" s="16">
        <f t="shared" si="28"/>
        <v>4137</v>
      </c>
      <c r="M80" s="16">
        <f t="shared" si="28"/>
        <v>65863</v>
      </c>
      <c r="N80" s="16">
        <f t="shared" si="28"/>
        <v>5368.4498333333331</v>
      </c>
      <c r="O80" s="16"/>
      <c r="P80" s="16">
        <f t="shared" si="28"/>
        <v>125</v>
      </c>
      <c r="Q80" s="16">
        <f t="shared" si="28"/>
        <v>9630.4498333333322</v>
      </c>
      <c r="R80" s="16">
        <f t="shared" si="28"/>
        <v>60369.550166666668</v>
      </c>
    </row>
    <row r="81" spans="1:19" s="6" customFormat="1" ht="24.75" customHeight="1" thickBot="1" x14ac:dyDescent="0.25">
      <c r="A81" s="64"/>
      <c r="B81" s="64"/>
      <c r="C81" s="64"/>
      <c r="D81" s="64"/>
      <c r="E81" s="64"/>
      <c r="F81" s="64"/>
      <c r="G81" s="64"/>
    </row>
    <row r="82" spans="1:19" s="80" customFormat="1" ht="27" customHeight="1" thickBot="1" x14ac:dyDescent="0.25">
      <c r="A82" s="251" t="s">
        <v>167</v>
      </c>
      <c r="B82" s="252"/>
      <c r="C82" s="252"/>
      <c r="D82" s="252"/>
      <c r="E82" s="252"/>
      <c r="F82" s="252"/>
      <c r="G82" s="252"/>
      <c r="H82" s="252"/>
      <c r="I82" s="252"/>
      <c r="J82" s="252"/>
      <c r="K82" s="252"/>
      <c r="L82" s="252"/>
      <c r="M82" s="252"/>
      <c r="N82" s="252"/>
      <c r="O82" s="252"/>
      <c r="P82" s="252"/>
      <c r="Q82" s="252"/>
      <c r="R82" s="252"/>
      <c r="S82" s="6"/>
    </row>
    <row r="83" spans="1:19" s="80" customFormat="1" ht="24.95" customHeight="1" x14ac:dyDescent="0.2">
      <c r="A83" s="12">
        <f>+A79+1</f>
        <v>29</v>
      </c>
      <c r="B83" s="5" t="s">
        <v>441</v>
      </c>
      <c r="C83" s="155" t="s">
        <v>426</v>
      </c>
      <c r="D83" s="124" t="s">
        <v>147</v>
      </c>
      <c r="E83" s="124" t="s">
        <v>216</v>
      </c>
      <c r="F83" s="129" t="s">
        <v>569</v>
      </c>
      <c r="G83" s="129" t="s">
        <v>638</v>
      </c>
      <c r="H83" s="9">
        <v>70000</v>
      </c>
      <c r="I83" s="8">
        <f>H83*2.87%</f>
        <v>2009</v>
      </c>
      <c r="J83" s="8">
        <f>+H83*3.04%</f>
        <v>2128</v>
      </c>
      <c r="K83" s="8"/>
      <c r="L83" s="8">
        <f t="shared" si="25"/>
        <v>4137</v>
      </c>
      <c r="M83" s="8">
        <f t="shared" si="26"/>
        <v>65863</v>
      </c>
      <c r="N83" s="8">
        <f>+IF(M83*12&lt;=416220.01,0,IF(M83*12&lt;=624329.01,(((M83*12-416220.01)*0.15)/12),IF((M83*12&lt;=867123.01),(31216+0.2*(M83*12-624329.01))/12,((79776+0.25*(M83*12-867123.01))/12))))-O83</f>
        <v>5368.4498333333331</v>
      </c>
      <c r="O83" s="8"/>
      <c r="P83" s="9">
        <v>3582.23</v>
      </c>
      <c r="Q83" s="8">
        <f>+P83+N83+L83</f>
        <v>13087.679833333334</v>
      </c>
      <c r="R83" s="9">
        <f>+H83-Q83</f>
        <v>56912.320166666665</v>
      </c>
      <c r="S83" s="6"/>
    </row>
    <row r="84" spans="1:19" s="6" customFormat="1" ht="24.75" customHeight="1" x14ac:dyDescent="0.2">
      <c r="A84" s="12">
        <f>+A83+1</f>
        <v>30</v>
      </c>
      <c r="B84" s="5" t="s">
        <v>456</v>
      </c>
      <c r="C84" s="155" t="s">
        <v>426</v>
      </c>
      <c r="D84" s="124" t="s">
        <v>147</v>
      </c>
      <c r="E84" s="124" t="s">
        <v>216</v>
      </c>
      <c r="F84" s="26" t="s">
        <v>581</v>
      </c>
      <c r="G84" s="26" t="s">
        <v>647</v>
      </c>
      <c r="H84" s="9">
        <v>70000</v>
      </c>
      <c r="I84" s="8">
        <f>H84*2.87%</f>
        <v>2009</v>
      </c>
      <c r="J84" s="8">
        <f>+H84*3.04%</f>
        <v>2128</v>
      </c>
      <c r="K84" s="8"/>
      <c r="L84" s="8">
        <f t="shared" si="25"/>
        <v>4137</v>
      </c>
      <c r="M84" s="8">
        <f t="shared" si="26"/>
        <v>65863</v>
      </c>
      <c r="N84" s="8">
        <f>+IF(M84*12&lt;=416220.01,0,IF(M84*12&lt;=624329.01,(((M84*12-416220.01)*0.15)/12),IF((M84*12&lt;=867123.01),(31216+0.2*(M84*12-624329.01))/12,((79776+0.25*(M84*12-867123.01))/12))))</f>
        <v>5368.4498333333331</v>
      </c>
      <c r="O84" s="8"/>
      <c r="P84" s="9">
        <v>25</v>
      </c>
      <c r="Q84" s="8">
        <f>+P84+N84+L84</f>
        <v>9530.4498333333322</v>
      </c>
      <c r="R84" s="9">
        <f>+H84-Q84</f>
        <v>60469.550166666668</v>
      </c>
    </row>
    <row r="85" spans="1:19" customFormat="1" ht="21" customHeight="1" thickBot="1" x14ac:dyDescent="0.25">
      <c r="A85" s="285" t="s">
        <v>125</v>
      </c>
      <c r="B85" s="286"/>
      <c r="C85" s="245"/>
      <c r="D85" s="245"/>
      <c r="E85" s="245"/>
      <c r="F85" s="245"/>
      <c r="G85" s="245"/>
      <c r="H85" s="16">
        <f>SUM(H83:H84)</f>
        <v>140000</v>
      </c>
      <c r="I85" s="16">
        <f t="shared" ref="I85:R85" si="29">SUM(I83:I84)</f>
        <v>4018</v>
      </c>
      <c r="J85" s="16">
        <f t="shared" si="29"/>
        <v>4256</v>
      </c>
      <c r="K85" s="16">
        <f t="shared" si="29"/>
        <v>0</v>
      </c>
      <c r="L85" s="16">
        <f t="shared" si="29"/>
        <v>8274</v>
      </c>
      <c r="M85" s="16">
        <f t="shared" si="29"/>
        <v>131726</v>
      </c>
      <c r="N85" s="16">
        <f t="shared" si="29"/>
        <v>10736.899666666666</v>
      </c>
      <c r="O85" s="16">
        <f t="shared" si="29"/>
        <v>0</v>
      </c>
      <c r="P85" s="16">
        <f t="shared" si="29"/>
        <v>3607.23</v>
      </c>
      <c r="Q85" s="16">
        <f t="shared" si="29"/>
        <v>22618.129666666668</v>
      </c>
      <c r="R85" s="16">
        <f t="shared" si="29"/>
        <v>117381.87033333333</v>
      </c>
      <c r="S85" s="217"/>
    </row>
    <row r="86" spans="1:19" s="6" customFormat="1" ht="28.5" customHeight="1" thickBot="1" x14ac:dyDescent="0.25">
      <c r="A86" s="251" t="s">
        <v>166</v>
      </c>
      <c r="B86" s="252"/>
      <c r="C86" s="252"/>
      <c r="D86" s="252"/>
      <c r="E86" s="252"/>
      <c r="F86" s="252"/>
      <c r="G86" s="252"/>
      <c r="H86" s="252"/>
      <c r="I86" s="252"/>
      <c r="J86" s="252"/>
      <c r="K86" s="252"/>
      <c r="L86" s="252"/>
      <c r="M86" s="252"/>
      <c r="N86" s="252"/>
      <c r="O86" s="252"/>
      <c r="P86" s="252"/>
      <c r="Q86" s="252"/>
      <c r="R86" s="252"/>
    </row>
    <row r="87" spans="1:19" s="6" customFormat="1" ht="31.15" customHeight="1" x14ac:dyDescent="0.2">
      <c r="A87" s="12">
        <f>+A84+1</f>
        <v>31</v>
      </c>
      <c r="B87" s="5" t="s">
        <v>580</v>
      </c>
      <c r="C87" s="155" t="s">
        <v>425</v>
      </c>
      <c r="D87" s="124" t="s">
        <v>147</v>
      </c>
      <c r="E87" s="124" t="s">
        <v>216</v>
      </c>
      <c r="F87" s="129" t="s">
        <v>573</v>
      </c>
      <c r="G87" s="26" t="s">
        <v>641</v>
      </c>
      <c r="H87" s="9">
        <v>70000</v>
      </c>
      <c r="I87" s="8">
        <f>H87*2.87%</f>
        <v>2009</v>
      </c>
      <c r="J87" s="8">
        <f>+H87*3.04%</f>
        <v>2128</v>
      </c>
      <c r="K87" s="8"/>
      <c r="L87" s="8">
        <f t="shared" si="25"/>
        <v>4137</v>
      </c>
      <c r="M87" s="8">
        <f t="shared" si="26"/>
        <v>65863</v>
      </c>
      <c r="N87" s="8">
        <f>+IF(M87*12&lt;=416220.01,0,IF(M87*12&lt;=624329.01,(((M87*12-416220.01)*0.15)/12),IF((M87*12&lt;=867123.01),(31216+0.2*(M87*12-624329.01))/12,((79776+0.25*(M87*12-867123.01))/12))))-O87</f>
        <v>-1.6666666670062114E-4</v>
      </c>
      <c r="O87" s="8">
        <v>5368.45</v>
      </c>
      <c r="P87" s="9">
        <v>25</v>
      </c>
      <c r="Q87" s="8">
        <f>+P87+N87+L87</f>
        <v>4161.9998333333333</v>
      </c>
      <c r="R87" s="9">
        <f>+H87-Q87</f>
        <v>65838.000166666665</v>
      </c>
    </row>
    <row r="88" spans="1:19" s="6" customFormat="1" ht="26.25" customHeight="1" x14ac:dyDescent="0.2">
      <c r="A88" s="282" t="s">
        <v>125</v>
      </c>
      <c r="B88" s="283"/>
      <c r="C88" s="245"/>
      <c r="D88" s="245"/>
      <c r="E88" s="245"/>
      <c r="F88" s="245"/>
      <c r="G88" s="245"/>
      <c r="H88" s="16">
        <f>SUM(H87)</f>
        <v>70000</v>
      </c>
      <c r="I88" s="16">
        <f t="shared" ref="I88:R88" si="30">SUM(I87)</f>
        <v>2009</v>
      </c>
      <c r="J88" s="16">
        <f t="shared" si="30"/>
        <v>2128</v>
      </c>
      <c r="K88" s="16">
        <f t="shared" si="30"/>
        <v>0</v>
      </c>
      <c r="L88" s="16">
        <f t="shared" si="30"/>
        <v>4137</v>
      </c>
      <c r="M88" s="16">
        <f t="shared" si="30"/>
        <v>65863</v>
      </c>
      <c r="N88" s="16">
        <f t="shared" si="30"/>
        <v>-1.6666666670062114E-4</v>
      </c>
      <c r="O88" s="16">
        <f t="shared" si="30"/>
        <v>5368.45</v>
      </c>
      <c r="P88" s="16">
        <f t="shared" si="30"/>
        <v>25</v>
      </c>
      <c r="Q88" s="16">
        <f t="shared" si="30"/>
        <v>4161.9998333333333</v>
      </c>
      <c r="R88" s="16">
        <f t="shared" si="30"/>
        <v>65838.000166666665</v>
      </c>
    </row>
    <row r="89" spans="1:19" s="6" customFormat="1" ht="24.75" customHeight="1" thickBot="1" x14ac:dyDescent="0.25">
      <c r="A89" s="64"/>
      <c r="B89" s="64"/>
      <c r="C89" s="64"/>
      <c r="D89" s="64"/>
      <c r="E89" s="64"/>
      <c r="F89" s="64"/>
      <c r="G89" s="64"/>
    </row>
    <row r="90" spans="1:19" customFormat="1" ht="34.5" customHeight="1" thickBot="1" x14ac:dyDescent="0.25">
      <c r="A90" s="273" t="s">
        <v>169</v>
      </c>
      <c r="B90" s="244"/>
      <c r="C90" s="244"/>
      <c r="D90" s="244"/>
      <c r="E90" s="244"/>
      <c r="F90" s="244"/>
      <c r="G90" s="244"/>
      <c r="H90" s="244"/>
      <c r="I90" s="244"/>
      <c r="J90" s="244"/>
      <c r="K90" s="244"/>
      <c r="L90" s="244"/>
      <c r="M90" s="244"/>
      <c r="N90" s="244"/>
      <c r="O90" s="244"/>
      <c r="P90" s="244"/>
      <c r="Q90" s="244"/>
      <c r="R90" s="244"/>
      <c r="S90" s="217"/>
    </row>
    <row r="91" spans="1:19" s="6" customFormat="1" ht="24.75" customHeight="1" x14ac:dyDescent="0.2">
      <c r="A91" s="12">
        <f>+A87+1</f>
        <v>32</v>
      </c>
      <c r="B91" s="5" t="s">
        <v>677</v>
      </c>
      <c r="C91" s="155" t="s">
        <v>425</v>
      </c>
      <c r="D91" s="124" t="s">
        <v>147</v>
      </c>
      <c r="E91" s="124" t="s">
        <v>216</v>
      </c>
      <c r="F91" s="129" t="s">
        <v>587</v>
      </c>
      <c r="G91" s="26" t="s">
        <v>646</v>
      </c>
      <c r="H91" s="9">
        <v>70000</v>
      </c>
      <c r="I91" s="8">
        <f>H91*2.87%</f>
        <v>2009</v>
      </c>
      <c r="J91" s="8">
        <f>+H91*3.04%</f>
        <v>2128</v>
      </c>
      <c r="K91" s="8"/>
      <c r="L91" s="8">
        <f t="shared" ref="L91" si="31">+J91+I91+K91</f>
        <v>4137</v>
      </c>
      <c r="M91" s="8">
        <f t="shared" ref="M91" si="32">+H91-L91</f>
        <v>65863</v>
      </c>
      <c r="N91" s="8">
        <f>+IF(M91*12&lt;=416220.01,0,IF(M91*12&lt;=624329.01,(((M91*12-416220.01)*0.15)/12),IF((M91*12&lt;=867123.01),(31216+0.2*(M91*12-624329.01))/12,((79776+0.25*(M91*12-867123.01))/12))))-O91</f>
        <v>5368.4498333333331</v>
      </c>
      <c r="O91" s="8"/>
      <c r="P91" s="9">
        <v>25</v>
      </c>
      <c r="Q91" s="8">
        <f>+P91+N91+L91</f>
        <v>9530.4498333333322</v>
      </c>
      <c r="R91" s="9">
        <f>+H91-Q91</f>
        <v>60469.550166666668</v>
      </c>
    </row>
    <row r="92" spans="1:19" s="6" customFormat="1" ht="24.75" customHeight="1" x14ac:dyDescent="0.2">
      <c r="A92" s="282" t="s">
        <v>125</v>
      </c>
      <c r="B92" s="283"/>
      <c r="C92" s="245"/>
      <c r="D92" s="245"/>
      <c r="E92" s="245"/>
      <c r="F92" s="245"/>
      <c r="G92" s="245"/>
      <c r="H92" s="16">
        <f>SUM(H91)</f>
        <v>70000</v>
      </c>
      <c r="I92" s="16">
        <f t="shared" ref="I92:R92" si="33">SUM(I91)</f>
        <v>2009</v>
      </c>
      <c r="J92" s="16">
        <f t="shared" si="33"/>
        <v>2128</v>
      </c>
      <c r="K92" s="16">
        <f t="shared" si="33"/>
        <v>0</v>
      </c>
      <c r="L92" s="16">
        <f t="shared" si="33"/>
        <v>4137</v>
      </c>
      <c r="M92" s="16">
        <f t="shared" si="33"/>
        <v>65863</v>
      </c>
      <c r="N92" s="16">
        <f t="shared" si="33"/>
        <v>5368.4498333333331</v>
      </c>
      <c r="O92" s="16">
        <f t="shared" si="33"/>
        <v>0</v>
      </c>
      <c r="P92" s="16">
        <f t="shared" si="33"/>
        <v>25</v>
      </c>
      <c r="Q92" s="16">
        <f t="shared" si="33"/>
        <v>9530.4498333333322</v>
      </c>
      <c r="R92" s="16">
        <f t="shared" si="33"/>
        <v>60469.550166666668</v>
      </c>
    </row>
    <row r="93" spans="1:19" s="6" customFormat="1" ht="24.75" customHeight="1" thickBot="1" x14ac:dyDescent="0.25">
      <c r="A93" s="64"/>
      <c r="B93" s="64"/>
      <c r="C93" s="64"/>
      <c r="D93" s="64"/>
      <c r="E93" s="64"/>
      <c r="F93" s="64"/>
      <c r="G93" s="64"/>
    </row>
    <row r="94" spans="1:19" customFormat="1" ht="34.5" customHeight="1" thickBot="1" x14ac:dyDescent="0.25">
      <c r="A94" s="243" t="s">
        <v>172</v>
      </c>
      <c r="B94" s="244"/>
      <c r="C94" s="244"/>
      <c r="D94" s="244"/>
      <c r="E94" s="244"/>
      <c r="F94" s="244"/>
      <c r="G94" s="244"/>
      <c r="H94" s="244"/>
      <c r="I94" s="244"/>
      <c r="J94" s="244"/>
      <c r="K94" s="244"/>
      <c r="L94" s="244"/>
      <c r="M94" s="244"/>
      <c r="N94" s="244"/>
      <c r="O94" s="244"/>
      <c r="P94" s="244"/>
      <c r="Q94" s="244"/>
      <c r="R94" s="244"/>
      <c r="S94" s="217"/>
    </row>
    <row r="95" spans="1:19" customFormat="1" ht="34.5" customHeight="1" x14ac:dyDescent="0.2">
      <c r="A95" s="12">
        <f>+A91+1</f>
        <v>33</v>
      </c>
      <c r="B95" s="61" t="s">
        <v>137</v>
      </c>
      <c r="C95" s="155" t="s">
        <v>425</v>
      </c>
      <c r="D95" s="125" t="s">
        <v>204</v>
      </c>
      <c r="E95" s="124" t="s">
        <v>216</v>
      </c>
      <c r="F95" s="26" t="s">
        <v>557</v>
      </c>
      <c r="G95" s="26" t="s">
        <v>648</v>
      </c>
      <c r="H95" s="10">
        <v>135000</v>
      </c>
      <c r="I95" s="8">
        <f>H95*2.87%</f>
        <v>3874.5</v>
      </c>
      <c r="J95" s="8">
        <f>+H95*3.04%</f>
        <v>4104</v>
      </c>
      <c r="K95" s="8">
        <v>1577.45</v>
      </c>
      <c r="L95" s="8">
        <f t="shared" si="25"/>
        <v>9555.9500000000007</v>
      </c>
      <c r="M95" s="8">
        <f t="shared" si="26"/>
        <v>125444.05</v>
      </c>
      <c r="N95" s="8">
        <f>+IF(M95*12&lt;=416220.01,0,IF(M95*12&lt;=624329.01,(((M95*12-416220.01)*0.15)/12),IF((M95*12&lt;=867123.01),(31216+0.2*(M95*12-624329.01))/12,((79776+0.25*(M95*12-867123.01))/12))))</f>
        <v>19943.94979166667</v>
      </c>
      <c r="O95" s="8"/>
      <c r="P95" s="9">
        <v>8164.84</v>
      </c>
      <c r="Q95" s="8">
        <f>+P95+N95+L95</f>
        <v>37664.739791666667</v>
      </c>
      <c r="R95" s="9">
        <f>+H95-Q95</f>
        <v>97335.260208333333</v>
      </c>
      <c r="S95" s="217"/>
    </row>
    <row r="96" spans="1:19" s="6" customFormat="1" ht="24" customHeight="1" x14ac:dyDescent="0.2">
      <c r="A96" s="12">
        <f>+A95+1</f>
        <v>34</v>
      </c>
      <c r="B96" s="61" t="s">
        <v>219</v>
      </c>
      <c r="C96" s="155" t="s">
        <v>426</v>
      </c>
      <c r="D96" s="124" t="s">
        <v>147</v>
      </c>
      <c r="E96" s="124" t="s">
        <v>216</v>
      </c>
      <c r="F96" s="126" t="s">
        <v>542</v>
      </c>
      <c r="G96" s="126" t="s">
        <v>640</v>
      </c>
      <c r="H96" s="10">
        <v>90000</v>
      </c>
      <c r="I96" s="8">
        <f>H96*2.87%</f>
        <v>2583</v>
      </c>
      <c r="J96" s="8">
        <f>+H96*3.04%</f>
        <v>2736</v>
      </c>
      <c r="K96" s="8">
        <v>1577.45</v>
      </c>
      <c r="L96" s="8">
        <f t="shared" si="25"/>
        <v>6896.45</v>
      </c>
      <c r="M96" s="8">
        <f t="shared" si="26"/>
        <v>83103.55</v>
      </c>
      <c r="N96" s="8">
        <f>+IF(M96*12&lt;=416220.01,0,IF(M96*12&lt;=624329.01,(((M96*12-416220.01)*0.15)/12),IF((M96*12&lt;=867123.01),(31216+0.2*(M96*12-624329.01))/12,((79776+0.25*(M96*12-867123.01))/12))))-O96</f>
        <v>9358.8247916666678</v>
      </c>
      <c r="O96" s="8"/>
      <c r="P96" s="9">
        <v>2525</v>
      </c>
      <c r="Q96" s="8">
        <f>+P96+N96+L96</f>
        <v>18780.274791666667</v>
      </c>
      <c r="R96" s="9">
        <f>+H96-Q96</f>
        <v>71219.72520833333</v>
      </c>
    </row>
    <row r="97" spans="1:19" s="2" customFormat="1" ht="22.5" customHeight="1" x14ac:dyDescent="0.2">
      <c r="A97" s="282" t="s">
        <v>125</v>
      </c>
      <c r="B97" s="283"/>
      <c r="C97" s="245"/>
      <c r="D97" s="245"/>
      <c r="E97" s="245"/>
      <c r="F97" s="245"/>
      <c r="G97" s="245"/>
      <c r="H97" s="16">
        <f>SUM(H95:H96)</f>
        <v>225000</v>
      </c>
      <c r="I97" s="16">
        <f t="shared" ref="I97:R97" si="34">SUM(I95:I96)</f>
        <v>6457.5</v>
      </c>
      <c r="J97" s="16">
        <f t="shared" si="34"/>
        <v>6840</v>
      </c>
      <c r="K97" s="16">
        <f t="shared" si="34"/>
        <v>3154.9</v>
      </c>
      <c r="L97" s="16">
        <f t="shared" si="34"/>
        <v>16452.400000000001</v>
      </c>
      <c r="M97" s="16">
        <f t="shared" si="34"/>
        <v>208547.6</v>
      </c>
      <c r="N97" s="16">
        <f t="shared" si="34"/>
        <v>29302.774583333339</v>
      </c>
      <c r="O97" s="16">
        <f t="shared" si="34"/>
        <v>0</v>
      </c>
      <c r="P97" s="16">
        <f t="shared" si="34"/>
        <v>10689.84</v>
      </c>
      <c r="Q97" s="16">
        <f t="shared" si="34"/>
        <v>56445.014583333337</v>
      </c>
      <c r="R97" s="16">
        <f t="shared" si="34"/>
        <v>168554.98541666666</v>
      </c>
    </row>
    <row r="98" spans="1:19" s="2" customFormat="1" ht="21" customHeight="1" thickBot="1" x14ac:dyDescent="0.25">
      <c r="A98" s="64"/>
      <c r="B98" s="64"/>
      <c r="C98" s="64"/>
      <c r="D98" s="64"/>
      <c r="E98" s="64"/>
      <c r="F98" s="64"/>
      <c r="G98" s="64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</row>
    <row r="99" spans="1:19" customFormat="1" ht="34.5" customHeight="1" thickBot="1" x14ac:dyDescent="0.25">
      <c r="A99" s="243" t="s">
        <v>174</v>
      </c>
      <c r="B99" s="244"/>
      <c r="C99" s="244"/>
      <c r="D99" s="244"/>
      <c r="E99" s="244"/>
      <c r="F99" s="244"/>
      <c r="G99" s="244"/>
      <c r="H99" s="244"/>
      <c r="I99" s="244"/>
      <c r="J99" s="244"/>
      <c r="K99" s="244"/>
      <c r="L99" s="244"/>
      <c r="M99" s="244"/>
      <c r="N99" s="244"/>
      <c r="O99" s="244"/>
      <c r="P99" s="244"/>
      <c r="Q99" s="244"/>
      <c r="R99" s="244"/>
      <c r="S99" s="217"/>
    </row>
    <row r="100" spans="1:19" customFormat="1" ht="34.5" customHeight="1" x14ac:dyDescent="0.2">
      <c r="A100" s="12">
        <f>+A96+1</f>
        <v>35</v>
      </c>
      <c r="B100" s="61" t="s">
        <v>658</v>
      </c>
      <c r="C100" s="155" t="s">
        <v>426</v>
      </c>
      <c r="D100" s="125" t="s">
        <v>51</v>
      </c>
      <c r="E100" s="124" t="s">
        <v>216</v>
      </c>
      <c r="F100" s="26" t="s">
        <v>582</v>
      </c>
      <c r="G100" s="26" t="s">
        <v>659</v>
      </c>
      <c r="H100" s="10">
        <v>70000</v>
      </c>
      <c r="I100" s="8">
        <f>H100*2.87%</f>
        <v>2009</v>
      </c>
      <c r="J100" s="8">
        <f>+H100*3.04%</f>
        <v>2128</v>
      </c>
      <c r="K100" s="8"/>
      <c r="L100" s="8">
        <f t="shared" ref="L100" si="35">+J100+I100+K100</f>
        <v>4137</v>
      </c>
      <c r="M100" s="8">
        <f t="shared" ref="M100" si="36">+H100-L100</f>
        <v>65863</v>
      </c>
      <c r="N100" s="8">
        <f>+IF(M100*12&lt;=416220.01,0,IF(M100*12&lt;=624329.01,(((M100*12-416220.01)*0.15)/12),IF((M100*12&lt;=867123.01),(31216+0.2*(M100*12-624329.01))/12,((79776+0.25*(M100*12-867123.01))/12))))</f>
        <v>5368.4498333333331</v>
      </c>
      <c r="O100" s="8"/>
      <c r="P100" s="9">
        <v>145</v>
      </c>
      <c r="Q100" s="8">
        <f>+P100+N100+L100</f>
        <v>9650.4498333333322</v>
      </c>
      <c r="R100" s="9">
        <f>+H100-Q100</f>
        <v>60349.550166666668</v>
      </c>
      <c r="S100" s="217"/>
    </row>
    <row r="101" spans="1:19" s="2" customFormat="1" ht="22.5" customHeight="1" x14ac:dyDescent="0.2">
      <c r="A101" s="282" t="s">
        <v>125</v>
      </c>
      <c r="B101" s="283"/>
      <c r="C101" s="245"/>
      <c r="D101" s="245"/>
      <c r="E101" s="245"/>
      <c r="F101" s="245"/>
      <c r="G101" s="245"/>
      <c r="H101" s="16">
        <f>SUM(H100:H100)</f>
        <v>70000</v>
      </c>
      <c r="I101" s="16">
        <f t="shared" ref="H101:R101" si="37">SUM(I100:I100)</f>
        <v>2009</v>
      </c>
      <c r="J101" s="16">
        <f t="shared" si="37"/>
        <v>2128</v>
      </c>
      <c r="K101" s="16">
        <f t="shared" si="37"/>
        <v>0</v>
      </c>
      <c r="L101" s="16">
        <f t="shared" si="37"/>
        <v>4137</v>
      </c>
      <c r="M101" s="16">
        <f t="shared" si="37"/>
        <v>65863</v>
      </c>
      <c r="N101" s="16">
        <f t="shared" si="37"/>
        <v>5368.4498333333331</v>
      </c>
      <c r="O101" s="16">
        <f t="shared" si="37"/>
        <v>0</v>
      </c>
      <c r="P101" s="16">
        <f t="shared" si="37"/>
        <v>145</v>
      </c>
      <c r="Q101" s="16">
        <f t="shared" si="37"/>
        <v>9650.4498333333322</v>
      </c>
      <c r="R101" s="16">
        <f t="shared" si="37"/>
        <v>60349.550166666668</v>
      </c>
    </row>
    <row r="102" spans="1:19" s="2" customFormat="1" ht="21" customHeight="1" thickBot="1" x14ac:dyDescent="0.25">
      <c r="A102" s="64"/>
      <c r="B102" s="64"/>
      <c r="C102" s="64"/>
      <c r="D102" s="64"/>
      <c r="E102" s="64"/>
      <c r="F102" s="64"/>
      <c r="G102" s="64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</row>
    <row r="103" spans="1:19" s="2" customFormat="1" ht="28.5" customHeight="1" thickBot="1" x14ac:dyDescent="0.25">
      <c r="A103" s="243" t="s">
        <v>474</v>
      </c>
      <c r="B103" s="244"/>
      <c r="C103" s="244"/>
      <c r="D103" s="244"/>
      <c r="E103" s="244"/>
      <c r="F103" s="244"/>
      <c r="G103" s="244"/>
      <c r="H103" s="244"/>
      <c r="I103" s="244"/>
      <c r="J103" s="244"/>
      <c r="K103" s="244"/>
      <c r="L103" s="244"/>
      <c r="M103" s="244"/>
      <c r="N103" s="244"/>
      <c r="O103" s="244"/>
      <c r="P103" s="244"/>
      <c r="Q103" s="244"/>
      <c r="R103" s="244"/>
    </row>
    <row r="104" spans="1:19" s="2" customFormat="1" ht="32.25" customHeight="1" thickBot="1" x14ac:dyDescent="0.25">
      <c r="A104" s="243" t="s">
        <v>475</v>
      </c>
      <c r="B104" s="244"/>
      <c r="C104" s="244"/>
      <c r="D104" s="244"/>
      <c r="E104" s="244"/>
      <c r="F104" s="244"/>
      <c r="G104" s="244"/>
      <c r="H104" s="244"/>
      <c r="I104" s="244"/>
      <c r="J104" s="244"/>
      <c r="K104" s="244"/>
      <c r="L104" s="244"/>
      <c r="M104" s="244"/>
      <c r="N104" s="244"/>
      <c r="O104" s="244"/>
      <c r="P104" s="244"/>
      <c r="Q104" s="244"/>
      <c r="R104" s="244"/>
    </row>
    <row r="105" spans="1:19" s="2" customFormat="1" ht="33" customHeight="1" x14ac:dyDescent="0.2">
      <c r="A105" s="12">
        <f>+A100+1</f>
        <v>36</v>
      </c>
      <c r="B105" s="200" t="s">
        <v>497</v>
      </c>
      <c r="C105" s="201" t="s">
        <v>425</v>
      </c>
      <c r="D105" s="105" t="s">
        <v>522</v>
      </c>
      <c r="E105" s="105" t="s">
        <v>216</v>
      </c>
      <c r="F105" s="106" t="s">
        <v>557</v>
      </c>
      <c r="G105" s="106" t="s">
        <v>648</v>
      </c>
      <c r="H105" s="107">
        <v>170000</v>
      </c>
      <c r="I105" s="108">
        <f>H105*2.87%</f>
        <v>4879</v>
      </c>
      <c r="J105" s="8">
        <f>+H105*3.04%</f>
        <v>5168</v>
      </c>
      <c r="K105" s="108"/>
      <c r="L105" s="8">
        <f t="shared" si="25"/>
        <v>10047</v>
      </c>
      <c r="M105" s="8">
        <f t="shared" si="26"/>
        <v>159953</v>
      </c>
      <c r="N105" s="8">
        <f>+IF(M105*12&lt;=416220.01,0,IF(M105*12&lt;=624329.01,(((M105*12-416220.01)*0.15)/12),IF((M105*12&lt;=867123.01),(31216+0.2*(M105*12-624329.01))/12,((79776+0.25*(M105*12-867123.01))/12))))-O105</f>
        <v>28571.187291666665</v>
      </c>
      <c r="O105" s="8"/>
      <c r="P105" s="107">
        <v>25</v>
      </c>
      <c r="Q105" s="8">
        <f>+P105+N105+L105</f>
        <v>38643.187291666662</v>
      </c>
      <c r="R105" s="107">
        <f>+H105-Q105</f>
        <v>131356.81270833334</v>
      </c>
    </row>
    <row r="106" spans="1:19" s="2" customFormat="1" ht="33" customHeight="1" x14ac:dyDescent="0.2">
      <c r="A106" s="12">
        <f>+A105+1</f>
        <v>37</v>
      </c>
      <c r="B106" s="8" t="s">
        <v>372</v>
      </c>
      <c r="C106" s="155" t="s">
        <v>425</v>
      </c>
      <c r="D106" s="124" t="s">
        <v>473</v>
      </c>
      <c r="E106" s="124" t="s">
        <v>216</v>
      </c>
      <c r="F106" s="106" t="s">
        <v>558</v>
      </c>
      <c r="G106" s="106" t="s">
        <v>648</v>
      </c>
      <c r="H106" s="9">
        <v>150000</v>
      </c>
      <c r="I106" s="108">
        <f>H106*2.87%</f>
        <v>4305</v>
      </c>
      <c r="J106" s="8">
        <f>+H106*3.04%</f>
        <v>4560</v>
      </c>
      <c r="K106" s="8"/>
      <c r="L106" s="8">
        <f t="shared" si="25"/>
        <v>8865</v>
      </c>
      <c r="M106" s="8">
        <f t="shared" si="26"/>
        <v>141135</v>
      </c>
      <c r="N106" s="8">
        <f t="shared" ref="N106:N107" si="38">+IF(M106*12&lt;=416220.01,0,IF(M106*12&lt;=624329.01,(((M106*12-416220.01)*0.15)/12),IF((M106*12&lt;=867123.01),(31216+0.2*(M106*12-624329.01))/12,((79776+0.25*(M106*12-867123.01))/12))))-O106</f>
        <v>23866.687291666665</v>
      </c>
      <c r="O106" s="8"/>
      <c r="P106" s="107">
        <v>25</v>
      </c>
      <c r="Q106" s="8">
        <f>+P106+N106+L106</f>
        <v>32756.687291666665</v>
      </c>
      <c r="R106" s="107">
        <f>+H106-Q106</f>
        <v>117243.31270833334</v>
      </c>
    </row>
    <row r="107" spans="1:19" s="2" customFormat="1" ht="33" customHeight="1" x14ac:dyDescent="0.2">
      <c r="A107" s="12">
        <f>+A106+1</f>
        <v>38</v>
      </c>
      <c r="B107" s="8" t="s">
        <v>575</v>
      </c>
      <c r="C107" s="155" t="s">
        <v>426</v>
      </c>
      <c r="D107" s="124" t="s">
        <v>576</v>
      </c>
      <c r="E107" s="124" t="s">
        <v>216</v>
      </c>
      <c r="F107" s="106" t="s">
        <v>573</v>
      </c>
      <c r="G107" s="106" t="s">
        <v>641</v>
      </c>
      <c r="H107" s="9">
        <v>90000</v>
      </c>
      <c r="I107" s="108">
        <f>H107*2.87%</f>
        <v>2583</v>
      </c>
      <c r="J107" s="8">
        <f>+H107*3.04%</f>
        <v>2736</v>
      </c>
      <c r="K107" s="8"/>
      <c r="L107" s="8">
        <f t="shared" si="25"/>
        <v>5319</v>
      </c>
      <c r="M107" s="8">
        <f t="shared" si="26"/>
        <v>84681</v>
      </c>
      <c r="N107" s="8">
        <f t="shared" si="38"/>
        <v>-2.7083333334303461E-3</v>
      </c>
      <c r="O107" s="8">
        <v>9753.19</v>
      </c>
      <c r="P107" s="107">
        <v>25</v>
      </c>
      <c r="Q107" s="8">
        <f>+P107+N107+L107</f>
        <v>5343.9972916666666</v>
      </c>
      <c r="R107" s="107">
        <f>+H107-Q107</f>
        <v>84656.002708333341</v>
      </c>
    </row>
    <row r="108" spans="1:19" s="2" customFormat="1" ht="22.5" customHeight="1" x14ac:dyDescent="0.2">
      <c r="A108" s="282" t="s">
        <v>125</v>
      </c>
      <c r="B108" s="283"/>
      <c r="C108" s="245"/>
      <c r="D108" s="245"/>
      <c r="E108" s="245"/>
      <c r="F108" s="245"/>
      <c r="G108" s="245"/>
      <c r="H108" s="16">
        <f>SUM(H105:H107)</f>
        <v>410000</v>
      </c>
      <c r="I108" s="16">
        <f t="shared" ref="I108:R108" si="39">SUM(I105:I107)</f>
        <v>11767</v>
      </c>
      <c r="J108" s="16">
        <f t="shared" si="39"/>
        <v>12464</v>
      </c>
      <c r="K108" s="16">
        <f t="shared" si="39"/>
        <v>0</v>
      </c>
      <c r="L108" s="16">
        <f t="shared" si="39"/>
        <v>24231</v>
      </c>
      <c r="M108" s="16">
        <f t="shared" si="39"/>
        <v>385769</v>
      </c>
      <c r="N108" s="16">
        <f t="shared" si="39"/>
        <v>52437.871874999997</v>
      </c>
      <c r="O108" s="16"/>
      <c r="P108" s="16">
        <f t="shared" si="39"/>
        <v>75</v>
      </c>
      <c r="Q108" s="16">
        <f t="shared" si="39"/>
        <v>76743.871874999983</v>
      </c>
      <c r="R108" s="16">
        <f t="shared" si="39"/>
        <v>333256.12812500005</v>
      </c>
    </row>
    <row r="109" spans="1:19" s="2" customFormat="1" ht="29.25" customHeight="1" thickBot="1" x14ac:dyDescent="0.25">
      <c r="A109" s="64"/>
      <c r="B109" s="64"/>
      <c r="C109" s="64"/>
      <c r="D109" s="64"/>
      <c r="E109" s="64"/>
      <c r="F109" s="64"/>
      <c r="G109" s="64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</row>
    <row r="110" spans="1:19" s="2" customFormat="1" ht="22.5" customHeight="1" thickBot="1" x14ac:dyDescent="0.25">
      <c r="A110" s="243" t="s">
        <v>384</v>
      </c>
      <c r="B110" s="244"/>
      <c r="C110" s="244"/>
      <c r="D110" s="244"/>
      <c r="E110" s="244"/>
      <c r="F110" s="244"/>
      <c r="G110" s="244"/>
      <c r="H110" s="244"/>
      <c r="I110" s="244"/>
      <c r="J110" s="244"/>
      <c r="K110" s="244"/>
      <c r="L110" s="244"/>
      <c r="M110" s="244"/>
      <c r="N110" s="244"/>
      <c r="O110" s="244"/>
      <c r="P110" s="244"/>
      <c r="Q110" s="244"/>
      <c r="R110" s="244"/>
    </row>
    <row r="111" spans="1:19" s="2" customFormat="1" ht="28.5" customHeight="1" x14ac:dyDescent="0.2">
      <c r="A111" s="104">
        <f>+A107+1</f>
        <v>39</v>
      </c>
      <c r="B111" s="106" t="s">
        <v>526</v>
      </c>
      <c r="C111" s="104" t="s">
        <v>426</v>
      </c>
      <c r="D111" s="106" t="s">
        <v>132</v>
      </c>
      <c r="E111" s="105" t="s">
        <v>216</v>
      </c>
      <c r="F111" s="26" t="s">
        <v>582</v>
      </c>
      <c r="G111" s="26" t="s">
        <v>649</v>
      </c>
      <c r="H111" s="8">
        <v>50000</v>
      </c>
      <c r="I111" s="108">
        <f>H111*2.87%</f>
        <v>1435</v>
      </c>
      <c r="J111" s="108">
        <f>+H111*3.04%</f>
        <v>1520</v>
      </c>
      <c r="K111" s="108"/>
      <c r="L111" s="8">
        <f t="shared" si="25"/>
        <v>2955</v>
      </c>
      <c r="M111" s="8">
        <f t="shared" si="26"/>
        <v>47045</v>
      </c>
      <c r="N111" s="8">
        <f>+IF(M111*12&lt;=416220.01,0,IF(M111*12&lt;=624329.01,(((M111*12-416220.01)*0.15)/12),IF((M111*12&lt;=867123.01),(31216+0.2*(M111*12-624329.01))/12,((79776+0.25*(M111*12-867123.01))/12))))</f>
        <v>1853.9998749999997</v>
      </c>
      <c r="O111" s="8"/>
      <c r="P111" s="107">
        <v>25</v>
      </c>
      <c r="Q111" s="8">
        <f>+P111+N111+L111</f>
        <v>4833.9998749999995</v>
      </c>
      <c r="R111" s="107">
        <f>+H111-Q111</f>
        <v>45166.000124999999</v>
      </c>
    </row>
    <row r="112" spans="1:19" s="2" customFormat="1" ht="29.25" customHeight="1" x14ac:dyDescent="0.2">
      <c r="A112" s="282" t="s">
        <v>125</v>
      </c>
      <c r="B112" s="283"/>
      <c r="C112" s="245"/>
      <c r="D112" s="245"/>
      <c r="E112" s="245"/>
      <c r="F112" s="245"/>
      <c r="G112" s="245"/>
      <c r="H112" s="16">
        <f>SUM(H111:H111)</f>
        <v>50000</v>
      </c>
      <c r="I112" s="16">
        <f t="shared" ref="I112:R112" si="40">SUM(I111:I111)</f>
        <v>1435</v>
      </c>
      <c r="J112" s="16">
        <f t="shared" si="40"/>
        <v>1520</v>
      </c>
      <c r="K112" s="16">
        <f t="shared" si="40"/>
        <v>0</v>
      </c>
      <c r="L112" s="16">
        <f t="shared" si="40"/>
        <v>2955</v>
      </c>
      <c r="M112" s="16">
        <f t="shared" si="40"/>
        <v>47045</v>
      </c>
      <c r="N112" s="16">
        <f t="shared" si="40"/>
        <v>1853.9998749999997</v>
      </c>
      <c r="O112" s="16"/>
      <c r="P112" s="16">
        <f t="shared" si="40"/>
        <v>25</v>
      </c>
      <c r="Q112" s="16">
        <f t="shared" si="40"/>
        <v>4833.9998749999995</v>
      </c>
      <c r="R112" s="16">
        <f t="shared" si="40"/>
        <v>45166.000124999999</v>
      </c>
    </row>
    <row r="113" spans="1:19" s="70" customFormat="1" ht="29.25" customHeight="1" thickBot="1" x14ac:dyDescent="0.25">
      <c r="A113" s="212"/>
      <c r="B113" s="212"/>
      <c r="C113" s="212"/>
      <c r="D113" s="212"/>
      <c r="E113" s="212"/>
      <c r="F113" s="212"/>
      <c r="G113" s="212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2"/>
    </row>
    <row r="114" spans="1:19" s="80" customFormat="1" ht="24.95" customHeight="1" thickBot="1" x14ac:dyDescent="0.25">
      <c r="A114" s="243" t="s">
        <v>384</v>
      </c>
      <c r="B114" s="244"/>
      <c r="C114" s="244"/>
      <c r="D114" s="244"/>
      <c r="E114" s="244"/>
      <c r="F114" s="244"/>
      <c r="G114" s="244"/>
      <c r="H114" s="244"/>
      <c r="I114" s="244"/>
      <c r="J114" s="244"/>
      <c r="K114" s="244"/>
      <c r="L114" s="244"/>
      <c r="M114" s="244"/>
      <c r="N114" s="244"/>
      <c r="O114" s="244"/>
      <c r="P114" s="244"/>
      <c r="Q114" s="244"/>
      <c r="R114" s="244"/>
      <c r="S114" s="6"/>
    </row>
    <row r="115" spans="1:19" s="6" customFormat="1" ht="24.75" customHeight="1" x14ac:dyDescent="0.2">
      <c r="A115" s="104">
        <f>+A111+1</f>
        <v>40</v>
      </c>
      <c r="B115" s="26" t="s">
        <v>366</v>
      </c>
      <c r="C115" s="12" t="s">
        <v>426</v>
      </c>
      <c r="D115" s="26" t="s">
        <v>113</v>
      </c>
      <c r="E115" s="124" t="s">
        <v>216</v>
      </c>
      <c r="F115" s="26" t="s">
        <v>559</v>
      </c>
      <c r="G115" s="26" t="s">
        <v>650</v>
      </c>
      <c r="H115" s="8">
        <v>70000</v>
      </c>
      <c r="I115" s="108">
        <f>H115*2.87%</f>
        <v>2009</v>
      </c>
      <c r="J115" s="108">
        <f>+H115*3.04%</f>
        <v>2128</v>
      </c>
      <c r="K115" s="108"/>
      <c r="L115" s="8">
        <f t="shared" si="25"/>
        <v>4137</v>
      </c>
      <c r="M115" s="8">
        <f t="shared" si="26"/>
        <v>65863</v>
      </c>
      <c r="N115" s="8">
        <f>+IF(M115*12&lt;=416220.01,0,IF(M115*12&lt;=624329.01,(((M115*12-416220.01)*0.15)/12),IF((M115*12&lt;=867123.01),(31216+0.2*(M115*12-624329.01))/12,((79776+0.25*(M115*12-867123.01))/12))))-O115</f>
        <v>5368.4498333333331</v>
      </c>
      <c r="O115" s="8"/>
      <c r="P115" s="107">
        <v>1065</v>
      </c>
      <c r="Q115" s="8">
        <f>+P115+N115+L115</f>
        <v>10570.449833333332</v>
      </c>
      <c r="R115" s="107">
        <f>+H115-Q115</f>
        <v>59429.550166666668</v>
      </c>
    </row>
    <row r="116" spans="1:19" s="6" customFormat="1" ht="24.95" customHeight="1" x14ac:dyDescent="0.2">
      <c r="A116" s="282" t="s">
        <v>125</v>
      </c>
      <c r="B116" s="283"/>
      <c r="C116" s="245"/>
      <c r="D116" s="245"/>
      <c r="E116" s="245"/>
      <c r="F116" s="245"/>
      <c r="G116" s="245"/>
      <c r="H116" s="16">
        <f>SUM(H115:H115)</f>
        <v>70000</v>
      </c>
      <c r="I116" s="16">
        <f t="shared" ref="I116:R116" si="41">SUM(I115:I115)</f>
        <v>2009</v>
      </c>
      <c r="J116" s="16">
        <f t="shared" si="41"/>
        <v>2128</v>
      </c>
      <c r="K116" s="16">
        <f t="shared" si="41"/>
        <v>0</v>
      </c>
      <c r="L116" s="16">
        <f t="shared" si="41"/>
        <v>4137</v>
      </c>
      <c r="M116" s="16">
        <f t="shared" si="41"/>
        <v>65863</v>
      </c>
      <c r="N116" s="16">
        <f t="shared" si="41"/>
        <v>5368.4498333333331</v>
      </c>
      <c r="O116" s="16">
        <f t="shared" si="41"/>
        <v>0</v>
      </c>
      <c r="P116" s="16">
        <f t="shared" si="41"/>
        <v>1065</v>
      </c>
      <c r="Q116" s="16">
        <f t="shared" si="41"/>
        <v>10570.449833333332</v>
      </c>
      <c r="R116" s="16">
        <f t="shared" si="41"/>
        <v>59429.550166666668</v>
      </c>
    </row>
    <row r="117" spans="1:19" s="6" customFormat="1" ht="24.95" customHeight="1" thickBot="1" x14ac:dyDescent="0.25">
      <c r="A117" s="64"/>
      <c r="B117" s="64"/>
      <c r="C117" s="64"/>
      <c r="D117" s="64"/>
      <c r="E117" s="64"/>
      <c r="F117" s="64"/>
      <c r="G117" s="64"/>
    </row>
    <row r="118" spans="1:19" s="6" customFormat="1" ht="24.95" customHeight="1" x14ac:dyDescent="0.2">
      <c r="A118" s="253" t="s">
        <v>510</v>
      </c>
      <c r="B118" s="254"/>
      <c r="C118" s="254"/>
      <c r="D118" s="254"/>
      <c r="E118" s="254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</row>
    <row r="119" spans="1:19" s="6" customFormat="1" ht="24.95" customHeight="1" x14ac:dyDescent="0.2">
      <c r="A119" s="68">
        <f>+A115+1</f>
        <v>41</v>
      </c>
      <c r="B119" s="199" t="s">
        <v>525</v>
      </c>
      <c r="C119" s="68" t="s">
        <v>426</v>
      </c>
      <c r="D119" s="199" t="s">
        <v>93</v>
      </c>
      <c r="E119" s="111" t="s">
        <v>216</v>
      </c>
      <c r="F119" s="26" t="s">
        <v>582</v>
      </c>
      <c r="G119" s="26" t="s">
        <v>649</v>
      </c>
      <c r="H119" s="63">
        <v>90000</v>
      </c>
      <c r="I119" s="63">
        <f>H119*2.87%</f>
        <v>2583</v>
      </c>
      <c r="J119" s="63">
        <f>+H119*3.04%</f>
        <v>2736</v>
      </c>
      <c r="K119" s="63"/>
      <c r="L119" s="5">
        <f t="shared" si="25"/>
        <v>5319</v>
      </c>
      <c r="M119" s="5">
        <f t="shared" si="26"/>
        <v>84681</v>
      </c>
      <c r="N119" s="5">
        <f>+IF(M119*12&lt;=416220.01,0,IF(M119*12&lt;=624329.01,(((M119*12-416220.01)*0.15)/12),IF((M119*12&lt;=867123.01),(31216+0.2*(M119*12-624329.01))/12,((79776+0.25*(M119*12-867123.01))/12))))-O119</f>
        <v>9753.1872916666671</v>
      </c>
      <c r="O119" s="5"/>
      <c r="P119" s="69">
        <v>1025</v>
      </c>
      <c r="Q119" s="5">
        <f>+P119+N119+L119</f>
        <v>16097.187291666667</v>
      </c>
      <c r="R119" s="69">
        <f>+H119-Q119</f>
        <v>73902.812708333338</v>
      </c>
    </row>
    <row r="120" spans="1:19" s="6" customFormat="1" ht="24.95" customHeight="1" x14ac:dyDescent="0.2">
      <c r="A120" s="282" t="s">
        <v>125</v>
      </c>
      <c r="B120" s="283"/>
      <c r="C120" s="245"/>
      <c r="D120" s="245"/>
      <c r="E120" s="245"/>
      <c r="F120" s="245"/>
      <c r="G120" s="245"/>
      <c r="H120" s="16">
        <f>SUM(H119:H119)</f>
        <v>90000</v>
      </c>
      <c r="I120" s="16">
        <f t="shared" ref="H120:R120" si="42">SUM(I119:I119)</f>
        <v>2583</v>
      </c>
      <c r="J120" s="16">
        <f t="shared" si="42"/>
        <v>2736</v>
      </c>
      <c r="K120" s="16">
        <f t="shared" si="42"/>
        <v>0</v>
      </c>
      <c r="L120" s="16">
        <f t="shared" si="42"/>
        <v>5319</v>
      </c>
      <c r="M120" s="16">
        <f t="shared" si="42"/>
        <v>84681</v>
      </c>
      <c r="N120" s="16">
        <f t="shared" si="42"/>
        <v>9753.1872916666671</v>
      </c>
      <c r="O120" s="16">
        <f t="shared" si="42"/>
        <v>0</v>
      </c>
      <c r="P120" s="16">
        <f t="shared" si="42"/>
        <v>1025</v>
      </c>
      <c r="Q120" s="16">
        <f t="shared" si="42"/>
        <v>16097.187291666667</v>
      </c>
      <c r="R120" s="16">
        <f t="shared" si="42"/>
        <v>73902.812708333338</v>
      </c>
    </row>
    <row r="121" spans="1:19" s="6" customFormat="1" ht="24.95" customHeight="1" thickBot="1" x14ac:dyDescent="0.25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</row>
    <row r="122" spans="1:19" s="6" customFormat="1" ht="24.95" customHeight="1" x14ac:dyDescent="0.2">
      <c r="A122" s="253" t="s">
        <v>384</v>
      </c>
      <c r="B122" s="254"/>
      <c r="C122" s="254"/>
      <c r="D122" s="254"/>
      <c r="E122" s="254"/>
      <c r="F122" s="254"/>
      <c r="G122" s="254"/>
      <c r="H122" s="254"/>
      <c r="I122" s="254"/>
      <c r="J122" s="254"/>
      <c r="K122" s="254"/>
      <c r="L122" s="254"/>
      <c r="M122" s="254"/>
      <c r="N122" s="254"/>
      <c r="O122" s="254"/>
      <c r="P122" s="254"/>
      <c r="Q122" s="254"/>
      <c r="R122" s="254"/>
    </row>
    <row r="123" spans="1:19" s="6" customFormat="1" ht="24.95" customHeight="1" x14ac:dyDescent="0.2">
      <c r="A123" s="68">
        <f>+A119+1</f>
        <v>42</v>
      </c>
      <c r="B123" s="129" t="s">
        <v>513</v>
      </c>
      <c r="C123" s="128" t="s">
        <v>426</v>
      </c>
      <c r="D123" s="129" t="s">
        <v>477</v>
      </c>
      <c r="E123" s="127" t="s">
        <v>216</v>
      </c>
      <c r="F123" s="198" t="s">
        <v>560</v>
      </c>
      <c r="G123" s="198" t="s">
        <v>651</v>
      </c>
      <c r="H123" s="5">
        <v>80000</v>
      </c>
      <c r="I123" s="63">
        <f>H123*2.87%</f>
        <v>2296</v>
      </c>
      <c r="J123" s="63">
        <f>+H123*3.04%</f>
        <v>2432</v>
      </c>
      <c r="K123" s="63">
        <v>1577.45</v>
      </c>
      <c r="L123" s="5">
        <f t="shared" si="25"/>
        <v>6305.45</v>
      </c>
      <c r="M123" s="5">
        <f t="shared" si="26"/>
        <v>73694.55</v>
      </c>
      <c r="N123" s="5">
        <f>+IF(M123*12&lt;=416220.01,0,IF(M123*12&lt;=624329.01,(((M123*12-416220.01)*0.15)/12),IF((M123*12&lt;=867123.01),(31216+0.2*(M123*12-624329.01))/12,((79776+0.25*(M123*12-867123.01))/12))))-O123</f>
        <v>7006.5747916666687</v>
      </c>
      <c r="O123" s="5"/>
      <c r="P123" s="69">
        <v>25</v>
      </c>
      <c r="Q123" s="5">
        <f>+P123+N123+L123</f>
        <v>13337.024791666669</v>
      </c>
      <c r="R123" s="69">
        <f>+H123-Q123</f>
        <v>66662.97520833333</v>
      </c>
    </row>
    <row r="124" spans="1:19" s="6" customFormat="1" ht="24.95" customHeight="1" x14ac:dyDescent="0.2">
      <c r="A124" s="68">
        <f>+A123+1</f>
        <v>43</v>
      </c>
      <c r="B124" s="129" t="s">
        <v>476</v>
      </c>
      <c r="C124" s="128" t="s">
        <v>426</v>
      </c>
      <c r="D124" s="129" t="s">
        <v>477</v>
      </c>
      <c r="E124" s="127" t="s">
        <v>216</v>
      </c>
      <c r="F124" s="126" t="s">
        <v>542</v>
      </c>
      <c r="G124" s="126" t="s">
        <v>640</v>
      </c>
      <c r="H124" s="5">
        <v>70000</v>
      </c>
      <c r="I124" s="63">
        <f>H124*2.87%</f>
        <v>2009</v>
      </c>
      <c r="J124" s="63">
        <f>+H124*3.04%</f>
        <v>2128</v>
      </c>
      <c r="K124" s="63">
        <v>1577.45</v>
      </c>
      <c r="L124" s="8">
        <f t="shared" si="25"/>
        <v>5714.45</v>
      </c>
      <c r="M124" s="8">
        <f t="shared" si="26"/>
        <v>64285.55</v>
      </c>
      <c r="N124" s="5">
        <f>+IF(M124*12&lt;=416220.01,0,IF(M124*12&lt;=624329.01,(((M124*12-416220.01)*0.15)/12),IF((M124*12&lt;=867123.01),(31216+0.2*(M124*12-624329.01))/12,((79776+0.25*(M124*12-867123.01))/12))))-O124</f>
        <v>5052.9598333333352</v>
      </c>
      <c r="O124" s="8"/>
      <c r="P124" s="69">
        <v>25</v>
      </c>
      <c r="Q124" s="8">
        <f>+P124+N124+L124</f>
        <v>10792.409833333335</v>
      </c>
      <c r="R124" s="69">
        <f>+H124-Q124</f>
        <v>59207.590166666661</v>
      </c>
    </row>
    <row r="125" spans="1:19" s="6" customFormat="1" ht="24.95" customHeight="1" x14ac:dyDescent="0.2">
      <c r="A125" s="282" t="s">
        <v>125</v>
      </c>
      <c r="B125" s="283"/>
      <c r="C125" s="245"/>
      <c r="D125" s="245"/>
      <c r="E125" s="245"/>
      <c r="F125" s="245"/>
      <c r="G125" s="245"/>
      <c r="H125" s="16">
        <f>SUM(H123:H124)</f>
        <v>150000</v>
      </c>
      <c r="I125" s="16">
        <f t="shared" ref="I125:R125" si="43">SUM(I123:I124)</f>
        <v>4305</v>
      </c>
      <c r="J125" s="16">
        <f t="shared" si="43"/>
        <v>4560</v>
      </c>
      <c r="K125" s="16">
        <f t="shared" si="43"/>
        <v>3154.9</v>
      </c>
      <c r="L125" s="16">
        <f t="shared" si="43"/>
        <v>12019.9</v>
      </c>
      <c r="M125" s="16">
        <f t="shared" si="43"/>
        <v>137980.1</v>
      </c>
      <c r="N125" s="16">
        <f t="shared" si="43"/>
        <v>12059.534625000004</v>
      </c>
      <c r="O125" s="16"/>
      <c r="P125" s="16">
        <f t="shared" si="43"/>
        <v>50</v>
      </c>
      <c r="Q125" s="16">
        <f t="shared" si="43"/>
        <v>24129.434625000002</v>
      </c>
      <c r="R125" s="16">
        <f t="shared" si="43"/>
        <v>125870.56537499999</v>
      </c>
    </row>
    <row r="126" spans="1:19" s="2" customFormat="1" ht="24.95" customHeight="1" thickBot="1" x14ac:dyDescent="0.25">
      <c r="A126" s="64"/>
      <c r="B126" s="64"/>
      <c r="C126" s="64"/>
      <c r="D126" s="64"/>
      <c r="E126" s="64"/>
      <c r="F126" s="64"/>
      <c r="G126" s="64"/>
      <c r="H126"/>
      <c r="I126"/>
      <c r="J126"/>
      <c r="K126"/>
      <c r="L126"/>
      <c r="M126"/>
      <c r="N126"/>
      <c r="O126"/>
      <c r="P126"/>
      <c r="Q126"/>
      <c r="R126"/>
    </row>
    <row r="127" spans="1:19" s="70" customFormat="1" ht="24.95" customHeight="1" thickBot="1" x14ac:dyDescent="0.25">
      <c r="A127" s="243" t="s">
        <v>300</v>
      </c>
      <c r="B127" s="244"/>
      <c r="C127" s="244"/>
      <c r="D127" s="244"/>
      <c r="E127" s="244"/>
      <c r="F127" s="244"/>
      <c r="G127" s="244"/>
      <c r="H127" s="244"/>
      <c r="I127" s="244"/>
      <c r="J127" s="244"/>
      <c r="K127" s="244"/>
      <c r="L127" s="244"/>
      <c r="M127" s="244"/>
      <c r="N127" s="244"/>
      <c r="O127" s="244"/>
      <c r="P127" s="244"/>
      <c r="Q127" s="244"/>
      <c r="R127" s="244"/>
      <c r="S127" s="2"/>
    </row>
    <row r="128" spans="1:19" s="70" customFormat="1" ht="26.25" customHeight="1" x14ac:dyDescent="0.2">
      <c r="A128" s="104">
        <f>+A124+1</f>
        <v>44</v>
      </c>
      <c r="B128" s="26" t="s">
        <v>130</v>
      </c>
      <c r="C128" s="12" t="s">
        <v>425</v>
      </c>
      <c r="D128" s="124" t="s">
        <v>129</v>
      </c>
      <c r="E128" s="124" t="s">
        <v>216</v>
      </c>
      <c r="F128" s="26" t="s">
        <v>569</v>
      </c>
      <c r="G128" s="26" t="s">
        <v>638</v>
      </c>
      <c r="H128" s="9">
        <v>190000</v>
      </c>
      <c r="I128" s="108">
        <f>H128*2.87%</f>
        <v>5453</v>
      </c>
      <c r="J128" s="5">
        <f>187020*3.04%</f>
        <v>5685.4080000000004</v>
      </c>
      <c r="K128" s="5"/>
      <c r="L128" s="8">
        <f t="shared" si="25"/>
        <v>11138.407999999999</v>
      </c>
      <c r="M128" s="8">
        <f t="shared" si="26"/>
        <v>178861.592</v>
      </c>
      <c r="N128" s="8">
        <f>+IF(M128*12&lt;=416220.01,0,IF(M128*12&lt;=624329.01,(((M128*12-416220.01)*0.15)/12),IF((M128*12&lt;=867123.01),(31216+0.2*(M128*12-624329.01))/12,((79776+0.25*(M128*12-867123.01))/12))))-O128</f>
        <v>33298.33529166667</v>
      </c>
      <c r="O128" s="8"/>
      <c r="P128" s="107">
        <v>25</v>
      </c>
      <c r="Q128" s="8">
        <f>+P128+N128+L128</f>
        <v>44461.743291666673</v>
      </c>
      <c r="R128" s="107">
        <f>+H128-Q128</f>
        <v>145538.25670833333</v>
      </c>
      <c r="S128" s="2"/>
    </row>
    <row r="129" spans="1:19" s="70" customFormat="1" ht="24.95" customHeight="1" x14ac:dyDescent="0.2">
      <c r="A129" s="104">
        <f>+A128+1</f>
        <v>45</v>
      </c>
      <c r="B129" s="198" t="s">
        <v>660</v>
      </c>
      <c r="C129" s="68" t="s">
        <v>426</v>
      </c>
      <c r="D129" s="198" t="s">
        <v>532</v>
      </c>
      <c r="E129" s="124" t="s">
        <v>216</v>
      </c>
      <c r="F129" s="26" t="s">
        <v>582</v>
      </c>
      <c r="G129" s="26" t="s">
        <v>659</v>
      </c>
      <c r="H129" s="112">
        <v>45000</v>
      </c>
      <c r="I129" s="5">
        <f t="shared" ref="I129:I130" si="44">H129*2.87%</f>
        <v>1291.5</v>
      </c>
      <c r="J129" s="5">
        <f t="shared" ref="J129:J130" si="45">+H129*3.04%</f>
        <v>1368</v>
      </c>
      <c r="K129" s="5"/>
      <c r="L129" s="8">
        <f t="shared" si="25"/>
        <v>2659.5</v>
      </c>
      <c r="M129" s="8">
        <f t="shared" si="26"/>
        <v>42340.5</v>
      </c>
      <c r="N129" s="8">
        <f t="shared" ref="N129:N130" si="46">+IF(M129*12&lt;=416220.01,0,IF(M129*12&lt;=624329.01,(((M129*12-416220.01)*0.15)/12),IF((M129*12&lt;=867123.01),(31216+0.2*(M129*12-624329.01))/12,((79776+0.25*(M129*12-867123.01))/12))))-O129</f>
        <v>1148.3248749999998</v>
      </c>
      <c r="O129" s="8"/>
      <c r="P129" s="107">
        <v>25</v>
      </c>
      <c r="Q129" s="8">
        <f t="shared" ref="Q129:Q130" si="47">+P129+N129+L129</f>
        <v>3832.8248749999998</v>
      </c>
      <c r="R129" s="107">
        <f t="shared" ref="R129:R130" si="48">H129-Q129</f>
        <v>41167.175125000002</v>
      </c>
      <c r="S129" s="2"/>
    </row>
    <row r="130" spans="1:19" s="70" customFormat="1" ht="24.95" customHeight="1" x14ac:dyDescent="0.2">
      <c r="A130" s="104">
        <f t="shared" ref="A130" si="49">+A129+1</f>
        <v>46</v>
      </c>
      <c r="B130" s="198" t="s">
        <v>661</v>
      </c>
      <c r="C130" s="68" t="s">
        <v>426</v>
      </c>
      <c r="D130" s="198" t="s">
        <v>532</v>
      </c>
      <c r="E130" s="124" t="s">
        <v>216</v>
      </c>
      <c r="F130" s="26" t="s">
        <v>582</v>
      </c>
      <c r="G130" s="26" t="s">
        <v>659</v>
      </c>
      <c r="H130" s="112">
        <v>45000</v>
      </c>
      <c r="I130" s="5">
        <f t="shared" si="44"/>
        <v>1291.5</v>
      </c>
      <c r="J130" s="5">
        <f t="shared" si="45"/>
        <v>1368</v>
      </c>
      <c r="K130" s="5"/>
      <c r="L130" s="8">
        <f t="shared" si="25"/>
        <v>2659.5</v>
      </c>
      <c r="M130" s="8">
        <f t="shared" si="26"/>
        <v>42340.5</v>
      </c>
      <c r="N130" s="8">
        <f t="shared" si="46"/>
        <v>1148.3248749999998</v>
      </c>
      <c r="O130" s="8"/>
      <c r="P130" s="107">
        <v>25</v>
      </c>
      <c r="Q130" s="8">
        <f t="shared" si="47"/>
        <v>3832.8248749999998</v>
      </c>
      <c r="R130" s="107">
        <f t="shared" si="48"/>
        <v>41167.175125000002</v>
      </c>
      <c r="S130" s="2"/>
    </row>
    <row r="131" spans="1:19" s="2" customFormat="1" ht="27" customHeight="1" x14ac:dyDescent="0.2">
      <c r="A131" s="282" t="s">
        <v>125</v>
      </c>
      <c r="B131" s="283"/>
      <c r="C131" s="245"/>
      <c r="D131" s="245"/>
      <c r="E131" s="245"/>
      <c r="F131" s="245"/>
      <c r="G131" s="245"/>
      <c r="H131" s="16">
        <f>SUM(H128:H130)</f>
        <v>280000</v>
      </c>
      <c r="I131" s="16">
        <f t="shared" ref="H131:R131" si="50">SUM(I128:I130)</f>
        <v>8036</v>
      </c>
      <c r="J131" s="16">
        <f t="shared" si="50"/>
        <v>8421.4079999999994</v>
      </c>
      <c r="K131" s="16">
        <f t="shared" si="50"/>
        <v>0</v>
      </c>
      <c r="L131" s="16">
        <f t="shared" si="50"/>
        <v>16457.407999999999</v>
      </c>
      <c r="M131" s="16">
        <f t="shared" si="50"/>
        <v>263542.592</v>
      </c>
      <c r="N131" s="16">
        <f t="shared" si="50"/>
        <v>35594.985041666667</v>
      </c>
      <c r="O131" s="16">
        <f t="shared" si="50"/>
        <v>0</v>
      </c>
      <c r="P131" s="16">
        <f t="shared" si="50"/>
        <v>75</v>
      </c>
      <c r="Q131" s="16">
        <f t="shared" si="50"/>
        <v>52127.39304166667</v>
      </c>
      <c r="R131" s="16">
        <f t="shared" si="50"/>
        <v>227872.60695833334</v>
      </c>
    </row>
    <row r="132" spans="1:19" s="2" customFormat="1" ht="27" customHeight="1" thickBot="1" x14ac:dyDescent="0.25">
      <c r="A132" s="64"/>
      <c r="B132" s="64"/>
      <c r="C132" s="64"/>
      <c r="D132" s="64"/>
      <c r="E132" s="64"/>
      <c r="F132" s="64"/>
      <c r="G132" s="64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</row>
    <row r="133" spans="1:19" s="2" customFormat="1" ht="27" customHeight="1" thickBot="1" x14ac:dyDescent="0.25">
      <c r="A133" s="243" t="s">
        <v>516</v>
      </c>
      <c r="B133" s="244"/>
      <c r="C133" s="244"/>
      <c r="D133" s="244"/>
      <c r="E133" s="244"/>
      <c r="F133" s="244"/>
      <c r="G133" s="244"/>
      <c r="H133" s="244"/>
      <c r="I133" s="244"/>
      <c r="J133" s="244"/>
      <c r="K133" s="244"/>
      <c r="L133" s="244"/>
      <c r="M133" s="244"/>
      <c r="N133" s="244"/>
      <c r="O133" s="244"/>
      <c r="P133" s="244"/>
      <c r="Q133" s="244"/>
      <c r="R133" s="244"/>
    </row>
    <row r="134" spans="1:19" s="2" customFormat="1" ht="27" customHeight="1" x14ac:dyDescent="0.2">
      <c r="A134" s="104">
        <f>+A130+1</f>
        <v>47</v>
      </c>
      <c r="B134" s="26" t="s">
        <v>514</v>
      </c>
      <c r="C134" s="12" t="s">
        <v>425</v>
      </c>
      <c r="D134" s="124" t="s">
        <v>515</v>
      </c>
      <c r="E134" s="124" t="s">
        <v>216</v>
      </c>
      <c r="F134" s="198" t="s">
        <v>554</v>
      </c>
      <c r="G134" s="126" t="s">
        <v>652</v>
      </c>
      <c r="H134" s="8">
        <v>170000</v>
      </c>
      <c r="I134" s="108">
        <f>H134*2.87%</f>
        <v>4879</v>
      </c>
      <c r="J134" s="5">
        <f>+H134*3.04%</f>
        <v>5168</v>
      </c>
      <c r="K134" s="5"/>
      <c r="L134" s="8">
        <f t="shared" si="25"/>
        <v>10047</v>
      </c>
      <c r="M134" s="8">
        <f t="shared" si="26"/>
        <v>159953</v>
      </c>
      <c r="N134" s="8">
        <f>+IF(M134*12&lt;=416220.01,0,IF(M134*12&lt;=624329.01,(((M134*12-416220.01)*0.15)/12),IF((M134*12&lt;=867123.01),(31216+0.2*(M134*12-624329.01))/12,((79776+0.25*(M134*12-867123.01))/12))))-O134</f>
        <v>28571.187291666665</v>
      </c>
      <c r="O134" s="8"/>
      <c r="P134" s="107">
        <v>25</v>
      </c>
      <c r="Q134" s="8">
        <f>+P134+N134+L134</f>
        <v>38643.187291666662</v>
      </c>
      <c r="R134" s="107">
        <f>+H134-Q134</f>
        <v>131356.81270833334</v>
      </c>
    </row>
    <row r="135" spans="1:19" s="2" customFormat="1" ht="27" customHeight="1" x14ac:dyDescent="0.2">
      <c r="A135" s="128">
        <f>+A134+1</f>
        <v>48</v>
      </c>
      <c r="B135" s="129" t="s">
        <v>540</v>
      </c>
      <c r="C135" s="128" t="s">
        <v>426</v>
      </c>
      <c r="D135" s="127" t="s">
        <v>132</v>
      </c>
      <c r="E135" s="124" t="s">
        <v>216</v>
      </c>
      <c r="F135" s="126" t="s">
        <v>542</v>
      </c>
      <c r="G135" s="126" t="s">
        <v>640</v>
      </c>
      <c r="H135" s="5">
        <v>50000</v>
      </c>
      <c r="I135" s="5">
        <f>H135*2.87%</f>
        <v>1435</v>
      </c>
      <c r="J135" s="5">
        <f>+H135*3.04%</f>
        <v>1520</v>
      </c>
      <c r="K135" s="5"/>
      <c r="L135" s="8">
        <f t="shared" si="25"/>
        <v>2955</v>
      </c>
      <c r="M135" s="8">
        <f t="shared" si="26"/>
        <v>47045</v>
      </c>
      <c r="N135" s="8">
        <f>+IF(M135*12&lt;=416220.01,0,IF(M135*12&lt;=624329.01,(((M135*12-416220.01)*0.15)/12),IF((M135*12&lt;=867123.01),(31216+0.2*(M135*12-624329.01))/12,((79776+0.25*(M135*12-867123.01))/12))))-O135</f>
        <v>-1.2500000025283953E-4</v>
      </c>
      <c r="O135" s="8">
        <v>1854</v>
      </c>
      <c r="P135" s="69">
        <v>65</v>
      </c>
      <c r="Q135" s="8">
        <f>+P135+N135+L135</f>
        <v>3019.9998749999995</v>
      </c>
      <c r="R135" s="107">
        <f>+H135-Q135</f>
        <v>46980.000124999999</v>
      </c>
    </row>
    <row r="136" spans="1:19" s="2" customFormat="1" ht="27" customHeight="1" thickBot="1" x14ac:dyDescent="0.25">
      <c r="A136" s="282" t="s">
        <v>125</v>
      </c>
      <c r="B136" s="283"/>
      <c r="C136" s="246"/>
      <c r="D136" s="246"/>
      <c r="E136" s="246"/>
      <c r="F136" s="246"/>
      <c r="G136" s="250"/>
      <c r="H136" s="78">
        <f>SUM(H134:H135)</f>
        <v>220000</v>
      </c>
      <c r="I136" s="78">
        <f t="shared" ref="I136:R136" si="51">SUM(I134:I135)</f>
        <v>6314</v>
      </c>
      <c r="J136" s="78">
        <f t="shared" si="51"/>
        <v>6688</v>
      </c>
      <c r="K136" s="78">
        <f t="shared" si="51"/>
        <v>0</v>
      </c>
      <c r="L136" s="78">
        <f t="shared" si="51"/>
        <v>13002</v>
      </c>
      <c r="M136" s="78">
        <f t="shared" si="51"/>
        <v>206998</v>
      </c>
      <c r="N136" s="78">
        <f t="shared" si="51"/>
        <v>28571.187166666667</v>
      </c>
      <c r="O136" s="78">
        <f t="shared" si="51"/>
        <v>1854</v>
      </c>
      <c r="P136" s="78">
        <f t="shared" si="51"/>
        <v>90</v>
      </c>
      <c r="Q136" s="78">
        <f t="shared" si="51"/>
        <v>41663.187166666663</v>
      </c>
      <c r="R136" s="78">
        <f t="shared" si="51"/>
        <v>178336.81283333333</v>
      </c>
    </row>
    <row r="137" spans="1:19" s="2" customFormat="1" ht="24.95" customHeight="1" thickBot="1" x14ac:dyDescent="0.25">
      <c r="C137" s="156"/>
    </row>
    <row r="138" spans="1:19" s="70" customFormat="1" ht="27.75" customHeight="1" thickBot="1" x14ac:dyDescent="0.25">
      <c r="A138" s="243" t="s">
        <v>664</v>
      </c>
      <c r="B138" s="244"/>
      <c r="C138" s="244"/>
      <c r="D138" s="244"/>
      <c r="E138" s="244"/>
      <c r="F138" s="244"/>
      <c r="G138" s="244"/>
      <c r="H138" s="244"/>
      <c r="I138" s="244"/>
      <c r="J138" s="244"/>
      <c r="K138" s="244"/>
      <c r="L138" s="244"/>
      <c r="M138" s="244"/>
      <c r="N138" s="244"/>
      <c r="O138" s="244"/>
      <c r="P138" s="244"/>
      <c r="Q138" s="244"/>
      <c r="R138" s="244"/>
      <c r="S138" s="2"/>
    </row>
    <row r="139" spans="1:19" s="28" customFormat="1" ht="25.5" customHeight="1" x14ac:dyDescent="0.2">
      <c r="A139" s="68">
        <f>+A135+1</f>
        <v>49</v>
      </c>
      <c r="B139" s="126" t="s">
        <v>662</v>
      </c>
      <c r="C139" s="128" t="s">
        <v>426</v>
      </c>
      <c r="D139" s="125" t="s">
        <v>663</v>
      </c>
      <c r="E139" s="124" t="s">
        <v>216</v>
      </c>
      <c r="F139" s="26" t="s">
        <v>582</v>
      </c>
      <c r="G139" s="26" t="s">
        <v>649</v>
      </c>
      <c r="H139" s="175">
        <v>70000</v>
      </c>
      <c r="I139" s="108">
        <f>H139*2.87%</f>
        <v>2009</v>
      </c>
      <c r="J139" s="108">
        <f>+H139*3.04%</f>
        <v>2128</v>
      </c>
      <c r="K139" s="108">
        <v>1577.45</v>
      </c>
      <c r="L139" s="8">
        <f t="shared" ref="L139:L140" si="52">+J139+I139+K139</f>
        <v>5714.45</v>
      </c>
      <c r="M139" s="8">
        <f t="shared" ref="M139:M140" si="53">+H139-L139</f>
        <v>64285.55</v>
      </c>
      <c r="N139" s="8">
        <f>+IF(M139*12&lt;=416220.01,0,IF(M139*12&lt;=624329.01,(((M139*12-416220.01)*0.15)/12),IF((M139*12&lt;=867123.01),(31216+0.2*(M139*12-624329.01))/12,((79776+0.25*(M139*12-867123.01))/12))))-O139</f>
        <v>5052.9598333333352</v>
      </c>
      <c r="O139" s="8">
        <v>0</v>
      </c>
      <c r="P139" s="107">
        <v>25</v>
      </c>
      <c r="Q139" s="8">
        <f>+P139+N139+L139</f>
        <v>10792.409833333335</v>
      </c>
      <c r="R139" s="107">
        <f>+H139-Q139</f>
        <v>59207.590166666661</v>
      </c>
    </row>
    <row r="140" spans="1:19" s="28" customFormat="1" ht="25.5" customHeight="1" x14ac:dyDescent="0.2">
      <c r="A140" s="68">
        <f>+A139+1</f>
        <v>50</v>
      </c>
      <c r="B140" s="126" t="s">
        <v>678</v>
      </c>
      <c r="C140" s="128" t="s">
        <v>426</v>
      </c>
      <c r="D140" s="125" t="s">
        <v>679</v>
      </c>
      <c r="E140" s="124" t="s">
        <v>216</v>
      </c>
      <c r="F140" s="26" t="s">
        <v>587</v>
      </c>
      <c r="G140" s="26" t="s">
        <v>646</v>
      </c>
      <c r="H140" s="175">
        <v>80000</v>
      </c>
      <c r="I140" s="108">
        <f>H140*2.87%</f>
        <v>2296</v>
      </c>
      <c r="J140" s="108">
        <f>+H140*3.04%</f>
        <v>2432</v>
      </c>
      <c r="K140" s="108"/>
      <c r="L140" s="8">
        <f t="shared" si="52"/>
        <v>4728</v>
      </c>
      <c r="M140" s="8">
        <f t="shared" si="53"/>
        <v>75272</v>
      </c>
      <c r="N140" s="8">
        <f>+IF(M140*12&lt;=416220.01,0,IF(M140*12&lt;=624329.01,(((M140*12-416220.01)*0.15)/12),IF((M140*12&lt;=867123.01),(31216+0.2*(M140*12-624329.01))/12,((79776+0.25*(M140*12-867123.01))/12))))-O140</f>
        <v>7400.9372916666662</v>
      </c>
      <c r="O140" s="8"/>
      <c r="P140" s="107">
        <v>25</v>
      </c>
      <c r="Q140" s="8">
        <f>+P140+N140+L140</f>
        <v>12153.937291666665</v>
      </c>
      <c r="R140" s="107">
        <f>+H140-Q140</f>
        <v>67846.062708333338</v>
      </c>
    </row>
    <row r="141" spans="1:19" s="28" customFormat="1" ht="22.15" customHeight="1" x14ac:dyDescent="0.2">
      <c r="A141" s="282" t="s">
        <v>125</v>
      </c>
      <c r="B141" s="283"/>
      <c r="C141" s="245"/>
      <c r="D141" s="245"/>
      <c r="E141" s="245"/>
      <c r="F141" s="245"/>
      <c r="G141" s="245"/>
      <c r="H141" s="16">
        <f>SUM(H139:H140)</f>
        <v>150000</v>
      </c>
      <c r="I141" s="16">
        <f t="shared" ref="I141:R141" si="54">SUM(I139:I140)</f>
        <v>4305</v>
      </c>
      <c r="J141" s="16">
        <f t="shared" si="54"/>
        <v>4560</v>
      </c>
      <c r="K141" s="16">
        <f t="shared" si="54"/>
        <v>1577.45</v>
      </c>
      <c r="L141" s="16">
        <f t="shared" si="54"/>
        <v>10442.450000000001</v>
      </c>
      <c r="M141" s="16">
        <f t="shared" si="54"/>
        <v>139557.54999999999</v>
      </c>
      <c r="N141" s="16">
        <f t="shared" si="54"/>
        <v>12453.897125000001</v>
      </c>
      <c r="O141" s="16">
        <f t="shared" si="54"/>
        <v>0</v>
      </c>
      <c r="P141" s="16">
        <f t="shared" si="54"/>
        <v>50</v>
      </c>
      <c r="Q141" s="16">
        <f t="shared" si="54"/>
        <v>22946.347125</v>
      </c>
      <c r="R141" s="16">
        <f t="shared" si="54"/>
        <v>127053.652875</v>
      </c>
    </row>
    <row r="142" spans="1:19" s="28" customFormat="1" ht="22.15" customHeight="1" thickBot="1" x14ac:dyDescent="0.25">
      <c r="A142" s="64"/>
      <c r="B142" s="64"/>
      <c r="C142" s="255"/>
      <c r="D142" s="255"/>
      <c r="E142" s="255"/>
      <c r="F142" s="255"/>
      <c r="G142" s="255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</row>
    <row r="143" spans="1:19" s="70" customFormat="1" ht="27.75" customHeight="1" thickBot="1" x14ac:dyDescent="0.25">
      <c r="A143" s="243" t="s">
        <v>386</v>
      </c>
      <c r="B143" s="244"/>
      <c r="C143" s="244"/>
      <c r="D143" s="244"/>
      <c r="E143" s="244"/>
      <c r="F143" s="244"/>
      <c r="G143" s="244"/>
      <c r="H143" s="244"/>
      <c r="I143" s="244"/>
      <c r="J143" s="244"/>
      <c r="K143" s="244"/>
      <c r="L143" s="244"/>
      <c r="M143" s="244"/>
      <c r="N143" s="244"/>
      <c r="O143" s="244"/>
      <c r="P143" s="244"/>
      <c r="Q143" s="244"/>
      <c r="R143" s="244"/>
      <c r="S143" s="2"/>
    </row>
    <row r="144" spans="1:19" s="28" customFormat="1" ht="25.5" customHeight="1" x14ac:dyDescent="0.2">
      <c r="A144" s="68">
        <f>+A140+1</f>
        <v>51</v>
      </c>
      <c r="B144" s="126" t="s">
        <v>131</v>
      </c>
      <c r="C144" s="128" t="s">
        <v>425</v>
      </c>
      <c r="D144" s="125" t="s">
        <v>537</v>
      </c>
      <c r="E144" s="124" t="s">
        <v>216</v>
      </c>
      <c r="F144" s="26" t="s">
        <v>569</v>
      </c>
      <c r="G144" s="26" t="s">
        <v>638</v>
      </c>
      <c r="H144" s="175">
        <v>135000</v>
      </c>
      <c r="I144" s="108">
        <f>H144*2.87%</f>
        <v>3874.5</v>
      </c>
      <c r="J144" s="108">
        <f>+H144*3.04%</f>
        <v>4104</v>
      </c>
      <c r="K144" s="108"/>
      <c r="L144" s="8">
        <f t="shared" si="25"/>
        <v>7978.5</v>
      </c>
      <c r="M144" s="8">
        <f t="shared" si="26"/>
        <v>127021.5</v>
      </c>
      <c r="N144" s="8">
        <f>+IF(M144*12&lt;=416220.01,0,IF(M144*12&lt;=624329.01,(((M144*12-416220.01)*0.15)/12),IF((M144*12&lt;=867123.01),(31216+0.2*(M144*12-624329.01))/12,((79776+0.25*(M144*12-867123.01))/12))))-O144</f>
        <v>20338.312291666665</v>
      </c>
      <c r="O144" s="8"/>
      <c r="P144" s="107">
        <v>25</v>
      </c>
      <c r="Q144" s="8">
        <f>+P144+N144+L144</f>
        <v>28341.812291666665</v>
      </c>
      <c r="R144" s="107">
        <f>+H144-Q144</f>
        <v>106658.18770833334</v>
      </c>
    </row>
    <row r="145" spans="1:19" s="28" customFormat="1" ht="22.15" customHeight="1" x14ac:dyDescent="0.2">
      <c r="A145" s="282" t="s">
        <v>125</v>
      </c>
      <c r="B145" s="283"/>
      <c r="C145" s="245"/>
      <c r="D145" s="245"/>
      <c r="E145" s="245"/>
      <c r="F145" s="245"/>
      <c r="G145" s="245"/>
      <c r="H145" s="16">
        <f>SUM(H144)</f>
        <v>135000</v>
      </c>
      <c r="I145" s="16">
        <f>SUM(I144)</f>
        <v>3874.5</v>
      </c>
      <c r="J145" s="16">
        <f t="shared" ref="J145:R145" si="55">SUM(J144)</f>
        <v>4104</v>
      </c>
      <c r="K145" s="16">
        <f t="shared" si="55"/>
        <v>0</v>
      </c>
      <c r="L145" s="16">
        <f t="shared" si="55"/>
        <v>7978.5</v>
      </c>
      <c r="M145" s="16">
        <f t="shared" si="55"/>
        <v>127021.5</v>
      </c>
      <c r="N145" s="16">
        <f t="shared" si="55"/>
        <v>20338.312291666665</v>
      </c>
      <c r="O145" s="16">
        <f t="shared" si="55"/>
        <v>0</v>
      </c>
      <c r="P145" s="16">
        <f t="shared" si="55"/>
        <v>25</v>
      </c>
      <c r="Q145" s="16">
        <f t="shared" si="55"/>
        <v>28341.812291666665</v>
      </c>
      <c r="R145" s="16">
        <f t="shared" si="55"/>
        <v>106658.18770833334</v>
      </c>
    </row>
    <row r="146" spans="1:19" s="2" customFormat="1" ht="24.95" customHeight="1" thickBot="1" x14ac:dyDescent="0.25">
      <c r="A146" s="64"/>
      <c r="B146" s="64"/>
      <c r="C146" s="64"/>
      <c r="D146" s="64"/>
      <c r="E146" s="64"/>
      <c r="F146" s="64"/>
      <c r="G146" s="64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</row>
    <row r="147" spans="1:19" s="79" customFormat="1" ht="23.25" customHeight="1" thickBot="1" x14ac:dyDescent="0.25">
      <c r="A147" s="243" t="s">
        <v>221</v>
      </c>
      <c r="B147" s="244"/>
      <c r="C147" s="244"/>
      <c r="D147" s="244"/>
      <c r="E147" s="244"/>
      <c r="F147" s="244"/>
      <c r="G147" s="244"/>
      <c r="H147" s="244"/>
      <c r="I147" s="244"/>
      <c r="J147" s="244"/>
      <c r="K147" s="244"/>
      <c r="L147" s="244"/>
      <c r="M147" s="244"/>
      <c r="N147" s="244"/>
      <c r="O147" s="244"/>
      <c r="P147" s="244"/>
      <c r="Q147" s="244"/>
      <c r="R147" s="244"/>
      <c r="S147" s="28"/>
    </row>
    <row r="148" spans="1:19" s="28" customFormat="1" ht="25.5" customHeight="1" x14ac:dyDescent="0.2">
      <c r="A148" s="68">
        <f>+A144+1</f>
        <v>52</v>
      </c>
      <c r="B148" s="5" t="s">
        <v>388</v>
      </c>
      <c r="C148" s="154" t="s">
        <v>426</v>
      </c>
      <c r="D148" s="129" t="s">
        <v>220</v>
      </c>
      <c r="E148" s="124" t="s">
        <v>216</v>
      </c>
      <c r="F148" s="26" t="s">
        <v>583</v>
      </c>
      <c r="G148" s="26" t="s">
        <v>645</v>
      </c>
      <c r="H148" s="123">
        <v>70000</v>
      </c>
      <c r="I148" s="8">
        <f>H148*2.87%</f>
        <v>2009</v>
      </c>
      <c r="J148" s="108">
        <f>+H148*3.04%</f>
        <v>2128</v>
      </c>
      <c r="K148" s="108">
        <v>1577.45</v>
      </c>
      <c r="L148" s="8">
        <f t="shared" si="25"/>
        <v>5714.45</v>
      </c>
      <c r="M148" s="8">
        <f t="shared" si="26"/>
        <v>64285.55</v>
      </c>
      <c r="N148" s="8">
        <f>+IF(M148*12&lt;=416220.01,0,IF(M148*12&lt;=624329.01,(((M148*12-416220.01)*0.15)/12),IF((M148*12&lt;=867123.01),(31216+0.2*(M148*12-624329.01))/12,((79776+0.25*(M148*12-867123.01))/12))))-O148</f>
        <v>5052.9598333333352</v>
      </c>
      <c r="O148" s="8"/>
      <c r="P148" s="107">
        <v>25</v>
      </c>
      <c r="Q148" s="8">
        <f>+P148+N148+L148</f>
        <v>10792.409833333335</v>
      </c>
      <c r="R148" s="107">
        <f>+H148-Q148</f>
        <v>59207.590166666661</v>
      </c>
    </row>
    <row r="149" spans="1:19" s="28" customFormat="1" ht="25.5" customHeight="1" x14ac:dyDescent="0.2">
      <c r="A149" s="68">
        <f>+A148+1</f>
        <v>53</v>
      </c>
      <c r="B149" s="198" t="s">
        <v>529</v>
      </c>
      <c r="C149" s="68"/>
      <c r="D149" s="202" t="s">
        <v>531</v>
      </c>
      <c r="E149" s="105" t="s">
        <v>216</v>
      </c>
      <c r="F149" s="26" t="s">
        <v>587</v>
      </c>
      <c r="G149" s="26" t="s">
        <v>646</v>
      </c>
      <c r="H149" s="10">
        <v>80000</v>
      </c>
      <c r="I149" s="5">
        <f>H149*2.87%</f>
        <v>2296</v>
      </c>
      <c r="J149" s="5">
        <f>+H149*3.04%</f>
        <v>2432</v>
      </c>
      <c r="K149" s="5"/>
      <c r="L149" s="8">
        <f>+J149+I149+K149</f>
        <v>4728</v>
      </c>
      <c r="M149" s="8">
        <f>+H149-L149</f>
        <v>75272</v>
      </c>
      <c r="N149" s="8">
        <f>+IF(M149*12&lt;=416220.01,0,IF(M149*12&lt;=624329.01,(((M149*12-416220.01)*0.15)/12),IF((M149*12&lt;=867123.01),(31216+0.2*(M149*12-624329.01))/12,((79776+0.25*(M149*12-867123.01))/12))))-O149</f>
        <v>-2.7083333334303461E-3</v>
      </c>
      <c r="O149" s="8">
        <v>7400.94</v>
      </c>
      <c r="P149" s="107">
        <f>100+25</f>
        <v>125</v>
      </c>
      <c r="Q149" s="8">
        <f>+P149+N149+L149</f>
        <v>4852.9972916666666</v>
      </c>
      <c r="R149" s="107">
        <f>H149-Q149</f>
        <v>75147.002708333341</v>
      </c>
    </row>
    <row r="150" spans="1:19" s="70" customFormat="1" ht="23.25" customHeight="1" x14ac:dyDescent="0.2">
      <c r="A150" s="282" t="s">
        <v>125</v>
      </c>
      <c r="B150" s="284"/>
      <c r="C150" s="248"/>
      <c r="D150" s="248"/>
      <c r="E150" s="248"/>
      <c r="F150" s="248"/>
      <c r="G150" s="249"/>
      <c r="H150" s="16">
        <f>SUM(H148:H149)</f>
        <v>150000</v>
      </c>
      <c r="I150" s="16">
        <f t="shared" ref="I150:R150" si="56">SUM(I148:I149)</f>
        <v>4305</v>
      </c>
      <c r="J150" s="16">
        <f t="shared" si="56"/>
        <v>4560</v>
      </c>
      <c r="K150" s="16">
        <f t="shared" si="56"/>
        <v>1577.45</v>
      </c>
      <c r="L150" s="16">
        <f t="shared" si="56"/>
        <v>10442.450000000001</v>
      </c>
      <c r="M150" s="16">
        <f t="shared" si="56"/>
        <v>139557.54999999999</v>
      </c>
      <c r="N150" s="16">
        <f t="shared" si="56"/>
        <v>5052.9571250000017</v>
      </c>
      <c r="O150" s="16">
        <f t="shared" si="56"/>
        <v>7400.94</v>
      </c>
      <c r="P150" s="16">
        <f t="shared" si="56"/>
        <v>150</v>
      </c>
      <c r="Q150" s="16">
        <f t="shared" si="56"/>
        <v>15645.407125000002</v>
      </c>
      <c r="R150" s="16">
        <f t="shared" si="56"/>
        <v>134354.592875</v>
      </c>
      <c r="S150" s="2"/>
    </row>
    <row r="151" spans="1:19" s="2" customFormat="1" ht="24.95" customHeight="1" thickBot="1" x14ac:dyDescent="0.25">
      <c r="A151" s="137"/>
      <c r="B151" s="1"/>
      <c r="C151" s="4"/>
      <c r="D151" s="138"/>
      <c r="E151" s="139"/>
      <c r="F151" s="25"/>
      <c r="G151" s="25"/>
      <c r="H151" s="140"/>
      <c r="I151" s="70"/>
      <c r="J151" s="70"/>
      <c r="K151" s="70"/>
      <c r="L151" s="70"/>
      <c r="M151" s="70"/>
      <c r="N151" s="70"/>
      <c r="O151" s="70"/>
      <c r="P151" s="70"/>
      <c r="Q151" s="70"/>
      <c r="R151" s="70"/>
    </row>
    <row r="152" spans="1:19" s="2" customFormat="1" ht="24.95" customHeight="1" thickBot="1" x14ac:dyDescent="0.25">
      <c r="A152" s="243" t="s">
        <v>208</v>
      </c>
      <c r="B152" s="244"/>
      <c r="C152" s="244"/>
      <c r="D152" s="244"/>
      <c r="E152" s="244"/>
      <c r="F152" s="244"/>
      <c r="G152" s="244"/>
      <c r="H152" s="244"/>
      <c r="I152" s="244"/>
      <c r="J152" s="244"/>
      <c r="K152" s="244"/>
      <c r="L152" s="244"/>
      <c r="M152" s="244"/>
      <c r="N152" s="244"/>
      <c r="O152" s="244"/>
      <c r="P152" s="244"/>
      <c r="Q152" s="244"/>
      <c r="R152" s="244"/>
    </row>
    <row r="153" spans="1:19" s="80" customFormat="1" ht="24.95" customHeight="1" x14ac:dyDescent="0.2">
      <c r="A153" s="128">
        <f>+A149+1</f>
        <v>54</v>
      </c>
      <c r="B153" s="126" t="s">
        <v>389</v>
      </c>
      <c r="C153" s="128" t="s">
        <v>426</v>
      </c>
      <c r="D153" s="127" t="s">
        <v>222</v>
      </c>
      <c r="E153" s="124" t="s">
        <v>216</v>
      </c>
      <c r="F153" s="126" t="s">
        <v>542</v>
      </c>
      <c r="G153" s="126" t="s">
        <v>640</v>
      </c>
      <c r="H153" s="175">
        <v>135000</v>
      </c>
      <c r="I153" s="8">
        <f>H153*2.87%</f>
        <v>3874.5</v>
      </c>
      <c r="J153" s="8">
        <f>+H153*3.04%</f>
        <v>4104</v>
      </c>
      <c r="K153" s="8"/>
      <c r="L153" s="8">
        <f t="shared" ref="L153:L214" si="57">+J153+I153+K153</f>
        <v>7978.5</v>
      </c>
      <c r="M153" s="8">
        <f t="shared" ref="M153:M214" si="58">+H153-L153</f>
        <v>127021.5</v>
      </c>
      <c r="N153" s="8">
        <f>+IF(M153*12&lt;=416220.01,0,IF(M153*12&lt;=624329.01,(((M153*12-416220.01)*0.15)/12),IF((M153*12&lt;=867123.01),(31216+0.2*(M153*12-624329.01))/12,((79776+0.25*(M153*12-867123.01))/12))))-O153</f>
        <v>20338.312291666665</v>
      </c>
      <c r="O153" s="8"/>
      <c r="P153" s="9">
        <v>3025</v>
      </c>
      <c r="Q153" s="8">
        <f t="shared" ref="Q153:Q159" si="59">+P153+N153+L153</f>
        <v>31341.812291666665</v>
      </c>
      <c r="R153" s="9">
        <f t="shared" ref="R153:R159" si="60">+H153-Q153</f>
        <v>103658.18770833334</v>
      </c>
      <c r="S153" s="6"/>
    </row>
    <row r="154" spans="1:19" s="80" customFormat="1" ht="24.95" customHeight="1" x14ac:dyDescent="0.2">
      <c r="A154" s="104">
        <f>+A153+1</f>
        <v>55</v>
      </c>
      <c r="B154" s="198" t="s">
        <v>385</v>
      </c>
      <c r="C154" s="68" t="s">
        <v>425</v>
      </c>
      <c r="D154" s="198" t="s">
        <v>535</v>
      </c>
      <c r="E154" s="105" t="s">
        <v>216</v>
      </c>
      <c r="F154" s="26" t="s">
        <v>583</v>
      </c>
      <c r="G154" s="26" t="s">
        <v>645</v>
      </c>
      <c r="H154" s="107">
        <v>80000</v>
      </c>
      <c r="I154" s="108">
        <f>H154*2.87%</f>
        <v>2296</v>
      </c>
      <c r="J154" s="108">
        <f>+H154*3.04%</f>
        <v>2432</v>
      </c>
      <c r="K154" s="108"/>
      <c r="L154" s="8">
        <f t="shared" si="57"/>
        <v>4728</v>
      </c>
      <c r="M154" s="8">
        <f t="shared" si="58"/>
        <v>75272</v>
      </c>
      <c r="N154" s="8">
        <f t="shared" ref="N154:N159" si="61">+IF(M154*12&lt;=416220.01,0,IF(M154*12&lt;=624329.01,(((M154*12-416220.01)*0.15)/12),IF((M154*12&lt;=867123.01),(31216+0.2*(M154*12-624329.01))/12,((79776+0.25*(M154*12-867123.01))/12))))-O154</f>
        <v>7400.9372916666662</v>
      </c>
      <c r="O154" s="8"/>
      <c r="P154" s="107">
        <v>25</v>
      </c>
      <c r="Q154" s="8">
        <f t="shared" si="59"/>
        <v>12153.937291666665</v>
      </c>
      <c r="R154" s="107">
        <f t="shared" si="60"/>
        <v>67846.062708333338</v>
      </c>
      <c r="S154" s="6"/>
    </row>
    <row r="155" spans="1:19" s="80" customFormat="1" ht="24.95" customHeight="1" x14ac:dyDescent="0.2">
      <c r="A155" s="128">
        <f>+A154+1</f>
        <v>56</v>
      </c>
      <c r="B155" s="126" t="s">
        <v>103</v>
      </c>
      <c r="C155" s="128" t="s">
        <v>426</v>
      </c>
      <c r="D155" s="129" t="s">
        <v>536</v>
      </c>
      <c r="E155" s="124" t="s">
        <v>216</v>
      </c>
      <c r="F155" s="26" t="s">
        <v>561</v>
      </c>
      <c r="G155" s="26" t="s">
        <v>653</v>
      </c>
      <c r="H155" s="196">
        <v>70000</v>
      </c>
      <c r="I155" s="5">
        <f>H155*2.87%</f>
        <v>2009</v>
      </c>
      <c r="J155" s="5">
        <f>+H155*3.04%</f>
        <v>2128</v>
      </c>
      <c r="K155" s="8">
        <v>1577.45</v>
      </c>
      <c r="L155" s="8">
        <f t="shared" si="57"/>
        <v>5714.45</v>
      </c>
      <c r="M155" s="8">
        <f t="shared" si="58"/>
        <v>64285.55</v>
      </c>
      <c r="N155" s="8">
        <f t="shared" si="61"/>
        <v>5052.9598333333352</v>
      </c>
      <c r="O155" s="8"/>
      <c r="P155" s="5">
        <v>2460.35</v>
      </c>
      <c r="Q155" s="8">
        <f t="shared" si="59"/>
        <v>13227.759833333334</v>
      </c>
      <c r="R155" s="9">
        <f t="shared" si="60"/>
        <v>56772.24016666667</v>
      </c>
      <c r="S155" s="6"/>
    </row>
    <row r="156" spans="1:19" s="70" customFormat="1" ht="24.95" customHeight="1" x14ac:dyDescent="0.2">
      <c r="A156" s="128">
        <f>+A155+1</f>
        <v>57</v>
      </c>
      <c r="B156" s="126" t="s">
        <v>387</v>
      </c>
      <c r="C156" s="154" t="s">
        <v>426</v>
      </c>
      <c r="D156" s="129" t="s">
        <v>220</v>
      </c>
      <c r="E156" s="124" t="s">
        <v>216</v>
      </c>
      <c r="F156" s="26" t="s">
        <v>555</v>
      </c>
      <c r="G156" s="26" t="s">
        <v>642</v>
      </c>
      <c r="H156" s="8">
        <v>70000</v>
      </c>
      <c r="I156" s="8">
        <f>H156*2.87%</f>
        <v>2009</v>
      </c>
      <c r="J156" s="8">
        <f>+H156*3.04%</f>
        <v>2128</v>
      </c>
      <c r="K156" s="8"/>
      <c r="L156" s="8">
        <f t="shared" si="57"/>
        <v>4137</v>
      </c>
      <c r="M156" s="8">
        <f t="shared" si="58"/>
        <v>65863</v>
      </c>
      <c r="N156" s="8">
        <f t="shared" si="61"/>
        <v>5368.4498333333331</v>
      </c>
      <c r="O156" s="8"/>
      <c r="P156" s="9">
        <v>25</v>
      </c>
      <c r="Q156" s="8">
        <f t="shared" si="59"/>
        <v>9530.4498333333322</v>
      </c>
      <c r="R156" s="9">
        <f t="shared" si="60"/>
        <v>60469.550166666668</v>
      </c>
      <c r="S156" s="2"/>
    </row>
    <row r="157" spans="1:19" s="70" customFormat="1" ht="24.95" customHeight="1" x14ac:dyDescent="0.2">
      <c r="A157" s="104">
        <f t="shared" ref="A157:A158" si="62">+A156+1</f>
        <v>58</v>
      </c>
      <c r="B157" s="126" t="s">
        <v>391</v>
      </c>
      <c r="C157" s="154" t="s">
        <v>426</v>
      </c>
      <c r="D157" s="129" t="s">
        <v>149</v>
      </c>
      <c r="E157" s="124" t="s">
        <v>216</v>
      </c>
      <c r="F157" s="26" t="s">
        <v>569</v>
      </c>
      <c r="G157" s="26" t="s">
        <v>638</v>
      </c>
      <c r="H157" s="123">
        <v>60000</v>
      </c>
      <c r="I157" s="5">
        <f>H157*2.87%</f>
        <v>1722</v>
      </c>
      <c r="J157" s="5">
        <f>+H157*3.04%</f>
        <v>1824</v>
      </c>
      <c r="K157" s="5"/>
      <c r="L157" s="8">
        <f t="shared" si="57"/>
        <v>3546</v>
      </c>
      <c r="M157" s="8">
        <f t="shared" si="58"/>
        <v>56454</v>
      </c>
      <c r="N157" s="8">
        <f t="shared" si="61"/>
        <v>3486.6498333333329</v>
      </c>
      <c r="O157" s="8"/>
      <c r="P157" s="9">
        <v>13788.22</v>
      </c>
      <c r="Q157" s="8">
        <f t="shared" si="59"/>
        <v>20820.86983333333</v>
      </c>
      <c r="R157" s="9">
        <f t="shared" si="60"/>
        <v>39179.13016666667</v>
      </c>
      <c r="S157" s="2"/>
    </row>
    <row r="158" spans="1:19" s="6" customFormat="1" ht="24.95" customHeight="1" x14ac:dyDescent="0.2">
      <c r="A158" s="128">
        <f t="shared" si="62"/>
        <v>59</v>
      </c>
      <c r="B158" s="126" t="s">
        <v>392</v>
      </c>
      <c r="C158" s="154" t="s">
        <v>426</v>
      </c>
      <c r="D158" s="129" t="s">
        <v>393</v>
      </c>
      <c r="E158" s="124" t="s">
        <v>216</v>
      </c>
      <c r="F158" s="129" t="s">
        <v>569</v>
      </c>
      <c r="G158" s="129" t="s">
        <v>638</v>
      </c>
      <c r="H158" s="123">
        <v>55000</v>
      </c>
      <c r="I158" s="5">
        <f t="shared" ref="I158:I159" si="63">H158*2.87%</f>
        <v>1578.5</v>
      </c>
      <c r="J158" s="5">
        <f t="shared" ref="J158:J159" si="64">+H158*3.04%</f>
        <v>1672</v>
      </c>
      <c r="K158" s="5"/>
      <c r="L158" s="8">
        <f t="shared" si="57"/>
        <v>3250.5</v>
      </c>
      <c r="M158" s="8">
        <f t="shared" si="58"/>
        <v>51749.5</v>
      </c>
      <c r="N158" s="8">
        <f t="shared" si="61"/>
        <v>2559.6748749999997</v>
      </c>
      <c r="O158" s="8"/>
      <c r="P158" s="9">
        <v>1125</v>
      </c>
      <c r="Q158" s="8">
        <f t="shared" si="59"/>
        <v>6935.1748749999997</v>
      </c>
      <c r="R158" s="9">
        <f t="shared" si="60"/>
        <v>48064.825125000003</v>
      </c>
    </row>
    <row r="159" spans="1:19" s="6" customFormat="1" ht="24.95" customHeight="1" x14ac:dyDescent="0.2">
      <c r="A159" s="128">
        <f>+A158+1</f>
        <v>60</v>
      </c>
      <c r="B159" s="126" t="s">
        <v>680</v>
      </c>
      <c r="C159" s="154" t="s">
        <v>426</v>
      </c>
      <c r="D159" s="129" t="s">
        <v>393</v>
      </c>
      <c r="E159" s="124" t="s">
        <v>216</v>
      </c>
      <c r="F159" s="26" t="s">
        <v>587</v>
      </c>
      <c r="G159" s="26" t="s">
        <v>646</v>
      </c>
      <c r="H159" s="123">
        <v>45000</v>
      </c>
      <c r="I159" s="5">
        <f t="shared" si="63"/>
        <v>1291.5</v>
      </c>
      <c r="J159" s="5">
        <f t="shared" si="64"/>
        <v>1368</v>
      </c>
      <c r="K159" s="5"/>
      <c r="L159" s="8">
        <f t="shared" si="57"/>
        <v>2659.5</v>
      </c>
      <c r="M159" s="8">
        <f t="shared" si="58"/>
        <v>42340.5</v>
      </c>
      <c r="N159" s="8">
        <f t="shared" si="61"/>
        <v>1148.3248749999998</v>
      </c>
      <c r="O159" s="8"/>
      <c r="P159" s="9">
        <v>25</v>
      </c>
      <c r="Q159" s="8">
        <f t="shared" si="59"/>
        <v>3832.8248749999998</v>
      </c>
      <c r="R159" s="9">
        <f t="shared" si="60"/>
        <v>41167.175125000002</v>
      </c>
    </row>
    <row r="160" spans="1:19" s="6" customFormat="1" ht="24.95" customHeight="1" x14ac:dyDescent="0.2">
      <c r="A160" s="282" t="s">
        <v>125</v>
      </c>
      <c r="B160" s="283"/>
      <c r="C160" s="245"/>
      <c r="D160" s="245"/>
      <c r="E160" s="245"/>
      <c r="F160" s="245"/>
      <c r="G160" s="245"/>
      <c r="H160" s="16">
        <f>SUM(H153:H159)</f>
        <v>515000</v>
      </c>
      <c r="I160" s="16">
        <f t="shared" ref="I160:R160" si="65">SUM(I153:I159)</f>
        <v>14780.5</v>
      </c>
      <c r="J160" s="16">
        <f t="shared" si="65"/>
        <v>15656</v>
      </c>
      <c r="K160" s="16">
        <f t="shared" si="65"/>
        <v>1577.45</v>
      </c>
      <c r="L160" s="16">
        <f t="shared" si="65"/>
        <v>32013.95</v>
      </c>
      <c r="M160" s="16">
        <f t="shared" si="65"/>
        <v>482986.05</v>
      </c>
      <c r="N160" s="16">
        <f t="shared" si="65"/>
        <v>45355.308833333322</v>
      </c>
      <c r="O160" s="16">
        <f t="shared" si="65"/>
        <v>0</v>
      </c>
      <c r="P160" s="16">
        <f t="shared" si="65"/>
        <v>20473.57</v>
      </c>
      <c r="Q160" s="16">
        <f t="shared" si="65"/>
        <v>97842.828833333333</v>
      </c>
      <c r="R160" s="16">
        <f t="shared" si="65"/>
        <v>417157.17116666673</v>
      </c>
    </row>
    <row r="161" spans="1:19" s="6" customFormat="1" ht="24.95" customHeight="1" thickBot="1" x14ac:dyDescent="0.25">
      <c r="A161" s="64"/>
      <c r="B161" s="64"/>
      <c r="C161" s="64"/>
      <c r="D161" s="64"/>
      <c r="E161" s="64"/>
      <c r="F161" s="64"/>
      <c r="G161" s="64"/>
    </row>
    <row r="162" spans="1:19" s="6" customFormat="1" ht="24.95" customHeight="1" thickBot="1" x14ac:dyDescent="0.25">
      <c r="A162" s="243" t="s">
        <v>471</v>
      </c>
      <c r="B162" s="244"/>
      <c r="C162" s="244"/>
      <c r="D162" s="244"/>
      <c r="E162" s="244"/>
      <c r="F162" s="244"/>
      <c r="G162" s="244"/>
      <c r="H162" s="244"/>
      <c r="I162" s="244"/>
      <c r="J162" s="244"/>
      <c r="K162" s="244"/>
      <c r="L162" s="244"/>
      <c r="M162" s="244"/>
      <c r="N162" s="244"/>
      <c r="O162" s="244"/>
      <c r="P162" s="244"/>
      <c r="Q162" s="244"/>
      <c r="R162" s="244"/>
    </row>
    <row r="163" spans="1:19" s="6" customFormat="1" ht="24.95" customHeight="1" x14ac:dyDescent="0.2">
      <c r="A163" s="68">
        <f>+A158+1</f>
        <v>60</v>
      </c>
      <c r="B163" s="129" t="s">
        <v>223</v>
      </c>
      <c r="C163" s="128" t="s">
        <v>426</v>
      </c>
      <c r="D163" s="127" t="s">
        <v>472</v>
      </c>
      <c r="E163" s="124" t="s">
        <v>216</v>
      </c>
      <c r="F163" s="126" t="s">
        <v>542</v>
      </c>
      <c r="G163" s="126" t="s">
        <v>640</v>
      </c>
      <c r="H163" s="196">
        <v>170000</v>
      </c>
      <c r="I163" s="63">
        <f>H163*2.87%</f>
        <v>4879</v>
      </c>
      <c r="J163" s="108">
        <f>+H163*3.04%</f>
        <v>5168</v>
      </c>
      <c r="K163" s="108"/>
      <c r="L163" s="8">
        <f t="shared" si="57"/>
        <v>10047</v>
      </c>
      <c r="M163" s="8">
        <f t="shared" si="58"/>
        <v>159953</v>
      </c>
      <c r="N163" s="8">
        <f>+IF(M163*12&lt;=416220.01,0,IF(M163*12&lt;=624329.01,(((M163*12-416220.01)*0.15)/12),IF((M163*12&lt;=867123.01),(31216+0.2*(M163*12-624329.01))/12,((79776+0.25*(M163*12-867123.01))/12))))</f>
        <v>28571.187291666665</v>
      </c>
      <c r="O163" s="8"/>
      <c r="P163" s="69">
        <v>5025</v>
      </c>
      <c r="Q163" s="8">
        <f>+P163+N163+L163</f>
        <v>43643.187291666662</v>
      </c>
      <c r="R163" s="69">
        <f>+H163-Q163</f>
        <v>126356.81270833334</v>
      </c>
    </row>
    <row r="164" spans="1:19" s="6" customFormat="1" ht="24.95" customHeight="1" x14ac:dyDescent="0.2">
      <c r="A164" s="282" t="s">
        <v>125</v>
      </c>
      <c r="B164" s="283"/>
      <c r="C164" s="245"/>
      <c r="D164" s="245"/>
      <c r="E164" s="245"/>
      <c r="F164" s="245"/>
      <c r="G164" s="245"/>
      <c r="H164" s="16">
        <f>SUM(H163:H163)</f>
        <v>170000</v>
      </c>
      <c r="I164" s="16">
        <f t="shared" ref="I164:R164" si="66">SUM(I163:I163)</f>
        <v>4879</v>
      </c>
      <c r="J164" s="16">
        <f t="shared" si="66"/>
        <v>5168</v>
      </c>
      <c r="K164" s="16">
        <f t="shared" si="66"/>
        <v>0</v>
      </c>
      <c r="L164" s="16">
        <f t="shared" si="66"/>
        <v>10047</v>
      </c>
      <c r="M164" s="16">
        <f t="shared" si="66"/>
        <v>159953</v>
      </c>
      <c r="N164" s="16">
        <f t="shared" si="66"/>
        <v>28571.187291666665</v>
      </c>
      <c r="O164" s="16"/>
      <c r="P164" s="16">
        <f t="shared" si="66"/>
        <v>5025</v>
      </c>
      <c r="Q164" s="16">
        <f t="shared" si="66"/>
        <v>43643.187291666662</v>
      </c>
      <c r="R164" s="16">
        <f t="shared" si="66"/>
        <v>126356.81270833334</v>
      </c>
    </row>
    <row r="165" spans="1:19" s="28" customFormat="1" ht="27" customHeight="1" thickBot="1" x14ac:dyDescent="0.25">
      <c r="A165" s="64"/>
      <c r="B165" s="64"/>
      <c r="C165" s="64"/>
      <c r="D165" s="64"/>
      <c r="E165" s="64"/>
      <c r="F165" s="64"/>
      <c r="G165" s="64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</row>
    <row r="166" spans="1:19" s="79" customFormat="1" ht="24.95" customHeight="1" thickBot="1" x14ac:dyDescent="0.25">
      <c r="A166" s="243" t="s">
        <v>176</v>
      </c>
      <c r="B166" s="244"/>
      <c r="C166" s="244"/>
      <c r="D166" s="244"/>
      <c r="E166" s="244"/>
      <c r="F166" s="244"/>
      <c r="G166" s="244"/>
      <c r="H166" s="244"/>
      <c r="I166" s="244"/>
      <c r="J166" s="244"/>
      <c r="K166" s="244"/>
      <c r="L166" s="244"/>
      <c r="M166" s="244"/>
      <c r="N166" s="244"/>
      <c r="O166" s="244"/>
      <c r="P166" s="244"/>
      <c r="Q166" s="244"/>
      <c r="R166" s="244"/>
      <c r="S166" s="28"/>
    </row>
    <row r="167" spans="1:19" s="79" customFormat="1" ht="27.6" customHeight="1" x14ac:dyDescent="0.2">
      <c r="A167" s="104">
        <f>+A163+1</f>
        <v>61</v>
      </c>
      <c r="B167" s="142" t="s">
        <v>498</v>
      </c>
      <c r="C167" s="12" t="s">
        <v>426</v>
      </c>
      <c r="D167" s="124" t="s">
        <v>499</v>
      </c>
      <c r="E167" s="124" t="s">
        <v>216</v>
      </c>
      <c r="F167" s="26" t="s">
        <v>556</v>
      </c>
      <c r="G167" s="26" t="s">
        <v>643</v>
      </c>
      <c r="H167" s="175">
        <v>135000</v>
      </c>
      <c r="I167" s="108">
        <f>H167*2.87%</f>
        <v>3874.5</v>
      </c>
      <c r="J167" s="108">
        <f>+H167*3.04%</f>
        <v>4104</v>
      </c>
      <c r="K167" s="108"/>
      <c r="L167" s="8">
        <f t="shared" si="57"/>
        <v>7978.5</v>
      </c>
      <c r="M167" s="8">
        <f t="shared" si="58"/>
        <v>127021.5</v>
      </c>
      <c r="N167" s="8">
        <f>+IF(M167*12&lt;=416220.01,0,IF(M167*12&lt;=624329.01,(((M167*12-416220.01)*0.15)/12),IF((M167*12&lt;=867123.01),(31216+0.2*(M167*12-624329.01))/12,((79776+0.25*(M167*12-867123.01))/12))))-O167</f>
        <v>20338.312291666665</v>
      </c>
      <c r="O167" s="8"/>
      <c r="P167" s="107">
        <v>3025</v>
      </c>
      <c r="Q167" s="8">
        <f>+P167+N167+L167</f>
        <v>31341.812291666665</v>
      </c>
      <c r="R167" s="107">
        <f>+H167-Q167</f>
        <v>103658.18770833334</v>
      </c>
      <c r="S167" s="28"/>
    </row>
    <row r="168" spans="1:19" s="28" customFormat="1" ht="26.25" customHeight="1" x14ac:dyDescent="0.2">
      <c r="A168" s="68">
        <f>+A167+1</f>
        <v>62</v>
      </c>
      <c r="B168" s="129" t="s">
        <v>367</v>
      </c>
      <c r="C168" s="128" t="s">
        <v>426</v>
      </c>
      <c r="D168" s="127" t="s">
        <v>394</v>
      </c>
      <c r="E168" s="124" t="s">
        <v>216</v>
      </c>
      <c r="F168" s="129" t="s">
        <v>569</v>
      </c>
      <c r="G168" s="129" t="s">
        <v>638</v>
      </c>
      <c r="H168" s="196">
        <v>60000</v>
      </c>
      <c r="I168" s="63">
        <f>H168*2.87%</f>
        <v>1722</v>
      </c>
      <c r="J168" s="108">
        <f t="shared" ref="J168" si="67">+H168*3.04%</f>
        <v>1824</v>
      </c>
      <c r="K168" s="108"/>
      <c r="L168" s="8">
        <f t="shared" si="57"/>
        <v>3546</v>
      </c>
      <c r="M168" s="8">
        <f t="shared" si="58"/>
        <v>56454</v>
      </c>
      <c r="N168" s="8">
        <f t="shared" ref="N168:N169" si="68">+IF(M168*12&lt;=416220.01,0,IF(M168*12&lt;=624329.01,(((M168*12-416220.01)*0.15)/12),IF((M168*12&lt;=867123.01),(31216+0.2*(M168*12-624329.01))/12,((79776+0.25*(M168*12-867123.01))/12))))-O168</f>
        <v>3486.6498333333329</v>
      </c>
      <c r="O168" s="8"/>
      <c r="P168" s="69">
        <v>3775</v>
      </c>
      <c r="Q168" s="8">
        <f t="shared" ref="Q168:Q169" si="69">+P168+N168+L168</f>
        <v>10807.649833333333</v>
      </c>
      <c r="R168" s="69">
        <f>+H168-Q168</f>
        <v>49192.350166666671</v>
      </c>
    </row>
    <row r="169" spans="1:19" s="28" customFormat="1" ht="26.25" customHeight="1" x14ac:dyDescent="0.2">
      <c r="A169" s="68">
        <f>+A168+1</f>
        <v>63</v>
      </c>
      <c r="B169" s="129" t="s">
        <v>577</v>
      </c>
      <c r="C169" s="128" t="s">
        <v>426</v>
      </c>
      <c r="D169" s="127" t="s">
        <v>578</v>
      </c>
      <c r="E169" s="124" t="s">
        <v>216</v>
      </c>
      <c r="F169" s="129" t="s">
        <v>573</v>
      </c>
      <c r="G169" s="129" t="s">
        <v>641</v>
      </c>
      <c r="H169" s="196">
        <v>50000</v>
      </c>
      <c r="I169" s="63">
        <f>H169*2.87%</f>
        <v>1435</v>
      </c>
      <c r="J169" s="108">
        <f t="shared" ref="J169" si="70">+H169*3.04%</f>
        <v>1520</v>
      </c>
      <c r="K169" s="108"/>
      <c r="L169" s="8">
        <f t="shared" si="57"/>
        <v>2955</v>
      </c>
      <c r="M169" s="8">
        <f t="shared" si="58"/>
        <v>47045</v>
      </c>
      <c r="N169" s="8">
        <f t="shared" si="68"/>
        <v>-1.2500000025283953E-4</v>
      </c>
      <c r="O169" s="8">
        <v>1854</v>
      </c>
      <c r="P169" s="69">
        <v>25</v>
      </c>
      <c r="Q169" s="8">
        <f t="shared" si="69"/>
        <v>2979.9998749999995</v>
      </c>
      <c r="R169" s="69">
        <f>+H169-Q169</f>
        <v>47020.000124999999</v>
      </c>
    </row>
    <row r="170" spans="1:19" s="28" customFormat="1" ht="22.5" customHeight="1" x14ac:dyDescent="0.2">
      <c r="A170" s="282" t="s">
        <v>125</v>
      </c>
      <c r="B170" s="283"/>
      <c r="C170" s="245"/>
      <c r="D170" s="245"/>
      <c r="E170" s="245"/>
      <c r="F170" s="245"/>
      <c r="G170" s="245"/>
      <c r="H170" s="16">
        <f>SUM(H167:H169)</f>
        <v>245000</v>
      </c>
      <c r="I170" s="16">
        <f>SUM(I167:I169)</f>
        <v>7031.5</v>
      </c>
      <c r="J170" s="16">
        <f t="shared" ref="J170:R170" si="71">SUM(J167:J169)</f>
        <v>7448</v>
      </c>
      <c r="K170" s="16">
        <f t="shared" si="71"/>
        <v>0</v>
      </c>
      <c r="L170" s="16">
        <f t="shared" si="71"/>
        <v>14479.5</v>
      </c>
      <c r="M170" s="16">
        <f t="shared" si="71"/>
        <v>230520.5</v>
      </c>
      <c r="N170" s="16">
        <f t="shared" si="71"/>
        <v>23824.962</v>
      </c>
      <c r="O170" s="16">
        <f t="shared" si="71"/>
        <v>1854</v>
      </c>
      <c r="P170" s="16">
        <f t="shared" si="71"/>
        <v>6825</v>
      </c>
      <c r="Q170" s="16">
        <f t="shared" si="71"/>
        <v>45129.462</v>
      </c>
      <c r="R170" s="16">
        <f t="shared" si="71"/>
        <v>199870.538</v>
      </c>
    </row>
    <row r="171" spans="1:19" s="28" customFormat="1" ht="15" customHeight="1" thickBot="1" x14ac:dyDescent="0.25">
      <c r="A171" s="64"/>
      <c r="B171" s="64"/>
      <c r="C171" s="64"/>
      <c r="D171" s="64"/>
      <c r="E171" s="64"/>
      <c r="F171" s="64"/>
      <c r="G171" s="64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</row>
    <row r="172" spans="1:19" s="28" customFormat="1" ht="22.5" customHeight="1" thickBot="1" x14ac:dyDescent="0.25">
      <c r="A172" s="243" t="s">
        <v>177</v>
      </c>
      <c r="B172" s="244"/>
      <c r="C172" s="244"/>
      <c r="D172" s="244"/>
      <c r="E172" s="244"/>
      <c r="F172" s="244"/>
      <c r="G172" s="244"/>
      <c r="H172" s="244"/>
      <c r="I172" s="244"/>
      <c r="J172" s="244"/>
      <c r="K172" s="244"/>
      <c r="L172" s="244"/>
      <c r="M172" s="244"/>
      <c r="N172" s="244"/>
      <c r="O172" s="244"/>
      <c r="P172" s="244"/>
      <c r="Q172" s="244"/>
      <c r="R172" s="244"/>
    </row>
    <row r="173" spans="1:19" s="79" customFormat="1" ht="24.95" customHeight="1" x14ac:dyDescent="0.2">
      <c r="A173" s="104">
        <f>+A169+1</f>
        <v>64</v>
      </c>
      <c r="B173" s="26" t="s">
        <v>450</v>
      </c>
      <c r="C173" s="12" t="s">
        <v>425</v>
      </c>
      <c r="D173" s="26" t="s">
        <v>442</v>
      </c>
      <c r="E173" s="124" t="s">
        <v>216</v>
      </c>
      <c r="F173" s="26" t="s">
        <v>582</v>
      </c>
      <c r="G173" s="26" t="s">
        <v>649</v>
      </c>
      <c r="H173" s="9">
        <v>70000</v>
      </c>
      <c r="I173" s="108">
        <f t="shared" ref="I173" si="72">H173*2.87%</f>
        <v>2009</v>
      </c>
      <c r="J173" s="108">
        <f>+H173*3.04%</f>
        <v>2128</v>
      </c>
      <c r="K173" s="108"/>
      <c r="L173" s="8">
        <f t="shared" si="57"/>
        <v>4137</v>
      </c>
      <c r="M173" s="8">
        <f t="shared" si="58"/>
        <v>65863</v>
      </c>
      <c r="N173" s="8">
        <f>+IF(M173*12&lt;=416220.01,0,IF(M173*12&lt;=624329.01,(((M173*12-416220.01)*0.15)/12),IF((M173*12&lt;=867123.01),(31216+0.2*(M173*12-624329.01))/12,((79776+0.25*(M173*12-867123.01))/12))))-O173</f>
        <v>5368.4498333333331</v>
      </c>
      <c r="O173" s="8"/>
      <c r="P173" s="107">
        <v>25</v>
      </c>
      <c r="Q173" s="8">
        <f>+P173+N173+L173</f>
        <v>9530.4498333333322</v>
      </c>
      <c r="R173" s="107">
        <f>+H173-Q173</f>
        <v>60469.550166666668</v>
      </c>
      <c r="S173" s="28"/>
    </row>
    <row r="174" spans="1:19" s="28" customFormat="1" ht="22.5" customHeight="1" x14ac:dyDescent="0.2">
      <c r="A174" s="104">
        <f>+A173+1</f>
        <v>65</v>
      </c>
      <c r="B174" s="26" t="s">
        <v>225</v>
      </c>
      <c r="C174" s="12" t="s">
        <v>425</v>
      </c>
      <c r="D174" s="26" t="s">
        <v>224</v>
      </c>
      <c r="E174" s="124" t="s">
        <v>216</v>
      </c>
      <c r="F174" s="126" t="s">
        <v>542</v>
      </c>
      <c r="G174" s="126" t="s">
        <v>640</v>
      </c>
      <c r="H174" s="9">
        <v>60000</v>
      </c>
      <c r="I174" s="108">
        <f t="shared" ref="I174" si="73">H174*2.87%</f>
        <v>1722</v>
      </c>
      <c r="J174" s="108">
        <f t="shared" ref="J174" si="74">+H174*3.04%</f>
        <v>1824</v>
      </c>
      <c r="K174" s="108"/>
      <c r="L174" s="8">
        <f t="shared" si="57"/>
        <v>3546</v>
      </c>
      <c r="M174" s="8">
        <f t="shared" si="58"/>
        <v>56454</v>
      </c>
      <c r="N174" s="8">
        <f>+IF(M174*12&lt;=416220.01,0,IF(M174*12&lt;=624329.01,(((M174*12-416220.01)*0.15)/12),IF((M174*12&lt;=867123.01),(31216+0.2*(M174*12-624329.01))/12,((79776+0.25*(M174*12-867123.01))/12))))-O174</f>
        <v>3486.6498333333329</v>
      </c>
      <c r="O174" s="8"/>
      <c r="P174" s="107">
        <v>25</v>
      </c>
      <c r="Q174" s="8">
        <f>+P174+N174+L174</f>
        <v>7057.6498333333329</v>
      </c>
      <c r="R174" s="107">
        <f>+H174-Q174</f>
        <v>52942.350166666671</v>
      </c>
    </row>
    <row r="175" spans="1:19" s="2" customFormat="1" ht="22.5" customHeight="1" x14ac:dyDescent="0.2">
      <c r="A175" s="282" t="s">
        <v>125</v>
      </c>
      <c r="B175" s="283"/>
      <c r="C175" s="245"/>
      <c r="D175" s="245"/>
      <c r="E175" s="245"/>
      <c r="F175" s="245"/>
      <c r="G175" s="245"/>
      <c r="H175" s="16">
        <f>SUM(H173:H174)</f>
        <v>130000</v>
      </c>
      <c r="I175" s="16">
        <f t="shared" ref="I175:R175" si="75">SUM(I173:I174)</f>
        <v>3731</v>
      </c>
      <c r="J175" s="16">
        <f t="shared" si="75"/>
        <v>3952</v>
      </c>
      <c r="K175" s="16">
        <f t="shared" si="75"/>
        <v>0</v>
      </c>
      <c r="L175" s="16">
        <f t="shared" si="75"/>
        <v>7683</v>
      </c>
      <c r="M175" s="16">
        <f t="shared" si="75"/>
        <v>122317</v>
      </c>
      <c r="N175" s="16">
        <f t="shared" si="75"/>
        <v>8855.0996666666651</v>
      </c>
      <c r="O175" s="16">
        <f t="shared" si="75"/>
        <v>0</v>
      </c>
      <c r="P175" s="16">
        <f t="shared" si="75"/>
        <v>50</v>
      </c>
      <c r="Q175" s="16">
        <f t="shared" si="75"/>
        <v>16588.099666666665</v>
      </c>
      <c r="R175" s="16">
        <f t="shared" si="75"/>
        <v>113411.90033333334</v>
      </c>
    </row>
    <row r="176" spans="1:19" s="70" customFormat="1" ht="20.100000000000001" customHeight="1" thickBot="1" x14ac:dyDescent="0.25">
      <c r="A176" s="4"/>
      <c r="B176" s="25"/>
      <c r="C176" s="4"/>
      <c r="D176" s="27"/>
      <c r="E176" s="27"/>
      <c r="F176" s="27"/>
      <c r="G176" s="27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</row>
    <row r="177" spans="1:19" s="70" customFormat="1" ht="24.95" customHeight="1" thickBot="1" x14ac:dyDescent="0.25">
      <c r="A177" s="243" t="s">
        <v>310</v>
      </c>
      <c r="B177" s="244"/>
      <c r="C177" s="244"/>
      <c r="D177" s="244"/>
      <c r="E177" s="244"/>
      <c r="F177" s="244"/>
      <c r="G177" s="244"/>
      <c r="H177" s="244"/>
      <c r="I177" s="244"/>
      <c r="J177" s="244"/>
      <c r="K177" s="244"/>
      <c r="L177" s="244"/>
      <c r="M177" s="244"/>
      <c r="N177" s="244"/>
      <c r="O177" s="244"/>
      <c r="P177" s="244"/>
      <c r="Q177" s="244"/>
      <c r="R177" s="244"/>
      <c r="S177" s="2"/>
    </row>
    <row r="178" spans="1:19" s="2" customFormat="1" ht="24.95" customHeight="1" x14ac:dyDescent="0.2">
      <c r="A178" s="104">
        <f>+A174+1</f>
        <v>66</v>
      </c>
      <c r="B178" s="26" t="s">
        <v>395</v>
      </c>
      <c r="C178" s="12" t="s">
        <v>425</v>
      </c>
      <c r="D178" s="124" t="s">
        <v>396</v>
      </c>
      <c r="E178" s="124" t="s">
        <v>216</v>
      </c>
      <c r="F178" s="106" t="s">
        <v>562</v>
      </c>
      <c r="G178" s="106" t="s">
        <v>654</v>
      </c>
      <c r="H178" s="8">
        <v>190000</v>
      </c>
      <c r="I178" s="108">
        <f>H178*2.87%</f>
        <v>5453</v>
      </c>
      <c r="J178" s="5">
        <f>187020*3.04%</f>
        <v>5685.4080000000004</v>
      </c>
      <c r="K178" s="5"/>
      <c r="L178" s="8">
        <f t="shared" si="57"/>
        <v>11138.407999999999</v>
      </c>
      <c r="M178" s="8">
        <f t="shared" si="58"/>
        <v>178861.592</v>
      </c>
      <c r="N178" s="8">
        <f>+IF(M178*12&lt;=416220.01,0,IF(M178*12&lt;=624329.01,(((M178*12-416220.01)*0.15)/12),IF((M178*12&lt;=867123.01),(31216+0.2*(M178*12-624329.01))/12,((79776+0.25*(M178*12-867123.01))/12))))</f>
        <v>33298.33529166667</v>
      </c>
      <c r="O178" s="8"/>
      <c r="P178" s="107">
        <v>25</v>
      </c>
      <c r="Q178" s="8">
        <f>+P178+N178+L178</f>
        <v>44461.743291666673</v>
      </c>
      <c r="R178" s="107">
        <f>+H178-Q178</f>
        <v>145538.25670833333</v>
      </c>
    </row>
    <row r="179" spans="1:19" s="70" customFormat="1" ht="24.75" customHeight="1" thickBot="1" x14ac:dyDescent="0.25">
      <c r="A179" s="282" t="s">
        <v>125</v>
      </c>
      <c r="B179" s="283"/>
      <c r="C179" s="245"/>
      <c r="D179" s="245"/>
      <c r="E179" s="246"/>
      <c r="F179" s="246"/>
      <c r="G179" s="250"/>
      <c r="H179" s="78">
        <f>SUM(H178:H178)</f>
        <v>190000</v>
      </c>
      <c r="I179" s="78">
        <f t="shared" ref="I179:R179" si="76">SUM(I178:I178)</f>
        <v>5453</v>
      </c>
      <c r="J179" s="78">
        <f t="shared" si="76"/>
        <v>5685.4080000000004</v>
      </c>
      <c r="K179" s="78">
        <f t="shared" si="76"/>
        <v>0</v>
      </c>
      <c r="L179" s="78">
        <f t="shared" si="76"/>
        <v>11138.407999999999</v>
      </c>
      <c r="M179" s="78">
        <f t="shared" si="76"/>
        <v>178861.592</v>
      </c>
      <c r="N179" s="78">
        <f t="shared" si="76"/>
        <v>33298.33529166667</v>
      </c>
      <c r="O179" s="78"/>
      <c r="P179" s="78">
        <f t="shared" si="76"/>
        <v>25</v>
      </c>
      <c r="Q179" s="78">
        <f t="shared" si="76"/>
        <v>44461.743291666673</v>
      </c>
      <c r="R179" s="78">
        <f t="shared" si="76"/>
        <v>145538.25670833333</v>
      </c>
      <c r="S179" s="2"/>
    </row>
    <row r="180" spans="1:19" s="70" customFormat="1" ht="24.75" customHeight="1" thickBot="1" x14ac:dyDescent="0.25">
      <c r="A180" s="212"/>
      <c r="B180" s="212"/>
      <c r="C180" s="212"/>
      <c r="D180" s="212"/>
      <c r="E180" s="212"/>
      <c r="F180" s="212"/>
      <c r="G180" s="212"/>
      <c r="H180" s="213"/>
      <c r="I180" s="213"/>
      <c r="J180" s="213"/>
      <c r="K180" s="213"/>
      <c r="L180" s="213"/>
      <c r="M180" s="213"/>
      <c r="N180" s="213"/>
      <c r="O180" s="213"/>
      <c r="P180" s="213"/>
      <c r="Q180" s="213"/>
      <c r="R180" s="213"/>
      <c r="S180" s="2"/>
    </row>
    <row r="181" spans="1:19" s="70" customFormat="1" ht="24.75" customHeight="1" thickBot="1" x14ac:dyDescent="0.25">
      <c r="A181" s="243" t="s">
        <v>397</v>
      </c>
      <c r="B181" s="244"/>
      <c r="C181" s="244"/>
      <c r="D181" s="244"/>
      <c r="E181" s="244"/>
      <c r="F181" s="244"/>
      <c r="G181" s="244"/>
      <c r="H181" s="244"/>
      <c r="I181" s="244"/>
      <c r="J181" s="244"/>
      <c r="K181" s="244"/>
      <c r="L181" s="244"/>
      <c r="M181" s="244"/>
      <c r="N181" s="244"/>
      <c r="O181" s="244"/>
      <c r="P181" s="244"/>
      <c r="Q181" s="244"/>
      <c r="R181" s="244"/>
      <c r="S181" s="2"/>
    </row>
    <row r="182" spans="1:19" s="28" customFormat="1" ht="24.95" customHeight="1" x14ac:dyDescent="0.2">
      <c r="A182" s="68">
        <f>+A178+1</f>
        <v>67</v>
      </c>
      <c r="B182" s="129" t="s">
        <v>87</v>
      </c>
      <c r="C182" s="128" t="s">
        <v>425</v>
      </c>
      <c r="D182" s="129" t="s">
        <v>100</v>
      </c>
      <c r="E182" s="124" t="s">
        <v>216</v>
      </c>
      <c r="F182" s="26" t="s">
        <v>582</v>
      </c>
      <c r="G182" s="26" t="s">
        <v>649</v>
      </c>
      <c r="H182" s="63">
        <v>90000</v>
      </c>
      <c r="I182" s="63">
        <f t="shared" ref="I182" si="77">H182*2.87%</f>
        <v>2583</v>
      </c>
      <c r="J182" s="63">
        <f t="shared" ref="J182" si="78">+H182*3.04%</f>
        <v>2736</v>
      </c>
      <c r="K182" s="63"/>
      <c r="L182" s="8">
        <f t="shared" si="57"/>
        <v>5319</v>
      </c>
      <c r="M182" s="8">
        <f t="shared" si="58"/>
        <v>84681</v>
      </c>
      <c r="N182" s="8">
        <f>+IF(M182*12&lt;=416220.01,0,IF(M182*12&lt;=624329.01,(((M182*12-416220.01)*0.15)/12),IF((M182*12&lt;=867123.01),(31216+0.2*(M182*12-624329.01))/12,((79776+0.25*(M182*12-867123.01))/12))))-O182</f>
        <v>9753.1872916666671</v>
      </c>
      <c r="O182" s="8"/>
      <c r="P182" s="107">
        <v>25</v>
      </c>
      <c r="Q182" s="8">
        <f>+P182+N182+L182</f>
        <v>15097.187291666667</v>
      </c>
      <c r="R182" s="107">
        <f>+H182-Q182</f>
        <v>74902.812708333338</v>
      </c>
    </row>
    <row r="183" spans="1:19" s="28" customFormat="1" ht="24.95" customHeight="1" x14ac:dyDescent="0.2">
      <c r="A183" s="68">
        <f>+A182+1</f>
        <v>68</v>
      </c>
      <c r="B183" s="129" t="s">
        <v>579</v>
      </c>
      <c r="C183" s="128" t="s">
        <v>425</v>
      </c>
      <c r="D183" s="129" t="s">
        <v>83</v>
      </c>
      <c r="E183" s="124" t="s">
        <v>216</v>
      </c>
      <c r="F183" s="26" t="s">
        <v>573</v>
      </c>
      <c r="G183" s="26" t="s">
        <v>641</v>
      </c>
      <c r="H183" s="63">
        <v>70000</v>
      </c>
      <c r="I183" s="63">
        <f t="shared" ref="I183" si="79">H183*2.87%</f>
        <v>2009</v>
      </c>
      <c r="J183" s="63">
        <f t="shared" ref="J183" si="80">+H183*3.04%</f>
        <v>2128</v>
      </c>
      <c r="K183" s="63"/>
      <c r="L183" s="8">
        <f t="shared" si="57"/>
        <v>4137</v>
      </c>
      <c r="M183" s="8">
        <f t="shared" si="58"/>
        <v>65863</v>
      </c>
      <c r="N183" s="8">
        <f>+IF(M183*12&lt;=416220.01,0,IF(M183*12&lt;=624329.01,(((M183*12-416220.01)*0.15)/12),IF((M183*12&lt;=867123.01),(31216+0.2*(M183*12-624329.01))/12,((79776+0.25*(M183*12-867123.01))/12))))-O183</f>
        <v>-1.6666666670062114E-4</v>
      </c>
      <c r="O183" s="8">
        <v>5368.45</v>
      </c>
      <c r="P183" s="107">
        <v>25</v>
      </c>
      <c r="Q183" s="8">
        <f>+P183+N183+L183</f>
        <v>4161.9998333333333</v>
      </c>
      <c r="R183" s="107">
        <f>+H183-Q183</f>
        <v>65838.000166666665</v>
      </c>
    </row>
    <row r="184" spans="1:19" s="79" customFormat="1" ht="25.5" customHeight="1" x14ac:dyDescent="0.2">
      <c r="A184" s="104">
        <f>+A183+1</f>
        <v>69</v>
      </c>
      <c r="B184" s="26" t="s">
        <v>517</v>
      </c>
      <c r="C184" s="12" t="s">
        <v>425</v>
      </c>
      <c r="D184" s="124" t="s">
        <v>518</v>
      </c>
      <c r="E184" s="124" t="s">
        <v>216</v>
      </c>
      <c r="F184" s="26" t="s">
        <v>560</v>
      </c>
      <c r="G184" s="26" t="s">
        <v>560</v>
      </c>
      <c r="H184" s="108">
        <v>110000</v>
      </c>
      <c r="I184" s="108">
        <f>H184*2.87%</f>
        <v>3157</v>
      </c>
      <c r="J184" s="108">
        <f>+H184*3.04%</f>
        <v>3344</v>
      </c>
      <c r="K184" s="108">
        <v>1577.45</v>
      </c>
      <c r="L184" s="8">
        <f>+J184+I184+K184</f>
        <v>8078.45</v>
      </c>
      <c r="M184" s="8">
        <f>+H184-L184</f>
        <v>101921.55</v>
      </c>
      <c r="N184" s="8">
        <f>+IF(M184*12&lt;=416220.01,0,IF(M184*12&lt;=624329.01,(((M184*12-416220.01)*0.15)/12),IF((M184*12&lt;=867123.01),(31216+0.2*(M184*12-624329.01))/12,((79776+0.25*(M184*12-867123.01))/12))))-O184</f>
        <v>14063.324791666668</v>
      </c>
      <c r="O184" s="8"/>
      <c r="P184" s="107">
        <v>25</v>
      </c>
      <c r="Q184" s="8">
        <f>+P184+N184+L184</f>
        <v>22166.774791666667</v>
      </c>
      <c r="R184" s="107">
        <f>+H184-Q184</f>
        <v>87833.22520833333</v>
      </c>
      <c r="S184" s="28"/>
    </row>
    <row r="185" spans="1:19" s="2" customFormat="1" ht="24.95" customHeight="1" thickBot="1" x14ac:dyDescent="0.25">
      <c r="A185" s="104">
        <f>+A184+1</f>
        <v>70</v>
      </c>
      <c r="B185" s="129" t="s">
        <v>443</v>
      </c>
      <c r="C185" s="128" t="s">
        <v>425</v>
      </c>
      <c r="D185" s="129" t="s">
        <v>398</v>
      </c>
      <c r="E185" s="127" t="s">
        <v>216</v>
      </c>
      <c r="F185" s="26" t="s">
        <v>587</v>
      </c>
      <c r="G185" s="26" t="s">
        <v>646</v>
      </c>
      <c r="H185" s="112">
        <v>70000</v>
      </c>
      <c r="I185" s="63">
        <f>H185*2.87%</f>
        <v>2009</v>
      </c>
      <c r="J185" s="63">
        <f>+H185*3.04%</f>
        <v>2128</v>
      </c>
      <c r="K185" s="63">
        <v>1577.45</v>
      </c>
      <c r="L185" s="8">
        <f>+J185+I185+K185</f>
        <v>5714.45</v>
      </c>
      <c r="M185" s="8">
        <f>+H185-L185</f>
        <v>64285.55</v>
      </c>
      <c r="N185" s="8">
        <f>+IF(M185*12&lt;=416220.01,0,IF(M185*12&lt;=624329.01,(((M185*12-416220.01)*0.15)/12),IF((M185*12&lt;=867123.01),(31216+0.2*(M185*12-624329.01))/12,((79776+0.25*(M185*12-867123.01))/12))))-O185</f>
        <v>751.20983333333515</v>
      </c>
      <c r="O185" s="8">
        <f>5052.96-751.21</f>
        <v>4301.75</v>
      </c>
      <c r="P185" s="69">
        <v>25</v>
      </c>
      <c r="Q185" s="8">
        <f>+P185+N185+L185</f>
        <v>6490.659833333335</v>
      </c>
      <c r="R185" s="69">
        <f>+H185-Q185</f>
        <v>63509.340166666661</v>
      </c>
    </row>
    <row r="186" spans="1:19" s="2" customFormat="1" ht="21.75" customHeight="1" thickBot="1" x14ac:dyDescent="0.25">
      <c r="A186" s="282" t="s">
        <v>125</v>
      </c>
      <c r="B186" s="283"/>
      <c r="C186" s="245"/>
      <c r="D186" s="245"/>
      <c r="E186" s="245"/>
      <c r="F186" s="245"/>
      <c r="G186" s="247"/>
      <c r="H186" s="65">
        <f>SUM(H182:H185)</f>
        <v>340000</v>
      </c>
      <c r="I186" s="65">
        <f t="shared" ref="I186:R186" si="81">SUM(I182:I185)</f>
        <v>9758</v>
      </c>
      <c r="J186" s="65">
        <f t="shared" si="81"/>
        <v>10336</v>
      </c>
      <c r="K186" s="65">
        <f t="shared" si="81"/>
        <v>3154.9</v>
      </c>
      <c r="L186" s="65">
        <f t="shared" si="81"/>
        <v>23248.9</v>
      </c>
      <c r="M186" s="65">
        <f t="shared" si="81"/>
        <v>316751.09999999998</v>
      </c>
      <c r="N186" s="65">
        <f t="shared" si="81"/>
        <v>24567.721750000004</v>
      </c>
      <c r="O186" s="65">
        <f t="shared" si="81"/>
        <v>9670.2000000000007</v>
      </c>
      <c r="P186" s="65">
        <f t="shared" si="81"/>
        <v>100</v>
      </c>
      <c r="Q186" s="65">
        <f t="shared" si="81"/>
        <v>47916.621750000006</v>
      </c>
      <c r="R186" s="65">
        <f t="shared" si="81"/>
        <v>292083.37825000001</v>
      </c>
    </row>
    <row r="187" spans="1:19" s="70" customFormat="1" ht="13.5" customHeight="1" thickBot="1" x14ac:dyDescent="0.25">
      <c r="A187" s="64"/>
      <c r="B187" s="64"/>
      <c r="C187" s="64"/>
      <c r="D187" s="64"/>
      <c r="E187" s="64"/>
      <c r="F187" s="64"/>
      <c r="G187" s="64"/>
      <c r="H187"/>
      <c r="I187"/>
      <c r="J187"/>
      <c r="K187"/>
      <c r="L187"/>
      <c r="M187"/>
      <c r="N187"/>
      <c r="O187"/>
      <c r="P187"/>
      <c r="Q187"/>
      <c r="R187"/>
      <c r="S187" s="2"/>
    </row>
    <row r="188" spans="1:19" s="70" customFormat="1" ht="24.95" customHeight="1" thickBot="1" x14ac:dyDescent="0.25">
      <c r="A188" s="243" t="s">
        <v>315</v>
      </c>
      <c r="B188" s="244"/>
      <c r="C188" s="244"/>
      <c r="D188" s="244"/>
      <c r="E188" s="244"/>
      <c r="F188" s="244"/>
      <c r="G188" s="244"/>
      <c r="H188" s="244"/>
      <c r="I188" s="244"/>
      <c r="J188" s="244"/>
      <c r="K188" s="244"/>
      <c r="L188" s="244"/>
      <c r="M188" s="244"/>
      <c r="N188" s="244"/>
      <c r="O188" s="244"/>
      <c r="P188" s="244"/>
      <c r="Q188" s="244"/>
      <c r="R188" s="244"/>
      <c r="S188" s="2"/>
    </row>
    <row r="189" spans="1:19" s="79" customFormat="1" ht="27" customHeight="1" x14ac:dyDescent="0.2">
      <c r="A189" s="104">
        <f>+A185+1</f>
        <v>71</v>
      </c>
      <c r="B189" s="26" t="s">
        <v>459</v>
      </c>
      <c r="C189" s="12" t="s">
        <v>425</v>
      </c>
      <c r="D189" s="124" t="s">
        <v>460</v>
      </c>
      <c r="E189" s="124" t="s">
        <v>216</v>
      </c>
      <c r="F189" s="26" t="s">
        <v>581</v>
      </c>
      <c r="G189" s="26" t="s">
        <v>647</v>
      </c>
      <c r="H189" s="108">
        <v>135000</v>
      </c>
      <c r="I189" s="108">
        <f>H189*2.87%</f>
        <v>3874.5</v>
      </c>
      <c r="J189" s="108">
        <f>+H189*3.04%</f>
        <v>4104</v>
      </c>
      <c r="K189" s="108"/>
      <c r="L189" s="8">
        <f t="shared" si="57"/>
        <v>7978.5</v>
      </c>
      <c r="M189" s="8">
        <f t="shared" si="58"/>
        <v>127021.5</v>
      </c>
      <c r="N189" s="8">
        <f>+IF(M189*12&lt;=416220.01,0,IF(M189*12&lt;=624329.01,(((M189*12-416220.01)*0.15)/12),IF((M189*12&lt;=867123.01),(31216+0.2*(M189*12-624329.01))/12,((79776+0.25*(M189*12-867123.01))/12))))-O189</f>
        <v>20338.312291666665</v>
      </c>
      <c r="O189" s="8"/>
      <c r="P189" s="107">
        <v>125</v>
      </c>
      <c r="Q189" s="8">
        <f t="shared" ref="Q189:Q192" si="82">+P189+N189+L189</f>
        <v>28441.812291666665</v>
      </c>
      <c r="R189" s="107">
        <f t="shared" ref="R189:R192" si="83">+H189-Q189</f>
        <v>106558.18770833334</v>
      </c>
      <c r="S189" s="28"/>
    </row>
    <row r="190" spans="1:19" s="79" customFormat="1" ht="25.5" customHeight="1" x14ac:dyDescent="0.2">
      <c r="A190" s="104">
        <f>+A189+1</f>
        <v>72</v>
      </c>
      <c r="B190" s="106" t="s">
        <v>524</v>
      </c>
      <c r="C190" s="104" t="s">
        <v>425</v>
      </c>
      <c r="D190" s="105" t="s">
        <v>518</v>
      </c>
      <c r="E190" s="105" t="s">
        <v>216</v>
      </c>
      <c r="F190" s="26" t="s">
        <v>582</v>
      </c>
      <c r="G190" s="26" t="s">
        <v>649</v>
      </c>
      <c r="H190" s="108">
        <v>100000</v>
      </c>
      <c r="I190" s="108">
        <f>H190*2.87%</f>
        <v>2870</v>
      </c>
      <c r="J190" s="108">
        <f>+H190*3.04%</f>
        <v>3040</v>
      </c>
      <c r="K190" s="108">
        <v>4732.3500000000004</v>
      </c>
      <c r="L190" s="8">
        <f t="shared" si="57"/>
        <v>10642.35</v>
      </c>
      <c r="M190" s="8">
        <f t="shared" si="58"/>
        <v>89357.65</v>
      </c>
      <c r="N190" s="8">
        <f t="shared" ref="N190:N192" si="84">+IF(M190*12&lt;=416220.01,0,IF(M190*12&lt;=624329.01,(((M190*12-416220.01)*0.15)/12),IF((M190*12&lt;=867123.01),(31216+0.2*(M190*12-624329.01))/12,((79776+0.25*(M190*12-867123.01))/12))))-O190</f>
        <v>10922.349791666662</v>
      </c>
      <c r="O190" s="8"/>
      <c r="P190" s="107">
        <v>2393.2399999999998</v>
      </c>
      <c r="Q190" s="8">
        <f t="shared" si="82"/>
        <v>23957.939791666664</v>
      </c>
      <c r="R190" s="107">
        <f t="shared" si="83"/>
        <v>76042.060208333336</v>
      </c>
      <c r="S190" s="28"/>
    </row>
    <row r="191" spans="1:19" s="2" customFormat="1" ht="24.95" customHeight="1" x14ac:dyDescent="0.2">
      <c r="A191" s="104">
        <f>+A190+1</f>
        <v>73</v>
      </c>
      <c r="B191" s="129" t="s">
        <v>227</v>
      </c>
      <c r="C191" s="128" t="s">
        <v>425</v>
      </c>
      <c r="D191" s="129" t="s">
        <v>398</v>
      </c>
      <c r="E191" s="127" t="s">
        <v>216</v>
      </c>
      <c r="F191" s="126" t="s">
        <v>542</v>
      </c>
      <c r="G191" s="126" t="s">
        <v>640</v>
      </c>
      <c r="H191" s="112">
        <v>50000</v>
      </c>
      <c r="I191" s="63">
        <f t="shared" ref="I191" si="85">H191*2.87%</f>
        <v>1435</v>
      </c>
      <c r="J191" s="63">
        <f t="shared" ref="J191" si="86">+H191*3.04%</f>
        <v>1520</v>
      </c>
      <c r="K191" s="63"/>
      <c r="L191" s="8">
        <f t="shared" si="57"/>
        <v>2955</v>
      </c>
      <c r="M191" s="8">
        <f t="shared" si="58"/>
        <v>47045</v>
      </c>
      <c r="N191" s="8">
        <f t="shared" si="84"/>
        <v>1853.9998749999997</v>
      </c>
      <c r="O191" s="8"/>
      <c r="P191" s="69">
        <v>2270.33</v>
      </c>
      <c r="Q191" s="8">
        <f t="shared" si="82"/>
        <v>7079.3298749999994</v>
      </c>
      <c r="R191" s="69">
        <f t="shared" si="83"/>
        <v>42920.670125000004</v>
      </c>
    </row>
    <row r="192" spans="1:19" s="2" customFormat="1" ht="24.95" customHeight="1" x14ac:dyDescent="0.2">
      <c r="A192" s="104">
        <f>+A191+1</f>
        <v>74</v>
      </c>
      <c r="B192" s="129" t="s">
        <v>681</v>
      </c>
      <c r="C192" s="128" t="s">
        <v>425</v>
      </c>
      <c r="D192" s="129" t="s">
        <v>682</v>
      </c>
      <c r="E192" s="127" t="s">
        <v>216</v>
      </c>
      <c r="F192" s="26" t="s">
        <v>587</v>
      </c>
      <c r="G192" s="26" t="s">
        <v>646</v>
      </c>
      <c r="H192" s="112">
        <v>110000</v>
      </c>
      <c r="I192" s="63">
        <f t="shared" ref="I192" si="87">H192*2.87%</f>
        <v>3157</v>
      </c>
      <c r="J192" s="63">
        <f t="shared" ref="J192" si="88">+H192*3.04%</f>
        <v>3344</v>
      </c>
      <c r="K192" s="63"/>
      <c r="L192" s="8">
        <f t="shared" si="57"/>
        <v>6501</v>
      </c>
      <c r="M192" s="8">
        <f t="shared" si="58"/>
        <v>103499</v>
      </c>
      <c r="N192" s="8">
        <f t="shared" si="84"/>
        <v>14457.687291666667</v>
      </c>
      <c r="O192" s="8"/>
      <c r="P192" s="69">
        <v>25</v>
      </c>
      <c r="Q192" s="8">
        <f t="shared" si="82"/>
        <v>20983.687291666669</v>
      </c>
      <c r="R192" s="69">
        <f t="shared" si="83"/>
        <v>89016.312708333338</v>
      </c>
    </row>
    <row r="193" spans="1:19" s="2" customFormat="1" ht="26.25" customHeight="1" thickBot="1" x14ac:dyDescent="0.25">
      <c r="A193" s="282" t="s">
        <v>125</v>
      </c>
      <c r="B193" s="283"/>
      <c r="C193" s="246"/>
      <c r="D193" s="246"/>
      <c r="E193" s="246"/>
      <c r="F193" s="246"/>
      <c r="G193" s="246"/>
      <c r="H193" s="158">
        <f>SUM(H189:H192)</f>
        <v>395000</v>
      </c>
      <c r="I193" s="158">
        <f t="shared" ref="I193:R193" si="89">SUM(I189:I192)</f>
        <v>11336.5</v>
      </c>
      <c r="J193" s="158">
        <f t="shared" si="89"/>
        <v>12008</v>
      </c>
      <c r="K193" s="158">
        <f t="shared" si="89"/>
        <v>4732.3500000000004</v>
      </c>
      <c r="L193" s="158">
        <f t="shared" si="89"/>
        <v>28076.85</v>
      </c>
      <c r="M193" s="158">
        <f t="shared" si="89"/>
        <v>366923.15</v>
      </c>
      <c r="N193" s="158">
        <f>SUM(N189:N192)</f>
        <v>47572.349249999999</v>
      </c>
      <c r="O193" s="158">
        <f t="shared" si="89"/>
        <v>0</v>
      </c>
      <c r="P193" s="158">
        <f t="shared" si="89"/>
        <v>4813.57</v>
      </c>
      <c r="Q193" s="158">
        <f t="shared" si="89"/>
        <v>80462.769249999983</v>
      </c>
      <c r="R193" s="158">
        <f t="shared" si="89"/>
        <v>314537.23074999999</v>
      </c>
    </row>
    <row r="194" spans="1:19" s="2" customFormat="1" ht="20.100000000000001" customHeight="1" thickBot="1" x14ac:dyDescent="0.25">
      <c r="A194" s="64"/>
      <c r="B194" s="64"/>
      <c r="C194" s="64"/>
      <c r="D194" s="64"/>
      <c r="E194" s="64"/>
      <c r="F194" s="64"/>
      <c r="G194" s="64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</row>
    <row r="195" spans="1:19" s="2" customFormat="1" ht="24.95" customHeight="1" thickBot="1" x14ac:dyDescent="0.25">
      <c r="A195" s="243" t="s">
        <v>232</v>
      </c>
      <c r="B195" s="244"/>
      <c r="C195" s="244"/>
      <c r="D195" s="244"/>
      <c r="E195" s="244"/>
      <c r="F195" s="244"/>
      <c r="G195" s="244"/>
      <c r="H195" s="244"/>
      <c r="I195" s="244"/>
      <c r="J195" s="244"/>
      <c r="K195" s="244"/>
      <c r="L195" s="244"/>
      <c r="M195" s="244"/>
      <c r="N195" s="244"/>
      <c r="O195" s="244"/>
      <c r="P195" s="244"/>
      <c r="Q195" s="244"/>
      <c r="R195" s="244"/>
    </row>
    <row r="196" spans="1:19" s="2" customFormat="1" ht="24.95" customHeight="1" x14ac:dyDescent="0.2">
      <c r="A196" s="104">
        <f>+A192+1</f>
        <v>75</v>
      </c>
      <c r="B196" s="26" t="s">
        <v>665</v>
      </c>
      <c r="C196" s="12" t="s">
        <v>425</v>
      </c>
      <c r="D196" s="26" t="s">
        <v>398</v>
      </c>
      <c r="E196" s="124" t="s">
        <v>216</v>
      </c>
      <c r="F196" s="26" t="s">
        <v>582</v>
      </c>
      <c r="G196" s="26" t="s">
        <v>649</v>
      </c>
      <c r="H196" s="112">
        <v>50000</v>
      </c>
      <c r="I196" s="5">
        <f>H196*2.87%</f>
        <v>1435</v>
      </c>
      <c r="J196" s="5">
        <f>+H196*3.04%</f>
        <v>1520</v>
      </c>
      <c r="K196" s="5"/>
      <c r="L196" s="8">
        <f t="shared" si="57"/>
        <v>2955</v>
      </c>
      <c r="M196" s="8">
        <f t="shared" si="58"/>
        <v>47045</v>
      </c>
      <c r="N196" s="8">
        <f>+IF(M196*12&lt;=416220.01,0,IF(M196*12&lt;=624329.01,(((M196*12-416220.01)*0.15)/12),IF((M196*12&lt;=867123.01),(31216+0.2*(M196*12-624329.01))/12,((79776+0.25*(M196*12-867123.01))/12))))-O196</f>
        <v>1853.9998749999997</v>
      </c>
      <c r="O196" s="8"/>
      <c r="P196" s="5">
        <v>25</v>
      </c>
      <c r="Q196" s="8">
        <f>+P196+N196+L196</f>
        <v>4833.9998749999995</v>
      </c>
      <c r="R196" s="69">
        <f>H196-Q196</f>
        <v>45166.000124999999</v>
      </c>
    </row>
    <row r="197" spans="1:19" s="2" customFormat="1" ht="24.95" customHeight="1" thickBot="1" x14ac:dyDescent="0.25">
      <c r="A197" s="282" t="s">
        <v>125</v>
      </c>
      <c r="B197" s="283"/>
      <c r="C197" s="246"/>
      <c r="D197" s="5"/>
      <c r="E197" s="246"/>
      <c r="F197" s="246"/>
      <c r="G197" s="250"/>
      <c r="H197" s="78">
        <f t="shared" ref="H197:R197" si="90">SUM(H196:H196)</f>
        <v>50000</v>
      </c>
      <c r="I197" s="78">
        <f t="shared" si="90"/>
        <v>1435</v>
      </c>
      <c r="J197" s="78">
        <f t="shared" si="90"/>
        <v>1520</v>
      </c>
      <c r="K197" s="78">
        <f t="shared" si="90"/>
        <v>0</v>
      </c>
      <c r="L197" s="78">
        <f t="shared" si="90"/>
        <v>2955</v>
      </c>
      <c r="M197" s="78">
        <f t="shared" si="90"/>
        <v>47045</v>
      </c>
      <c r="N197" s="78">
        <f t="shared" si="90"/>
        <v>1853.9998749999997</v>
      </c>
      <c r="O197" s="78">
        <f t="shared" si="90"/>
        <v>0</v>
      </c>
      <c r="P197" s="78">
        <f t="shared" si="90"/>
        <v>25</v>
      </c>
      <c r="Q197" s="78">
        <f t="shared" si="90"/>
        <v>4833.9998749999995</v>
      </c>
      <c r="R197" s="78">
        <f t="shared" si="90"/>
        <v>45166.000124999999</v>
      </c>
    </row>
    <row r="198" spans="1:19" s="2" customFormat="1" ht="13.5" customHeight="1" thickBot="1" x14ac:dyDescent="0.25">
      <c r="A198" s="64"/>
      <c r="B198" s="64"/>
      <c r="C198" s="64"/>
      <c r="D198" s="64"/>
      <c r="E198" s="64"/>
      <c r="F198" s="64"/>
      <c r="G198" s="64"/>
      <c r="H198" s="141"/>
      <c r="I198" s="141"/>
      <c r="J198" s="141"/>
      <c r="K198" s="141"/>
      <c r="L198" s="141"/>
      <c r="M198" s="141"/>
      <c r="N198" s="141"/>
      <c r="O198" s="141"/>
      <c r="P198" s="141"/>
      <c r="Q198" s="141"/>
      <c r="R198" s="141"/>
    </row>
    <row r="199" spans="1:19" s="2" customFormat="1" ht="24.95" customHeight="1" thickBot="1" x14ac:dyDescent="0.25">
      <c r="A199" s="243" t="s">
        <v>226</v>
      </c>
      <c r="B199" s="244"/>
      <c r="C199" s="244"/>
      <c r="D199" s="244"/>
      <c r="E199" s="244"/>
      <c r="F199" s="244"/>
      <c r="G199" s="244"/>
      <c r="H199" s="244"/>
      <c r="I199" s="244"/>
      <c r="J199" s="244"/>
      <c r="K199" s="244"/>
      <c r="L199" s="244"/>
      <c r="M199" s="244"/>
      <c r="N199" s="244"/>
      <c r="O199" s="244"/>
      <c r="P199" s="244"/>
      <c r="Q199" s="244"/>
      <c r="R199" s="244"/>
    </row>
    <row r="200" spans="1:19" s="2" customFormat="1" ht="24.95" customHeight="1" x14ac:dyDescent="0.2">
      <c r="A200" s="104">
        <f>+A196+1</f>
        <v>76</v>
      </c>
      <c r="B200" s="26" t="s">
        <v>461</v>
      </c>
      <c r="C200" s="12" t="s">
        <v>425</v>
      </c>
      <c r="D200" s="124" t="s">
        <v>462</v>
      </c>
      <c r="E200" s="124" t="s">
        <v>216</v>
      </c>
      <c r="F200" s="26" t="s">
        <v>581</v>
      </c>
      <c r="G200" s="26" t="s">
        <v>647</v>
      </c>
      <c r="H200" s="108">
        <v>135000</v>
      </c>
      <c r="I200" s="108">
        <f>H200*2.87%</f>
        <v>3874.5</v>
      </c>
      <c r="J200" s="108">
        <f>+H200*3.04%</f>
        <v>4104</v>
      </c>
      <c r="K200" s="108"/>
      <c r="L200" s="8">
        <f t="shared" si="57"/>
        <v>7978.5</v>
      </c>
      <c r="M200" s="8">
        <f t="shared" si="58"/>
        <v>127021.5</v>
      </c>
      <c r="N200" s="8">
        <f>+IF(M200*12&lt;=416220.01,0,IF(M200*12&lt;=624329.01,(((M200*12-416220.01)*0.15)/12),IF((M200*12&lt;=867123.01),(31216+0.2*(M200*12-624329.01))/12,((79776+0.25*(M200*12-867123.01))/12))))</f>
        <v>20338.312291666665</v>
      </c>
      <c r="O200" s="8"/>
      <c r="P200" s="107">
        <v>5125</v>
      </c>
      <c r="Q200" s="8">
        <f>+P200+N200+L200</f>
        <v>33441.812291666662</v>
      </c>
      <c r="R200" s="107">
        <f>+H200-Q200</f>
        <v>101558.18770833334</v>
      </c>
    </row>
    <row r="201" spans="1:19" s="2" customFormat="1" ht="24.95" customHeight="1" x14ac:dyDescent="0.2">
      <c r="A201" s="68">
        <f>+A200+1</f>
        <v>77</v>
      </c>
      <c r="B201" s="129" t="s">
        <v>444</v>
      </c>
      <c r="C201" s="128" t="s">
        <v>425</v>
      </c>
      <c r="D201" s="127" t="s">
        <v>445</v>
      </c>
      <c r="E201" s="124" t="s">
        <v>216</v>
      </c>
      <c r="F201" s="26" t="s">
        <v>569</v>
      </c>
      <c r="G201" s="26" t="s">
        <v>638</v>
      </c>
      <c r="H201" s="63">
        <v>90000</v>
      </c>
      <c r="I201" s="63">
        <f>H201*2.87%</f>
        <v>2583</v>
      </c>
      <c r="J201" s="63">
        <f>+H201*3.04%</f>
        <v>2736</v>
      </c>
      <c r="K201" s="63"/>
      <c r="L201" s="8">
        <f t="shared" si="57"/>
        <v>5319</v>
      </c>
      <c r="M201" s="8">
        <f t="shared" si="58"/>
        <v>84681</v>
      </c>
      <c r="N201" s="8">
        <f>+IF(M201*12&lt;=416220.01,0,IF(M201*12&lt;=624329.01,(((M201*12-416220.01)*0.15)/12),IF((M201*12&lt;=867123.01),(31216+0.2*(M201*12-624329.01))/12,((79776+0.25*(M201*12-867123.01))/12))))</f>
        <v>9753.1872916666671</v>
      </c>
      <c r="O201" s="8"/>
      <c r="P201" s="69">
        <v>125</v>
      </c>
      <c r="Q201" s="8">
        <f>+P201+N201+L201</f>
        <v>15197.187291666667</v>
      </c>
      <c r="R201" s="69">
        <f>+H201-Q201</f>
        <v>74802.812708333338</v>
      </c>
    </row>
    <row r="202" spans="1:19" s="2" customFormat="1" ht="24.95" customHeight="1" x14ac:dyDescent="0.2">
      <c r="A202" s="104">
        <f>+A201+1</f>
        <v>78</v>
      </c>
      <c r="B202" s="26" t="s">
        <v>530</v>
      </c>
      <c r="C202" s="12" t="s">
        <v>425</v>
      </c>
      <c r="D202" s="26" t="s">
        <v>398</v>
      </c>
      <c r="E202" s="124" t="s">
        <v>216</v>
      </c>
      <c r="F202" s="26" t="s">
        <v>587</v>
      </c>
      <c r="G202" s="26" t="s">
        <v>646</v>
      </c>
      <c r="H202" s="112">
        <v>70000</v>
      </c>
      <c r="I202" s="5">
        <f>H202*2.87%</f>
        <v>2009</v>
      </c>
      <c r="J202" s="5">
        <f>+H202*3.04%</f>
        <v>2128</v>
      </c>
      <c r="K202" s="5"/>
      <c r="L202" s="8">
        <f>+J202+I202+K202</f>
        <v>4137</v>
      </c>
      <c r="M202" s="8">
        <f>+H202-L202</f>
        <v>65863</v>
      </c>
      <c r="N202" s="8">
        <f>+IF(M202*12&lt;=416220.01,0,IF(M202*12&lt;=624329.01,(((M202*12-416220.01)*0.15)/12),IF((M202*12&lt;=867123.01),(31216+0.2*(M202*12-624329.01))/12,((79776+0.25*(M202*12-867123.01))/12))))-O202</f>
        <v>-1.6666666670062114E-4</v>
      </c>
      <c r="O202" s="8">
        <v>5368.45</v>
      </c>
      <c r="P202" s="5">
        <v>25</v>
      </c>
      <c r="Q202" s="8">
        <f>+P202+N202+L202</f>
        <v>4161.9998333333333</v>
      </c>
      <c r="R202" s="69">
        <f>H202-Q202</f>
        <v>65838.000166666665</v>
      </c>
    </row>
    <row r="203" spans="1:19" s="2" customFormat="1" ht="24.95" customHeight="1" thickBot="1" x14ac:dyDescent="0.25">
      <c r="A203" s="282" t="s">
        <v>125</v>
      </c>
      <c r="B203" s="283"/>
      <c r="C203" s="246"/>
      <c r="D203" s="246"/>
      <c r="E203" s="246"/>
      <c r="F203" s="246"/>
      <c r="G203" s="250"/>
      <c r="H203" s="78">
        <f>SUM(H200:H202)</f>
        <v>295000</v>
      </c>
      <c r="I203" s="78">
        <f t="shared" ref="I203:Q203" si="91">SUM(I200:I202)</f>
        <v>8466.5</v>
      </c>
      <c r="J203" s="78">
        <f t="shared" si="91"/>
        <v>8968</v>
      </c>
      <c r="K203" s="78">
        <f t="shared" si="91"/>
        <v>0</v>
      </c>
      <c r="L203" s="78">
        <f t="shared" si="91"/>
        <v>17434.5</v>
      </c>
      <c r="M203" s="78">
        <f t="shared" si="91"/>
        <v>277565.5</v>
      </c>
      <c r="N203" s="78">
        <f t="shared" si="91"/>
        <v>30091.499416666666</v>
      </c>
      <c r="O203" s="78">
        <f t="shared" si="91"/>
        <v>5368.45</v>
      </c>
      <c r="P203" s="78">
        <f t="shared" si="91"/>
        <v>5275</v>
      </c>
      <c r="Q203" s="78">
        <f t="shared" si="91"/>
        <v>52800.999416666666</v>
      </c>
      <c r="R203" s="78">
        <f>SUM(R200:R202)</f>
        <v>242199.00058333334</v>
      </c>
    </row>
    <row r="204" spans="1:19" s="2" customFormat="1" ht="11.25" customHeight="1" thickBot="1" x14ac:dyDescent="0.25">
      <c r="A204" s="206"/>
      <c r="B204" s="206"/>
      <c r="C204" s="206"/>
      <c r="D204" s="206"/>
      <c r="E204" s="206"/>
      <c r="F204" s="206"/>
      <c r="G204" s="206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</row>
    <row r="205" spans="1:19" s="70" customFormat="1" ht="26.25" customHeight="1" thickBot="1" x14ac:dyDescent="0.25">
      <c r="A205" s="243" t="s">
        <v>21</v>
      </c>
      <c r="B205" s="244"/>
      <c r="C205" s="244"/>
      <c r="D205" s="244"/>
      <c r="E205" s="244"/>
      <c r="F205" s="244"/>
      <c r="G205" s="244"/>
      <c r="H205" s="244"/>
      <c r="I205" s="244"/>
      <c r="J205" s="244"/>
      <c r="K205" s="244"/>
      <c r="L205" s="244"/>
      <c r="M205" s="244"/>
      <c r="N205" s="244"/>
      <c r="O205" s="244"/>
      <c r="P205" s="244"/>
      <c r="Q205" s="244"/>
      <c r="R205" s="244"/>
      <c r="S205" s="2"/>
    </row>
    <row r="206" spans="1:19" s="70" customFormat="1" ht="29.25" customHeight="1" x14ac:dyDescent="0.2">
      <c r="A206" s="159">
        <f>+A202+1</f>
        <v>79</v>
      </c>
      <c r="B206" s="160" t="s">
        <v>612</v>
      </c>
      <c r="C206" s="161" t="s">
        <v>425</v>
      </c>
      <c r="D206" s="160" t="s">
        <v>613</v>
      </c>
      <c r="E206" s="105" t="s">
        <v>216</v>
      </c>
      <c r="F206" s="106" t="s">
        <v>615</v>
      </c>
      <c r="G206" s="106" t="s">
        <v>614</v>
      </c>
      <c r="H206" s="108">
        <v>170000</v>
      </c>
      <c r="I206" s="108">
        <f>H206*2.87%</f>
        <v>4879</v>
      </c>
      <c r="J206" s="108">
        <f>+H206*3.04%</f>
        <v>5168</v>
      </c>
      <c r="K206" s="108">
        <v>1577.45</v>
      </c>
      <c r="L206" s="8">
        <f t="shared" si="57"/>
        <v>11624.45</v>
      </c>
      <c r="M206" s="8">
        <f t="shared" si="58"/>
        <v>158375.54999999999</v>
      </c>
      <c r="N206" s="8">
        <f>+IF(M206*12&lt;=416220.01,0,IF(M206*12&lt;=624329.01,(((M206*12-416220.01)*0.15)/12),IF((M206*12&lt;=867123.01),(31216+0.2*(M206*12-624329.01))/12,((79776+0.25*(M206*12-867123.01))/12))))</f>
        <v>28176.824791666662</v>
      </c>
      <c r="O206" s="8"/>
      <c r="P206" s="107">
        <v>25</v>
      </c>
      <c r="Q206" s="8">
        <f>+P206+N206+L206</f>
        <v>39826.274791666663</v>
      </c>
      <c r="R206" s="107">
        <f>+H206-Q206</f>
        <v>130173.72520833334</v>
      </c>
      <c r="S206" s="2"/>
    </row>
    <row r="207" spans="1:19" ht="18" customHeight="1" x14ac:dyDescent="0.2">
      <c r="A207" s="282" t="s">
        <v>125</v>
      </c>
      <c r="B207" s="283"/>
      <c r="C207" s="246"/>
      <c r="D207" s="246"/>
      <c r="E207" s="246"/>
      <c r="F207" s="246"/>
      <c r="G207" s="245"/>
      <c r="H207" s="16">
        <f>SUM(H206:H206)</f>
        <v>170000</v>
      </c>
      <c r="I207" s="16">
        <f t="shared" ref="I207:R207" si="92">SUM(I206:I206)</f>
        <v>4879</v>
      </c>
      <c r="J207" s="16">
        <f t="shared" si="92"/>
        <v>5168</v>
      </c>
      <c r="K207" s="16">
        <f t="shared" si="92"/>
        <v>1577.45</v>
      </c>
      <c r="L207" s="16">
        <f t="shared" si="92"/>
        <v>11624.45</v>
      </c>
      <c r="M207" s="16">
        <f t="shared" si="92"/>
        <v>158375.54999999999</v>
      </c>
      <c r="N207" s="16">
        <f t="shared" si="92"/>
        <v>28176.824791666662</v>
      </c>
      <c r="O207" s="16"/>
      <c r="P207" s="16">
        <f t="shared" si="92"/>
        <v>25</v>
      </c>
      <c r="Q207" s="16">
        <f t="shared" si="92"/>
        <v>39826.274791666663</v>
      </c>
      <c r="R207" s="16">
        <f t="shared" si="92"/>
        <v>130173.72520833334</v>
      </c>
    </row>
    <row r="208" spans="1:19" s="70" customFormat="1" ht="26.25" customHeight="1" thickBot="1" x14ac:dyDescent="0.25">
      <c r="A208" s="64"/>
      <c r="B208" s="64"/>
      <c r="C208" s="64"/>
      <c r="D208" s="64"/>
      <c r="E208" s="64"/>
      <c r="F208" s="64"/>
      <c r="G208" s="64"/>
      <c r="H208"/>
      <c r="I208"/>
      <c r="J208"/>
      <c r="K208"/>
      <c r="L208"/>
      <c r="M208"/>
      <c r="N208"/>
      <c r="O208"/>
      <c r="P208"/>
      <c r="Q208"/>
      <c r="R208"/>
      <c r="S208" s="2"/>
    </row>
    <row r="209" spans="1:19" s="70" customFormat="1" ht="26.25" customHeight="1" thickBot="1" x14ac:dyDescent="0.25">
      <c r="A209" s="243" t="s">
        <v>399</v>
      </c>
      <c r="B209" s="244"/>
      <c r="C209" s="244"/>
      <c r="D209" s="244"/>
      <c r="E209" s="244"/>
      <c r="F209" s="244"/>
      <c r="G209" s="244"/>
      <c r="H209" s="244"/>
      <c r="I209" s="244"/>
      <c r="J209" s="244"/>
      <c r="K209" s="244"/>
      <c r="L209" s="244"/>
      <c r="M209" s="244"/>
      <c r="N209" s="244"/>
      <c r="O209" s="244"/>
      <c r="P209" s="244"/>
      <c r="Q209" s="244"/>
      <c r="R209" s="244"/>
      <c r="S209" s="2"/>
    </row>
    <row r="210" spans="1:19" s="70" customFormat="1" ht="29.25" customHeight="1" x14ac:dyDescent="0.2">
      <c r="A210" s="159">
        <f>+A206+1</f>
        <v>80</v>
      </c>
      <c r="B210" s="160" t="s">
        <v>400</v>
      </c>
      <c r="C210" s="161" t="s">
        <v>425</v>
      </c>
      <c r="D210" s="160" t="s">
        <v>152</v>
      </c>
      <c r="E210" s="105" t="s">
        <v>216</v>
      </c>
      <c r="F210" s="106" t="s">
        <v>574</v>
      </c>
      <c r="G210" s="106" t="s">
        <v>655</v>
      </c>
      <c r="H210" s="108">
        <v>155000</v>
      </c>
      <c r="I210" s="108">
        <f>H210*2.87%</f>
        <v>4448.5</v>
      </c>
      <c r="J210" s="108">
        <f>+H210*3.04%</f>
        <v>4712</v>
      </c>
      <c r="K210" s="108">
        <v>1577.45</v>
      </c>
      <c r="L210" s="8">
        <f t="shared" si="57"/>
        <v>10737.95</v>
      </c>
      <c r="M210" s="8">
        <f t="shared" si="58"/>
        <v>144262.04999999999</v>
      </c>
      <c r="N210" s="8">
        <f>+IF(M210*12&lt;=416220.01,0,IF(M210*12&lt;=624329.01,(((M210*12-416220.01)*0.15)/12),IF((M210*12&lt;=867123.01),(31216+0.2*(M210*12-624329.01))/12,((79776+0.25*(M210*12-867123.01))/12))))</f>
        <v>24648.449791666662</v>
      </c>
      <c r="O210" s="8"/>
      <c r="P210" s="107">
        <v>25</v>
      </c>
      <c r="Q210" s="8">
        <f>+P210+N210+L210</f>
        <v>35411.399791666663</v>
      </c>
      <c r="R210" s="107">
        <f>+H210-Q210</f>
        <v>119588.60020833334</v>
      </c>
      <c r="S210" s="2"/>
    </row>
    <row r="211" spans="1:19" ht="18" customHeight="1" x14ac:dyDescent="0.2">
      <c r="A211" s="282" t="s">
        <v>125</v>
      </c>
      <c r="B211" s="283"/>
      <c r="C211" s="246"/>
      <c r="D211" s="246"/>
      <c r="E211" s="246"/>
      <c r="F211" s="246"/>
      <c r="G211" s="245"/>
      <c r="H211" s="16">
        <f>SUM(H210:H210)</f>
        <v>155000</v>
      </c>
      <c r="I211" s="16">
        <f t="shared" ref="I211:R211" si="93">SUM(I210:I210)</f>
        <v>4448.5</v>
      </c>
      <c r="J211" s="16">
        <f t="shared" si="93"/>
        <v>4712</v>
      </c>
      <c r="K211" s="16">
        <f t="shared" si="93"/>
        <v>1577.45</v>
      </c>
      <c r="L211" s="16">
        <f t="shared" si="93"/>
        <v>10737.95</v>
      </c>
      <c r="M211" s="16">
        <f t="shared" si="93"/>
        <v>144262.04999999999</v>
      </c>
      <c r="N211" s="16">
        <f t="shared" si="93"/>
        <v>24648.449791666662</v>
      </c>
      <c r="O211" s="16"/>
      <c r="P211" s="16">
        <f t="shared" si="93"/>
        <v>25</v>
      </c>
      <c r="Q211" s="16">
        <f t="shared" si="93"/>
        <v>35411.399791666663</v>
      </c>
      <c r="R211" s="16">
        <f t="shared" si="93"/>
        <v>119588.60020833334</v>
      </c>
    </row>
    <row r="212" spans="1:19" s="70" customFormat="1" ht="26.25" customHeight="1" thickBot="1" x14ac:dyDescent="0.25">
      <c r="A212" s="64"/>
      <c r="B212" s="64"/>
      <c r="C212" s="64"/>
      <c r="D212" s="64"/>
      <c r="E212" s="64"/>
      <c r="F212" s="64"/>
      <c r="G212" s="64"/>
      <c r="H212"/>
      <c r="I212"/>
      <c r="J212"/>
      <c r="K212"/>
      <c r="L212"/>
      <c r="M212"/>
      <c r="N212"/>
      <c r="O212"/>
      <c r="P212"/>
      <c r="Q212"/>
      <c r="R212"/>
      <c r="S212" s="2"/>
    </row>
    <row r="213" spans="1:19" s="2" customFormat="1" ht="27.75" customHeight="1" thickBot="1" x14ac:dyDescent="0.25">
      <c r="A213" s="220" t="s">
        <v>451</v>
      </c>
      <c r="B213" s="221"/>
      <c r="C213" s="221"/>
      <c r="D213" s="221"/>
      <c r="E213" s="221"/>
      <c r="F213" s="221"/>
      <c r="G213" s="221"/>
      <c r="H213" s="221"/>
      <c r="I213" s="221"/>
      <c r="J213" s="221"/>
      <c r="K213" s="221"/>
      <c r="L213" s="221"/>
      <c r="M213" s="221"/>
      <c r="N213" s="221"/>
      <c r="O213" s="221"/>
      <c r="P213" s="221"/>
      <c r="Q213" s="221"/>
      <c r="R213" s="221"/>
    </row>
    <row r="214" spans="1:19" s="2" customFormat="1" ht="24.95" customHeight="1" x14ac:dyDescent="0.2">
      <c r="A214" s="12">
        <f>+A210+1</f>
        <v>81</v>
      </c>
      <c r="B214" s="61" t="s">
        <v>446</v>
      </c>
      <c r="C214" s="155" t="s">
        <v>425</v>
      </c>
      <c r="D214" s="125" t="s">
        <v>447</v>
      </c>
      <c r="E214" s="124" t="s">
        <v>216</v>
      </c>
      <c r="F214" s="26" t="s">
        <v>569</v>
      </c>
      <c r="G214" s="26" t="s">
        <v>638</v>
      </c>
      <c r="H214" s="63">
        <v>70000</v>
      </c>
      <c r="I214" s="108">
        <f>H214*2.87%</f>
        <v>2009</v>
      </c>
      <c r="J214" s="108">
        <f>+H214*3.04%</f>
        <v>2128</v>
      </c>
      <c r="K214" s="108"/>
      <c r="L214" s="8">
        <f t="shared" si="57"/>
        <v>4137</v>
      </c>
      <c r="M214" s="8">
        <f t="shared" si="58"/>
        <v>65863</v>
      </c>
      <c r="N214" s="8">
        <f>+IF(M214*12&lt;=416220.01,0,IF(M214*12&lt;=624329.01,(((M214*12-416220.01)*0.15)/12),IF((M214*12&lt;=867123.01),(31216+0.2*(M214*12-624329.01))/12,((79776+0.25*(M214*12-867123.01))/12))))-O214</f>
        <v>5368.4498333333331</v>
      </c>
      <c r="O214" s="8">
        <v>0</v>
      </c>
      <c r="P214" s="107">
        <v>25</v>
      </c>
      <c r="Q214" s="8">
        <f>+P214+N214+L214</f>
        <v>9530.4498333333322</v>
      </c>
      <c r="R214" s="107">
        <f>+H214-Q214</f>
        <v>60469.550166666668</v>
      </c>
    </row>
    <row r="215" spans="1:19" s="110" customFormat="1" ht="24.95" customHeight="1" x14ac:dyDescent="0.2">
      <c r="A215" s="282" t="s">
        <v>125</v>
      </c>
      <c r="B215" s="283"/>
      <c r="C215" s="245"/>
      <c r="D215" s="245"/>
      <c r="E215" s="245"/>
      <c r="F215" s="245"/>
      <c r="G215" s="245"/>
      <c r="H215" s="16">
        <f>SUM(H214:H214)</f>
        <v>70000</v>
      </c>
      <c r="I215" s="16">
        <f t="shared" ref="I215:R215" si="94">SUM(I214:I214)</f>
        <v>2009</v>
      </c>
      <c r="J215" s="16">
        <f t="shared" si="94"/>
        <v>2128</v>
      </c>
      <c r="K215" s="16">
        <f t="shared" si="94"/>
        <v>0</v>
      </c>
      <c r="L215" s="16">
        <f t="shared" si="94"/>
        <v>4137</v>
      </c>
      <c r="M215" s="16">
        <f t="shared" si="94"/>
        <v>65863</v>
      </c>
      <c r="N215" s="16">
        <f t="shared" si="94"/>
        <v>5368.4498333333331</v>
      </c>
      <c r="O215" s="16">
        <f t="shared" si="94"/>
        <v>0</v>
      </c>
      <c r="P215" s="16">
        <f t="shared" si="94"/>
        <v>25</v>
      </c>
      <c r="Q215" s="16">
        <f t="shared" si="94"/>
        <v>9530.4498333333322</v>
      </c>
      <c r="R215" s="16">
        <f t="shared" si="94"/>
        <v>60469.550166666668</v>
      </c>
      <c r="S215" s="1"/>
    </row>
    <row r="216" spans="1:19" s="110" customFormat="1" ht="24.95" customHeight="1" thickBot="1" x14ac:dyDescent="0.25">
      <c r="A216" s="212"/>
      <c r="B216" s="212"/>
      <c r="C216" s="212"/>
      <c r="D216" s="212"/>
      <c r="E216" s="212"/>
      <c r="F216" s="212"/>
      <c r="G216" s="212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1"/>
    </row>
    <row r="217" spans="1:19" s="2" customFormat="1" ht="24.95" customHeight="1" thickBot="1" x14ac:dyDescent="0.25">
      <c r="A217" s="243" t="s">
        <v>452</v>
      </c>
      <c r="B217" s="244"/>
      <c r="C217" s="244"/>
      <c r="D217" s="244"/>
      <c r="E217" s="244"/>
      <c r="F217" s="244"/>
      <c r="G217" s="244"/>
      <c r="H217" s="244"/>
      <c r="I217" s="244"/>
      <c r="J217" s="244"/>
      <c r="K217" s="244"/>
      <c r="L217" s="244"/>
      <c r="M217" s="244"/>
      <c r="N217" s="244"/>
      <c r="O217" s="244"/>
      <c r="P217" s="244"/>
      <c r="Q217" s="244"/>
      <c r="R217" s="244"/>
    </row>
    <row r="218" spans="1:19" s="2" customFormat="1" ht="24.95" customHeight="1" x14ac:dyDescent="0.2">
      <c r="A218" s="12">
        <f>+A214+1</f>
        <v>82</v>
      </c>
      <c r="B218" s="61" t="s">
        <v>478</v>
      </c>
      <c r="C218" s="155" t="s">
        <v>425</v>
      </c>
      <c r="D218" s="176" t="s">
        <v>404</v>
      </c>
      <c r="E218" s="124" t="s">
        <v>216</v>
      </c>
      <c r="F218" s="26" t="s">
        <v>542</v>
      </c>
      <c r="G218" s="124" t="s">
        <v>640</v>
      </c>
      <c r="H218" s="108">
        <v>155000</v>
      </c>
      <c r="I218" s="108">
        <f>H218*2.87%</f>
        <v>4448.5</v>
      </c>
      <c r="J218" s="108">
        <f>+H218*3.04%</f>
        <v>4712</v>
      </c>
      <c r="K218" s="108"/>
      <c r="L218" s="8">
        <f t="shared" ref="L218:L241" si="95">+J218+I218+K218</f>
        <v>9160.5</v>
      </c>
      <c r="M218" s="8">
        <f t="shared" ref="M218:M241" si="96">+H218-L218</f>
        <v>145839.5</v>
      </c>
      <c r="N218" s="8">
        <f>+IF(M218*12&lt;=416220.01,0,IF(M218*12&lt;=624329.01,(((M218*12-416220.01)*0.15)/12),IF((M218*12&lt;=867123.01),(31216+0.2*(M218*12-624329.01))/12,((79776+0.25*(M218*12-867123.01))/12))))</f>
        <v>25042.812291666665</v>
      </c>
      <c r="O218" s="8"/>
      <c r="P218" s="107">
        <v>25</v>
      </c>
      <c r="Q218" s="8">
        <f>+P218+N218+L218</f>
        <v>34228.312291666662</v>
      </c>
      <c r="R218" s="107">
        <f>+H218-Q218</f>
        <v>120771.68770833334</v>
      </c>
    </row>
    <row r="219" spans="1:19" s="2" customFormat="1" ht="24.95" customHeight="1" x14ac:dyDescent="0.2">
      <c r="A219" s="104">
        <f>+A218+1</f>
        <v>83</v>
      </c>
      <c r="B219" s="61" t="s">
        <v>572</v>
      </c>
      <c r="C219" s="155" t="s">
        <v>425</v>
      </c>
      <c r="D219" s="125" t="s">
        <v>228</v>
      </c>
      <c r="E219" s="124" t="s">
        <v>216</v>
      </c>
      <c r="F219" s="129" t="s">
        <v>556</v>
      </c>
      <c r="G219" s="127" t="s">
        <v>643</v>
      </c>
      <c r="H219" s="108">
        <v>70000</v>
      </c>
      <c r="I219" s="108">
        <f>H219*2.87%</f>
        <v>2009</v>
      </c>
      <c r="J219" s="108">
        <f>+H219*3.04%</f>
        <v>2128</v>
      </c>
      <c r="K219" s="108"/>
      <c r="L219" s="8">
        <f t="shared" si="95"/>
        <v>4137</v>
      </c>
      <c r="M219" s="8">
        <f t="shared" si="96"/>
        <v>65863</v>
      </c>
      <c r="N219" s="8">
        <f>+IF(M219*12&lt;=416220.01,0,IF(M219*12&lt;=624329.01,(((M219*12-416220.01)*0.15)/12),IF((M219*12&lt;=867123.01),(31216+0.2*(M219*12-624329.01))/12,((79776+0.25*(M219*12-867123.01))/12))))</f>
        <v>5368.4498333333331</v>
      </c>
      <c r="O219" s="8"/>
      <c r="P219" s="107">
        <v>25</v>
      </c>
      <c r="Q219" s="8">
        <f>+P219+N219+L219</f>
        <v>9530.4498333333322</v>
      </c>
      <c r="R219" s="107">
        <f>H219-Q219</f>
        <v>60469.550166666668</v>
      </c>
    </row>
    <row r="220" spans="1:19" s="2" customFormat="1" ht="26.25" customHeight="1" x14ac:dyDescent="0.2">
      <c r="A220" s="282" t="s">
        <v>125</v>
      </c>
      <c r="B220" s="283"/>
      <c r="C220" s="245"/>
      <c r="D220" s="245"/>
      <c r="E220" s="245"/>
      <c r="F220" s="245"/>
      <c r="G220" s="245"/>
      <c r="H220" s="16">
        <f t="shared" ref="H220:R220" si="97">SUM(H218:H219)</f>
        <v>225000</v>
      </c>
      <c r="I220" s="16">
        <f t="shared" si="97"/>
        <v>6457.5</v>
      </c>
      <c r="J220" s="16">
        <f t="shared" si="97"/>
        <v>6840</v>
      </c>
      <c r="K220" s="16">
        <f t="shared" si="97"/>
        <v>0</v>
      </c>
      <c r="L220" s="16">
        <f t="shared" si="97"/>
        <v>13297.5</v>
      </c>
      <c r="M220" s="16">
        <f t="shared" si="97"/>
        <v>211702.5</v>
      </c>
      <c r="N220" s="16">
        <f t="shared" si="97"/>
        <v>30411.262124999997</v>
      </c>
      <c r="O220" s="16"/>
      <c r="P220" s="16">
        <f t="shared" si="97"/>
        <v>50</v>
      </c>
      <c r="Q220" s="16">
        <f t="shared" si="97"/>
        <v>43758.762124999994</v>
      </c>
      <c r="R220" s="16">
        <f t="shared" si="97"/>
        <v>181241.23787499999</v>
      </c>
    </row>
    <row r="221" spans="1:19" s="2" customFormat="1" ht="20.25" customHeight="1" thickBot="1" x14ac:dyDescent="0.25">
      <c r="A221" s="64"/>
      <c r="B221" s="64"/>
      <c r="C221" s="64"/>
      <c r="D221" s="64"/>
      <c r="E221" s="64"/>
      <c r="F221" s="64"/>
      <c r="G221" s="64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</row>
    <row r="222" spans="1:19" s="2" customFormat="1" ht="23.25" customHeight="1" thickBot="1" x14ac:dyDescent="0.25">
      <c r="A222" s="220" t="s">
        <v>342</v>
      </c>
      <c r="B222" s="221"/>
      <c r="C222" s="221"/>
      <c r="D222" s="221"/>
      <c r="E222" s="221"/>
      <c r="F222" s="221"/>
      <c r="G222" s="221"/>
      <c r="H222" s="221"/>
      <c r="I222" s="221"/>
      <c r="J222" s="221"/>
      <c r="K222" s="221"/>
      <c r="L222" s="221"/>
      <c r="M222" s="221"/>
      <c r="N222" s="221"/>
      <c r="O222" s="221"/>
      <c r="P222" s="221"/>
      <c r="Q222" s="221"/>
      <c r="R222" s="221"/>
    </row>
    <row r="223" spans="1:19" s="2" customFormat="1" ht="24.95" customHeight="1" x14ac:dyDescent="0.2">
      <c r="A223" s="104">
        <f>A219+1</f>
        <v>84</v>
      </c>
      <c r="B223" s="61" t="s">
        <v>407</v>
      </c>
      <c r="C223" s="155" t="s">
        <v>425</v>
      </c>
      <c r="D223" s="125" t="s">
        <v>369</v>
      </c>
      <c r="E223" s="124" t="s">
        <v>216</v>
      </c>
      <c r="F223" s="106" t="s">
        <v>569</v>
      </c>
      <c r="G223" s="106" t="s">
        <v>638</v>
      </c>
      <c r="H223" s="63">
        <v>70000</v>
      </c>
      <c r="I223" s="108">
        <f>H223*2.87%</f>
        <v>2009</v>
      </c>
      <c r="J223" s="108">
        <f>+H223*3.04%</f>
        <v>2128</v>
      </c>
      <c r="K223" s="108"/>
      <c r="L223" s="8">
        <f t="shared" si="95"/>
        <v>4137</v>
      </c>
      <c r="M223" s="8">
        <f t="shared" si="96"/>
        <v>65863</v>
      </c>
      <c r="N223" s="8">
        <f>+IF(M223*12&lt;=416220.01,0,IF(M223*12&lt;=624329.01,(((M223*12-416220.01)*0.15)/12),IF((M223*12&lt;=867123.01),(31216+0.2*(M223*12-624329.01))/12,((79776+0.25*(M223*12-867123.01))/12))))-O223</f>
        <v>5368.4498333333331</v>
      </c>
      <c r="O223" s="8"/>
      <c r="P223" s="107">
        <v>125</v>
      </c>
      <c r="Q223" s="8">
        <f>+P223+N223+L223</f>
        <v>9630.4498333333322</v>
      </c>
      <c r="R223" s="107">
        <f>+H223-Q223</f>
        <v>60369.550166666668</v>
      </c>
    </row>
    <row r="224" spans="1:19" ht="25.15" customHeight="1" x14ac:dyDescent="0.2">
      <c r="A224" s="104">
        <f>+A223+1</f>
        <v>85</v>
      </c>
      <c r="B224" s="61" t="s">
        <v>411</v>
      </c>
      <c r="C224" s="155" t="s">
        <v>426</v>
      </c>
      <c r="D224" s="125" t="s">
        <v>369</v>
      </c>
      <c r="E224" s="124" t="s">
        <v>216</v>
      </c>
      <c r="F224" s="26" t="s">
        <v>587</v>
      </c>
      <c r="G224" s="26" t="s">
        <v>646</v>
      </c>
      <c r="H224" s="108">
        <v>70000</v>
      </c>
      <c r="I224" s="108">
        <f>H224*2.87%</f>
        <v>2009</v>
      </c>
      <c r="J224" s="108">
        <f>+H224*3.04%</f>
        <v>2128</v>
      </c>
      <c r="K224" s="108">
        <v>1577.45</v>
      </c>
      <c r="L224" s="8">
        <f>+J224+I224+K224</f>
        <v>5714.45</v>
      </c>
      <c r="M224" s="8">
        <f>+H224-L224</f>
        <v>64285.55</v>
      </c>
      <c r="N224" s="8">
        <f>+IF(M224*12&lt;=416220.01,0,IF(M224*12&lt;=624329.01,(((M224*12-416220.01)*0.15)/12),IF((M224*12&lt;=867123.01),(31216+0.2*(M224*12-624329.01))/12,((79776+0.25*(M224*12-867123.01))/12))))-O224</f>
        <v>2646.7298333333351</v>
      </c>
      <c r="O224" s="8">
        <v>2406.23</v>
      </c>
      <c r="P224" s="107">
        <v>125</v>
      </c>
      <c r="Q224" s="8">
        <f>+P224+N224+L224</f>
        <v>8486.1798333333354</v>
      </c>
      <c r="R224" s="107">
        <f>+H224-Q224</f>
        <v>61513.820166666665</v>
      </c>
    </row>
    <row r="225" spans="1:19" s="2" customFormat="1" ht="24" customHeight="1" x14ac:dyDescent="0.2">
      <c r="A225" s="282" t="s">
        <v>125</v>
      </c>
      <c r="B225" s="283"/>
      <c r="C225" s="245"/>
      <c r="D225" s="245"/>
      <c r="E225" s="245"/>
      <c r="F225" s="245"/>
      <c r="G225" s="245"/>
      <c r="H225" s="16">
        <f>SUM(H223:H224)</f>
        <v>140000</v>
      </c>
      <c r="I225" s="16">
        <f t="shared" ref="I225:R225" si="98">SUM(I223:I224)</f>
        <v>4018</v>
      </c>
      <c r="J225" s="16">
        <f t="shared" si="98"/>
        <v>4256</v>
      </c>
      <c r="K225" s="16">
        <f t="shared" si="98"/>
        <v>1577.45</v>
      </c>
      <c r="L225" s="16">
        <f t="shared" si="98"/>
        <v>9851.4500000000007</v>
      </c>
      <c r="M225" s="16">
        <f t="shared" si="98"/>
        <v>130148.55</v>
      </c>
      <c r="N225" s="16">
        <f t="shared" si="98"/>
        <v>8015.1796666666687</v>
      </c>
      <c r="O225" s="16">
        <f t="shared" si="98"/>
        <v>2406.23</v>
      </c>
      <c r="P225" s="16">
        <f t="shared" si="98"/>
        <v>250</v>
      </c>
      <c r="Q225" s="16">
        <f t="shared" si="98"/>
        <v>18116.629666666668</v>
      </c>
      <c r="R225" s="16">
        <f t="shared" si="98"/>
        <v>121883.37033333333</v>
      </c>
    </row>
    <row r="226" spans="1:19" s="2" customFormat="1" ht="24.75" customHeight="1" thickBot="1" x14ac:dyDescent="0.25">
      <c r="A226" s="64"/>
      <c r="B226" s="64"/>
      <c r="C226" s="64"/>
      <c r="D226" s="64"/>
      <c r="E226" s="64"/>
      <c r="F226" s="64"/>
      <c r="G226" s="64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</row>
    <row r="227" spans="1:19" s="2" customFormat="1" ht="23.25" customHeight="1" thickBot="1" x14ac:dyDescent="0.25">
      <c r="A227" s="220" t="s">
        <v>368</v>
      </c>
      <c r="B227" s="221"/>
      <c r="C227" s="221"/>
      <c r="D227" s="221"/>
      <c r="E227" s="221"/>
      <c r="F227" s="221"/>
      <c r="G227" s="221"/>
      <c r="H227" s="221"/>
      <c r="I227" s="221"/>
      <c r="J227" s="221"/>
      <c r="K227" s="221"/>
      <c r="L227" s="221"/>
      <c r="M227" s="221"/>
      <c r="N227" s="221"/>
      <c r="O227" s="221"/>
      <c r="P227" s="221"/>
      <c r="Q227" s="221"/>
      <c r="R227" s="221"/>
    </row>
    <row r="228" spans="1:19" s="2" customFormat="1" ht="33" customHeight="1" x14ac:dyDescent="0.2">
      <c r="A228" s="104">
        <f>+A224+1</f>
        <v>86</v>
      </c>
      <c r="B228" s="61" t="s">
        <v>408</v>
      </c>
      <c r="C228" s="155" t="s">
        <v>425</v>
      </c>
      <c r="D228" s="125" t="s">
        <v>370</v>
      </c>
      <c r="E228" s="124" t="s">
        <v>216</v>
      </c>
      <c r="F228" s="106" t="s">
        <v>569</v>
      </c>
      <c r="G228" s="106" t="s">
        <v>638</v>
      </c>
      <c r="H228" s="63">
        <v>90000</v>
      </c>
      <c r="I228" s="108">
        <f>H228*2.87%</f>
        <v>2583</v>
      </c>
      <c r="J228" s="108">
        <f>+H228*3.04%</f>
        <v>2736</v>
      </c>
      <c r="K228" s="108"/>
      <c r="L228" s="8">
        <f t="shared" si="95"/>
        <v>5319</v>
      </c>
      <c r="M228" s="8">
        <f t="shared" si="96"/>
        <v>84681</v>
      </c>
      <c r="N228" s="8">
        <f>+IF(M228*12&lt;=416220.01,0,IF(M228*12&lt;=624329.01,(((M228*12-416220.01)*0.15)/12),IF((M228*12&lt;=867123.01),(31216+0.2*(M228*12-624329.01))/12,((79776+0.25*(M228*12-867123.01))/12))))</f>
        <v>9753.1872916666671</v>
      </c>
      <c r="O228" s="8"/>
      <c r="P228" s="107">
        <v>125</v>
      </c>
      <c r="Q228" s="8">
        <f>+P228+N228+L228</f>
        <v>15197.187291666667</v>
      </c>
      <c r="R228" s="107">
        <f>+H228-Q228</f>
        <v>74802.812708333338</v>
      </c>
    </row>
    <row r="229" spans="1:19" s="2" customFormat="1" ht="23.25" customHeight="1" x14ac:dyDescent="0.2">
      <c r="A229" s="282" t="s">
        <v>125</v>
      </c>
      <c r="B229" s="283"/>
      <c r="C229" s="245"/>
      <c r="D229" s="245"/>
      <c r="E229" s="245"/>
      <c r="F229" s="245"/>
      <c r="G229" s="245"/>
      <c r="H229" s="16">
        <f>SUM(H228:H228)</f>
        <v>90000</v>
      </c>
      <c r="I229" s="16">
        <f t="shared" ref="I229:R229" si="99">SUM(I228:I228)</f>
        <v>2583</v>
      </c>
      <c r="J229" s="16">
        <f t="shared" si="99"/>
        <v>2736</v>
      </c>
      <c r="K229" s="16">
        <f t="shared" si="99"/>
        <v>0</v>
      </c>
      <c r="L229" s="16">
        <f t="shared" si="99"/>
        <v>5319</v>
      </c>
      <c r="M229" s="16">
        <f t="shared" si="99"/>
        <v>84681</v>
      </c>
      <c r="N229" s="16">
        <f t="shared" si="99"/>
        <v>9753.1872916666671</v>
      </c>
      <c r="O229" s="16"/>
      <c r="P229" s="16">
        <f t="shared" si="99"/>
        <v>125</v>
      </c>
      <c r="Q229" s="16">
        <f t="shared" si="99"/>
        <v>15197.187291666667</v>
      </c>
      <c r="R229" s="16">
        <f t="shared" si="99"/>
        <v>74802.812708333338</v>
      </c>
    </row>
    <row r="230" spans="1:19" s="70" customFormat="1" ht="24.95" customHeight="1" thickBot="1" x14ac:dyDescent="0.25">
      <c r="A230" s="64"/>
      <c r="B230" s="64"/>
      <c r="C230" s="64"/>
      <c r="D230" s="64"/>
      <c r="E230" s="64"/>
      <c r="F230" s="64"/>
      <c r="G230" s="64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2"/>
    </row>
    <row r="231" spans="1:19" s="110" customFormat="1" ht="32.25" customHeight="1" thickBot="1" x14ac:dyDescent="0.25">
      <c r="A231" s="243" t="s">
        <v>229</v>
      </c>
      <c r="B231" s="244"/>
      <c r="C231" s="244"/>
      <c r="D231" s="244"/>
      <c r="E231" s="244"/>
      <c r="F231" s="244"/>
      <c r="G231" s="244"/>
      <c r="H231" s="244"/>
      <c r="I231" s="244"/>
      <c r="J231" s="244"/>
      <c r="K231" s="244"/>
      <c r="L231" s="244"/>
      <c r="M231" s="244"/>
      <c r="N231" s="244"/>
      <c r="O231" s="244"/>
      <c r="P231" s="244"/>
      <c r="Q231" s="244"/>
      <c r="R231" s="244"/>
      <c r="S231" s="1"/>
    </row>
    <row r="232" spans="1:19" s="110" customFormat="1" ht="32.25" customHeight="1" x14ac:dyDescent="0.2">
      <c r="A232" s="104">
        <f>+A228+1</f>
        <v>87</v>
      </c>
      <c r="B232" s="61" t="s">
        <v>409</v>
      </c>
      <c r="C232" s="155" t="s">
        <v>426</v>
      </c>
      <c r="D232" s="61" t="s">
        <v>410</v>
      </c>
      <c r="E232" s="124" t="s">
        <v>216</v>
      </c>
      <c r="F232" s="26" t="s">
        <v>587</v>
      </c>
      <c r="G232" s="26" t="s">
        <v>646</v>
      </c>
      <c r="H232" s="108">
        <v>55000</v>
      </c>
      <c r="I232" s="108">
        <f t="shared" ref="I232" si="100">H232*2.87%</f>
        <v>1578.5</v>
      </c>
      <c r="J232" s="108">
        <f t="shared" ref="J232" si="101">+H232*3.04%</f>
        <v>1672</v>
      </c>
      <c r="K232" s="108">
        <v>1577.45</v>
      </c>
      <c r="L232" s="8">
        <f t="shared" si="95"/>
        <v>4827.95</v>
      </c>
      <c r="M232" s="8">
        <f t="shared" si="96"/>
        <v>50172.05</v>
      </c>
      <c r="N232" s="8">
        <f>+IF(M232*12&lt;=416220.01,0,IF(M232*12&lt;=624329.01,(((M232*12-416220.01)*0.15)/12),IF((M232*12&lt;=867123.01),(31216+0.2*(M232*12-624329.01))/12,((79776+0.25*(M232*12-867123.01))/12))))-O232</f>
        <v>988.43737500000088</v>
      </c>
      <c r="O232" s="8">
        <v>1334.62</v>
      </c>
      <c r="P232" s="107">
        <v>125</v>
      </c>
      <c r="Q232" s="8">
        <f>+P232+N232+L232</f>
        <v>5941.3873750000002</v>
      </c>
      <c r="R232" s="107">
        <f>+H232-Q232</f>
        <v>49058.612625000002</v>
      </c>
      <c r="S232" s="1"/>
    </row>
    <row r="233" spans="1:19" ht="25.15" customHeight="1" x14ac:dyDescent="0.2">
      <c r="A233" s="104">
        <f>+A224+1</f>
        <v>86</v>
      </c>
      <c r="B233" s="61" t="s">
        <v>666</v>
      </c>
      <c r="C233" s="155" t="s">
        <v>426</v>
      </c>
      <c r="D233" s="61" t="s">
        <v>410</v>
      </c>
      <c r="E233" s="124" t="s">
        <v>216</v>
      </c>
      <c r="F233" s="26" t="s">
        <v>582</v>
      </c>
      <c r="G233" s="26" t="s">
        <v>649</v>
      </c>
      <c r="H233" s="108">
        <v>45000</v>
      </c>
      <c r="I233" s="108">
        <f t="shared" ref="I233" si="102">H233*2.87%</f>
        <v>1291.5</v>
      </c>
      <c r="J233" s="108">
        <f t="shared" ref="J233" si="103">+H233*3.04%</f>
        <v>1368</v>
      </c>
      <c r="K233" s="108"/>
      <c r="L233" s="8">
        <f t="shared" ref="L233" si="104">+J233+I233+K233</f>
        <v>2659.5</v>
      </c>
      <c r="M233" s="8">
        <f t="shared" ref="M233" si="105">+H233-L233</f>
        <v>42340.5</v>
      </c>
      <c r="N233" s="8">
        <f>+IF(M233*12&lt;=416220.01,0,IF(M233*12&lt;=624329.01,(((M233*12-416220.01)*0.15)/12),IF((M233*12&lt;=867123.01),(31216+0.2*(M233*12-624329.01))/12,((79776+0.25*(M233*12-867123.01))/12))))-O233</f>
        <v>1148.3248749999998</v>
      </c>
      <c r="O233" s="8"/>
      <c r="P233" s="107">
        <v>25</v>
      </c>
      <c r="Q233" s="8">
        <f>+P233+N233+L233</f>
        <v>3832.8248749999998</v>
      </c>
      <c r="R233" s="107">
        <f>+H233-Q233</f>
        <v>41167.175125000002</v>
      </c>
    </row>
    <row r="234" spans="1:19" ht="24.75" customHeight="1" x14ac:dyDescent="0.2">
      <c r="A234" s="282" t="s">
        <v>125</v>
      </c>
      <c r="B234" s="283"/>
      <c r="C234" s="245"/>
      <c r="D234" s="245"/>
      <c r="E234" s="245"/>
      <c r="F234" s="245"/>
      <c r="G234" s="245"/>
      <c r="H234" s="16">
        <f t="shared" ref="H234:R234" si="106">SUM(H232:H233)</f>
        <v>100000</v>
      </c>
      <c r="I234" s="16">
        <f t="shared" si="106"/>
        <v>2870</v>
      </c>
      <c r="J234" s="16">
        <f t="shared" si="106"/>
        <v>3040</v>
      </c>
      <c r="K234" s="16">
        <f t="shared" si="106"/>
        <v>1577.45</v>
      </c>
      <c r="L234" s="16">
        <f t="shared" si="106"/>
        <v>7487.45</v>
      </c>
      <c r="M234" s="16">
        <f t="shared" si="106"/>
        <v>92512.55</v>
      </c>
      <c r="N234" s="16">
        <f t="shared" si="106"/>
        <v>2136.7622500000007</v>
      </c>
      <c r="O234" s="16">
        <f t="shared" si="106"/>
        <v>1334.62</v>
      </c>
      <c r="P234" s="16">
        <f t="shared" si="106"/>
        <v>150</v>
      </c>
      <c r="Q234" s="16">
        <f t="shared" si="106"/>
        <v>9774.2122500000005</v>
      </c>
      <c r="R234" s="16">
        <f t="shared" si="106"/>
        <v>90225.787750000003</v>
      </c>
    </row>
    <row r="235" spans="1:19" s="70" customFormat="1" ht="24.95" customHeight="1" thickBot="1" x14ac:dyDescent="0.25">
      <c r="A235" s="64"/>
      <c r="B235" s="64"/>
      <c r="C235" s="64"/>
      <c r="D235" s="64"/>
      <c r="E235" s="64"/>
      <c r="F235" s="64"/>
      <c r="G235" s="64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2"/>
    </row>
    <row r="236" spans="1:19" ht="24.75" customHeight="1" thickBot="1" x14ac:dyDescent="0.25">
      <c r="A236" s="243" t="s">
        <v>683</v>
      </c>
      <c r="B236" s="244"/>
      <c r="C236" s="244"/>
      <c r="D236" s="244"/>
      <c r="E236" s="244"/>
      <c r="F236" s="244"/>
      <c r="G236" s="244"/>
      <c r="H236" s="244"/>
      <c r="I236" s="244"/>
      <c r="J236" s="244"/>
      <c r="K236" s="244"/>
      <c r="L236" s="244"/>
      <c r="M236" s="244"/>
      <c r="N236" s="244"/>
      <c r="O236" s="244"/>
      <c r="P236" s="244"/>
      <c r="Q236" s="244"/>
      <c r="R236" s="244"/>
    </row>
    <row r="237" spans="1:19" ht="29.25" customHeight="1" x14ac:dyDescent="0.2">
      <c r="A237" s="104">
        <f>+A233+1</f>
        <v>87</v>
      </c>
      <c r="B237" s="111" t="s">
        <v>684</v>
      </c>
      <c r="C237" s="113" t="s">
        <v>425</v>
      </c>
      <c r="D237" s="111" t="s">
        <v>685</v>
      </c>
      <c r="E237" s="105" t="s">
        <v>216</v>
      </c>
      <c r="F237" s="26" t="s">
        <v>582</v>
      </c>
      <c r="G237" s="26" t="s">
        <v>649</v>
      </c>
      <c r="H237" s="108">
        <v>135000</v>
      </c>
      <c r="I237" s="108">
        <f>H237*2.87%</f>
        <v>3874.5</v>
      </c>
      <c r="J237" s="108">
        <f>+H237*3.04%</f>
        <v>4104</v>
      </c>
      <c r="K237" s="108"/>
      <c r="L237" s="8">
        <f t="shared" ref="L237" si="107">+J237+I237+K237</f>
        <v>7978.5</v>
      </c>
      <c r="M237" s="8">
        <f t="shared" ref="M237" si="108">+H237-L237</f>
        <v>127021.5</v>
      </c>
      <c r="N237" s="8">
        <f>+IF(M237*12&lt;=416220.01,0,IF(M237*12&lt;=624329.01,(((M237*12-416220.01)*0.15)/12),IF((M237*12&lt;=867123.01),(31216+0.2*(M237*12-624329.01))/12,((79776+0.25*(M237*12-867123.01))/12))))-O237</f>
        <v>20338.312291666665</v>
      </c>
      <c r="O237" s="8"/>
      <c r="P237" s="107">
        <v>25</v>
      </c>
      <c r="Q237" s="8">
        <f>+P237+N237+L237</f>
        <v>28341.812291666665</v>
      </c>
      <c r="R237" s="107">
        <f>+H237-Q237</f>
        <v>106658.18770833334</v>
      </c>
    </row>
    <row r="238" spans="1:19" ht="26.25" customHeight="1" x14ac:dyDescent="0.2">
      <c r="A238" s="282" t="s">
        <v>125</v>
      </c>
      <c r="B238" s="283"/>
      <c r="C238" s="245"/>
      <c r="D238" s="245"/>
      <c r="E238" s="245"/>
      <c r="F238" s="245"/>
      <c r="G238" s="245"/>
      <c r="H238" s="16">
        <f>SUM(H237:H237)</f>
        <v>135000</v>
      </c>
      <c r="I238" s="16">
        <f t="shared" ref="I238:R238" si="109">SUM(I237:I237)</f>
        <v>3874.5</v>
      </c>
      <c r="J238" s="16">
        <f t="shared" si="109"/>
        <v>4104</v>
      </c>
      <c r="K238" s="16">
        <f t="shared" si="109"/>
        <v>0</v>
      </c>
      <c r="L238" s="16">
        <f t="shared" si="109"/>
        <v>7978.5</v>
      </c>
      <c r="M238" s="16">
        <f t="shared" si="109"/>
        <v>127021.5</v>
      </c>
      <c r="N238" s="16">
        <f t="shared" si="109"/>
        <v>20338.312291666665</v>
      </c>
      <c r="O238" s="16">
        <f t="shared" si="109"/>
        <v>0</v>
      </c>
      <c r="P238" s="16">
        <f t="shared" si="109"/>
        <v>25</v>
      </c>
      <c r="Q238" s="16">
        <f t="shared" si="109"/>
        <v>28341.812291666665</v>
      </c>
      <c r="R238" s="16">
        <f t="shared" si="109"/>
        <v>106658.18770833334</v>
      </c>
    </row>
    <row r="239" spans="1:19" ht="25.5" customHeight="1" thickBot="1" x14ac:dyDescent="0.25">
      <c r="A239" s="64"/>
      <c r="B239" s="64"/>
      <c r="C239" s="64"/>
      <c r="D239" s="64"/>
      <c r="E239" s="64"/>
      <c r="F239" s="64"/>
      <c r="G239" s="64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</row>
    <row r="240" spans="1:19" ht="24.75" customHeight="1" thickBot="1" x14ac:dyDescent="0.25">
      <c r="A240" s="243" t="s">
        <v>453</v>
      </c>
      <c r="B240" s="244"/>
      <c r="C240" s="244"/>
      <c r="D240" s="244"/>
      <c r="E240" s="244"/>
      <c r="F240" s="244"/>
      <c r="G240" s="244"/>
      <c r="H240" s="244"/>
      <c r="I240" s="244"/>
      <c r="J240" s="244"/>
      <c r="K240" s="244"/>
      <c r="L240" s="244"/>
      <c r="M240" s="244"/>
      <c r="N240" s="244"/>
      <c r="O240" s="244"/>
      <c r="P240" s="244"/>
      <c r="Q240" s="244"/>
      <c r="R240" s="244"/>
    </row>
    <row r="241" spans="1:19" ht="29.25" customHeight="1" x14ac:dyDescent="0.2">
      <c r="A241" s="104">
        <f>+A237+1</f>
        <v>88</v>
      </c>
      <c r="B241" s="111" t="s">
        <v>145</v>
      </c>
      <c r="C241" s="113" t="s">
        <v>426</v>
      </c>
      <c r="D241" s="111" t="s">
        <v>412</v>
      </c>
      <c r="E241" s="105" t="s">
        <v>216</v>
      </c>
      <c r="F241" s="26" t="s">
        <v>539</v>
      </c>
      <c r="G241" s="26" t="s">
        <v>604</v>
      </c>
      <c r="H241" s="108">
        <v>60000</v>
      </c>
      <c r="I241" s="108">
        <f>H241*2.87%</f>
        <v>1722</v>
      </c>
      <c r="J241" s="108">
        <f>+H241*3.04%</f>
        <v>1824</v>
      </c>
      <c r="K241" s="108">
        <v>1577.45</v>
      </c>
      <c r="L241" s="8">
        <f t="shared" si="95"/>
        <v>5123.45</v>
      </c>
      <c r="M241" s="8">
        <f t="shared" si="96"/>
        <v>54876.55</v>
      </c>
      <c r="N241" s="8">
        <f>+IF(M241*12&lt;=416220.01,0,IF(M241*12&lt;=624329.01,(((M241*12-416220.01)*0.15)/12),IF((M241*12&lt;=867123.01),(31216+0.2*(M241*12-624329.01))/12,((79776+0.25*(M241*12-867123.01))/12))))-O241</f>
        <v>3171.159833333335</v>
      </c>
      <c r="O241" s="8"/>
      <c r="P241" s="107">
        <v>125</v>
      </c>
      <c r="Q241" s="8">
        <f>+P241+N241+L241</f>
        <v>8419.6098333333357</v>
      </c>
      <c r="R241" s="107">
        <f>+H241-Q241</f>
        <v>51580.390166666664</v>
      </c>
    </row>
    <row r="242" spans="1:19" ht="26.25" customHeight="1" x14ac:dyDescent="0.2">
      <c r="A242" s="282" t="s">
        <v>125</v>
      </c>
      <c r="B242" s="283"/>
      <c r="C242" s="245"/>
      <c r="D242" s="245"/>
      <c r="E242" s="245"/>
      <c r="F242" s="245"/>
      <c r="G242" s="245"/>
      <c r="H242" s="16">
        <f>SUM(H241:H241)</f>
        <v>60000</v>
      </c>
      <c r="I242" s="16">
        <f t="shared" ref="I242:R242" si="110">SUM(I241:I241)</f>
        <v>1722</v>
      </c>
      <c r="J242" s="16">
        <f t="shared" si="110"/>
        <v>1824</v>
      </c>
      <c r="K242" s="16">
        <f t="shared" si="110"/>
        <v>1577.45</v>
      </c>
      <c r="L242" s="16">
        <f t="shared" si="110"/>
        <v>5123.45</v>
      </c>
      <c r="M242" s="16">
        <f t="shared" si="110"/>
        <v>54876.55</v>
      </c>
      <c r="N242" s="16">
        <f t="shared" si="110"/>
        <v>3171.159833333335</v>
      </c>
      <c r="O242" s="16">
        <f t="shared" si="110"/>
        <v>0</v>
      </c>
      <c r="P242" s="16">
        <f t="shared" si="110"/>
        <v>125</v>
      </c>
      <c r="Q242" s="16">
        <f t="shared" si="110"/>
        <v>8419.6098333333357</v>
      </c>
      <c r="R242" s="16">
        <f t="shared" si="110"/>
        <v>51580.390166666664</v>
      </c>
    </row>
    <row r="243" spans="1:19" s="70" customFormat="1" ht="26.25" customHeight="1" thickBot="1" x14ac:dyDescent="0.25">
      <c r="A243" s="64"/>
      <c r="B243" s="64"/>
      <c r="C243" s="64"/>
      <c r="D243" s="64"/>
      <c r="E243" s="64"/>
      <c r="F243" s="64"/>
      <c r="G243" s="64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2"/>
    </row>
    <row r="244" spans="1:19" ht="24.75" customHeight="1" thickBot="1" x14ac:dyDescent="0.25">
      <c r="A244" s="243" t="s">
        <v>686</v>
      </c>
      <c r="B244" s="244"/>
      <c r="C244" s="244"/>
      <c r="D244" s="244"/>
      <c r="E244" s="244"/>
      <c r="F244" s="244"/>
      <c r="G244" s="244"/>
      <c r="H244" s="244"/>
      <c r="I244" s="244"/>
      <c r="J244" s="244"/>
      <c r="K244" s="244"/>
      <c r="L244" s="244"/>
      <c r="M244" s="244"/>
      <c r="N244" s="244"/>
      <c r="O244" s="244"/>
      <c r="P244" s="244"/>
      <c r="Q244" s="244"/>
      <c r="R244" s="244"/>
    </row>
    <row r="245" spans="1:19" ht="29.25" customHeight="1" x14ac:dyDescent="0.2">
      <c r="A245" s="104">
        <f>+A241+1</f>
        <v>89</v>
      </c>
      <c r="B245" s="111" t="s">
        <v>528</v>
      </c>
      <c r="C245" s="113" t="s">
        <v>426</v>
      </c>
      <c r="D245" s="111" t="s">
        <v>687</v>
      </c>
      <c r="E245" s="105" t="s">
        <v>216</v>
      </c>
      <c r="F245" s="26" t="s">
        <v>587</v>
      </c>
      <c r="G245" s="26" t="s">
        <v>646</v>
      </c>
      <c r="H245" s="108">
        <v>80000</v>
      </c>
      <c r="I245" s="108">
        <f>H245*2.87%</f>
        <v>2296</v>
      </c>
      <c r="J245" s="108">
        <f>+H245*3.04%</f>
        <v>2432</v>
      </c>
      <c r="K245" s="108"/>
      <c r="L245" s="8">
        <f t="shared" ref="L245" si="111">+J245+I245+K245</f>
        <v>4728</v>
      </c>
      <c r="M245" s="8">
        <f t="shared" ref="M245" si="112">+H245-L245</f>
        <v>75272</v>
      </c>
      <c r="N245" s="8">
        <f>+IF(M245*12&lt;=416220.01,0,IF(M245*12&lt;=624329.01,(((M245*12-416220.01)*0.15)/12),IF((M245*12&lt;=867123.01),(31216+0.2*(M245*12-624329.01))/12,((79776+0.25*(M245*12-867123.01))/12))))-O245</f>
        <v>7400.9372916666662</v>
      </c>
      <c r="O245" s="8"/>
      <c r="P245" s="107">
        <v>10025</v>
      </c>
      <c r="Q245" s="8">
        <f>+P245+N245+L245</f>
        <v>22153.937291666665</v>
      </c>
      <c r="R245" s="107">
        <f>+H245-Q245</f>
        <v>57846.062708333338</v>
      </c>
    </row>
    <row r="246" spans="1:19" ht="26.25" customHeight="1" x14ac:dyDescent="0.2">
      <c r="A246" s="282" t="s">
        <v>125</v>
      </c>
      <c r="B246" s="283"/>
      <c r="C246" s="245"/>
      <c r="D246" s="245"/>
      <c r="E246" s="245"/>
      <c r="F246" s="245"/>
      <c r="G246" s="245"/>
      <c r="H246" s="16">
        <f>SUM(H245:H245)</f>
        <v>80000</v>
      </c>
      <c r="I246" s="16">
        <f t="shared" ref="I246:R246" si="113">SUM(I245:I245)</f>
        <v>2296</v>
      </c>
      <c r="J246" s="16">
        <f t="shared" si="113"/>
        <v>2432</v>
      </c>
      <c r="K246" s="16">
        <f t="shared" si="113"/>
        <v>0</v>
      </c>
      <c r="L246" s="16">
        <f t="shared" si="113"/>
        <v>4728</v>
      </c>
      <c r="M246" s="16">
        <f t="shared" si="113"/>
        <v>75272</v>
      </c>
      <c r="N246" s="16">
        <f t="shared" si="113"/>
        <v>7400.9372916666662</v>
      </c>
      <c r="O246" s="16">
        <f t="shared" si="113"/>
        <v>0</v>
      </c>
      <c r="P246" s="16">
        <f t="shared" si="113"/>
        <v>10025</v>
      </c>
      <c r="Q246" s="16">
        <f t="shared" si="113"/>
        <v>22153.937291666665</v>
      </c>
      <c r="R246" s="16">
        <f t="shared" si="113"/>
        <v>57846.062708333338</v>
      </c>
    </row>
    <row r="247" spans="1:19" s="70" customFormat="1" ht="26.25" customHeight="1" thickBot="1" x14ac:dyDescent="0.25">
      <c r="A247" s="64"/>
      <c r="B247" s="64"/>
      <c r="C247" s="64"/>
      <c r="D247" s="64"/>
      <c r="E247" s="64"/>
      <c r="F247" s="64"/>
      <c r="G247" s="64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2"/>
    </row>
    <row r="248" spans="1:19" ht="24.75" customHeight="1" thickBot="1" x14ac:dyDescent="0.25">
      <c r="A248" s="243" t="s">
        <v>207</v>
      </c>
      <c r="B248" s="244"/>
      <c r="C248" s="244"/>
      <c r="D248" s="244"/>
      <c r="E248" s="244"/>
      <c r="F248" s="244"/>
      <c r="G248" s="244"/>
      <c r="H248" s="244"/>
      <c r="I248" s="244"/>
      <c r="J248" s="244"/>
      <c r="K248" s="244"/>
      <c r="L248" s="244"/>
      <c r="M248" s="244"/>
      <c r="N248" s="244"/>
      <c r="O248" s="244"/>
      <c r="P248" s="244"/>
      <c r="Q248" s="244"/>
      <c r="R248" s="244"/>
    </row>
    <row r="249" spans="1:19" ht="29.25" customHeight="1" x14ac:dyDescent="0.2">
      <c r="A249" s="104">
        <f>+A241+1</f>
        <v>89</v>
      </c>
      <c r="B249" s="111" t="s">
        <v>667</v>
      </c>
      <c r="C249" s="113" t="s">
        <v>425</v>
      </c>
      <c r="D249" s="111" t="s">
        <v>668</v>
      </c>
      <c r="E249" s="105" t="s">
        <v>216</v>
      </c>
      <c r="F249" s="26" t="s">
        <v>582</v>
      </c>
      <c r="G249" s="26" t="s">
        <v>649</v>
      </c>
      <c r="H249" s="108">
        <v>100000</v>
      </c>
      <c r="I249" s="108">
        <f>H249*2.87%</f>
        <v>2870</v>
      </c>
      <c r="J249" s="108">
        <f>+H249*3.04%</f>
        <v>3040</v>
      </c>
      <c r="K249" s="108">
        <v>0</v>
      </c>
      <c r="L249" s="8">
        <f t="shared" ref="L249" si="114">+J249+I249+K249</f>
        <v>5910</v>
      </c>
      <c r="M249" s="8">
        <f t="shared" ref="M249" si="115">+H249-L249</f>
        <v>94090</v>
      </c>
      <c r="N249" s="8">
        <f>+IF(M249*12&lt;=416220.01,0,IF(M249*12&lt;=624329.01,(((M249*12-416220.01)*0.15)/12),IF((M249*12&lt;=867123.01),(31216+0.2*(M249*12-624329.01))/12,((79776+0.25*(M249*12-867123.01))/12))))-O249</f>
        <v>12105.437291666667</v>
      </c>
      <c r="O249" s="8">
        <v>0</v>
      </c>
      <c r="P249" s="107">
        <v>125</v>
      </c>
      <c r="Q249" s="8">
        <f>+P249+N249+L249</f>
        <v>18140.437291666669</v>
      </c>
      <c r="R249" s="107">
        <f>+H249-Q249</f>
        <v>81859.562708333338</v>
      </c>
    </row>
    <row r="250" spans="1:19" ht="26.25" customHeight="1" x14ac:dyDescent="0.2">
      <c r="A250" s="282" t="s">
        <v>125</v>
      </c>
      <c r="B250" s="283"/>
      <c r="C250" s="245"/>
      <c r="D250" s="245"/>
      <c r="E250" s="245"/>
      <c r="F250" s="245"/>
      <c r="G250" s="245"/>
      <c r="H250" s="16">
        <f>SUM(H249:H249)</f>
        <v>100000</v>
      </c>
      <c r="I250" s="16">
        <f t="shared" ref="I250:R250" si="116">SUM(I249:I249)</f>
        <v>2870</v>
      </c>
      <c r="J250" s="16">
        <f t="shared" si="116"/>
        <v>3040</v>
      </c>
      <c r="K250" s="16">
        <f t="shared" si="116"/>
        <v>0</v>
      </c>
      <c r="L250" s="16">
        <f t="shared" si="116"/>
        <v>5910</v>
      </c>
      <c r="M250" s="16">
        <f t="shared" si="116"/>
        <v>94090</v>
      </c>
      <c r="N250" s="16">
        <f t="shared" si="116"/>
        <v>12105.437291666667</v>
      </c>
      <c r="O250" s="16">
        <f t="shared" si="116"/>
        <v>0</v>
      </c>
      <c r="P250" s="16">
        <f t="shared" si="116"/>
        <v>125</v>
      </c>
      <c r="Q250" s="16">
        <f t="shared" si="116"/>
        <v>18140.437291666669</v>
      </c>
      <c r="R250" s="16">
        <f t="shared" si="116"/>
        <v>81859.562708333338</v>
      </c>
    </row>
    <row r="251" spans="1:19" ht="26.25" customHeight="1" thickBot="1" x14ac:dyDescent="0.25">
      <c r="D251" s="27"/>
      <c r="E251" s="27"/>
      <c r="F251" s="27"/>
      <c r="G251" s="27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9" ht="26.25" customHeight="1" thickBot="1" x14ac:dyDescent="0.25">
      <c r="A252" s="243" t="s">
        <v>413</v>
      </c>
      <c r="B252" s="244"/>
      <c r="C252" s="244"/>
      <c r="D252" s="244"/>
      <c r="E252" s="130"/>
      <c r="F252" s="62"/>
      <c r="G252" s="62"/>
      <c r="H252" s="15">
        <f>+H250+H246+H242+H238+H234+H229+H225+H220+H215+H211+H207+H203+H197+H193+H186+H179+H175+H170+H164+H160+H150+H145+H141+H136+H131+H125+H120+H116+H112+H108+H101+H97+H92+H88+H85+H80+H76+H71+H65+H59+H55+H50+H45+H41+H35+H28+H24+H18+H12</f>
        <v>8405000</v>
      </c>
      <c r="I252" s="15">
        <f t="shared" ref="I252:R252" si="117">+I250+I246+I242+I238+I234+I229+I225+I220+I215+I211+I207+I203+I197+I193+I186+I179+I175+I170+I164+I160+I150+I145+I141+I136+I131+I125+I120+I116+I112+I108+I101+I97+I92+I88+I85+I80+I76+I71+I65+I59+I55+I50+I45+I41+I35+I28+I24+I18+I12</f>
        <v>241223.5</v>
      </c>
      <c r="J252" s="15">
        <f t="shared" si="117"/>
        <v>255330.81599999999</v>
      </c>
      <c r="K252" s="15">
        <f t="shared" si="117"/>
        <v>26816.650000000005</v>
      </c>
      <c r="L252" s="15">
        <f t="shared" si="117"/>
        <v>523370.96600000007</v>
      </c>
      <c r="M252" s="15">
        <f t="shared" si="117"/>
        <v>7881629.0339999991</v>
      </c>
      <c r="N252" s="15">
        <f t="shared" si="117"/>
        <v>862312.07683333324</v>
      </c>
      <c r="O252" s="15">
        <f t="shared" si="117"/>
        <v>63953.139999999985</v>
      </c>
      <c r="P252" s="15">
        <f t="shared" si="117"/>
        <v>152882.40000000002</v>
      </c>
      <c r="Q252" s="15">
        <f t="shared" si="117"/>
        <v>1538565.442833333</v>
      </c>
      <c r="R252" s="15">
        <f t="shared" si="117"/>
        <v>6866434.5571666639</v>
      </c>
    </row>
    <row r="253" spans="1:19" ht="26.25" customHeight="1" x14ac:dyDescent="0.2">
      <c r="A253" s="153"/>
      <c r="B253" s="153"/>
      <c r="C253" s="153"/>
      <c r="D253" s="153"/>
      <c r="E253" s="153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</row>
    <row r="254" spans="1:19" x14ac:dyDescent="0.2">
      <c r="A254" s="153"/>
      <c r="B254" s="153"/>
      <c r="C254" s="153"/>
      <c r="D254" s="153"/>
      <c r="E254" s="153"/>
    </row>
    <row r="255" spans="1:19" ht="20.25" customHeight="1" x14ac:dyDescent="0.25">
      <c r="B255" s="23" t="s">
        <v>202</v>
      </c>
      <c r="C255" s="152"/>
      <c r="D255" s="22"/>
      <c r="E255" s="22"/>
      <c r="F255" s="23" t="s">
        <v>494</v>
      </c>
    </row>
    <row r="256" spans="1:19" ht="15.75" customHeight="1" x14ac:dyDescent="0.25">
      <c r="B256" s="23" t="s">
        <v>495</v>
      </c>
      <c r="C256" s="152"/>
      <c r="D256" s="22"/>
      <c r="E256" s="22"/>
      <c r="F256" s="23" t="s">
        <v>496</v>
      </c>
    </row>
    <row r="257" spans="8:14" x14ac:dyDescent="0.2">
      <c r="H257" s="67"/>
    </row>
    <row r="266" spans="8:14" x14ac:dyDescent="0.2">
      <c r="N266" s="1">
        <v>79600</v>
      </c>
    </row>
    <row r="64852" spans="2:18" s="4" customFormat="1" x14ac:dyDescent="0.2">
      <c r="B64852" s="25"/>
      <c r="D64852" s="25"/>
      <c r="E64852" s="25"/>
      <c r="F64852" s="25"/>
      <c r="G64852" s="25"/>
      <c r="H64852" s="2"/>
      <c r="N64852" s="1"/>
      <c r="O64852" s="1"/>
      <c r="P64852" s="1"/>
      <c r="Q64852" s="1"/>
      <c r="R64852" s="1"/>
    </row>
    <row r="64854" spans="2:18" s="4" customFormat="1" x14ac:dyDescent="0.2">
      <c r="B64854" s="25"/>
      <c r="D64854" s="25"/>
      <c r="E64854" s="25"/>
      <c r="F64854" s="25"/>
      <c r="G64854" s="25"/>
      <c r="H64854" s="2"/>
      <c r="N64854" s="1"/>
      <c r="O64854" s="1"/>
      <c r="P64854" s="1"/>
      <c r="Q64854" s="1"/>
      <c r="R64854" s="1"/>
    </row>
    <row r="64864" spans="2:18" x14ac:dyDescent="0.2">
      <c r="P64864" s="4"/>
      <c r="Q64864" s="4"/>
      <c r="R64864" s="4"/>
    </row>
    <row r="64865" spans="2:18" x14ac:dyDescent="0.2">
      <c r="B64865" s="25">
        <f>SUM(B7:B64864)</f>
        <v>0</v>
      </c>
    </row>
    <row r="64866" spans="2:18" x14ac:dyDescent="0.2">
      <c r="P64866" s="4"/>
      <c r="Q64866" s="4"/>
      <c r="R64866" s="4"/>
    </row>
    <row r="64867" spans="2:18" x14ac:dyDescent="0.2">
      <c r="B64867" s="25">
        <f>SUM(B64865)</f>
        <v>0</v>
      </c>
      <c r="N64867" s="4"/>
      <c r="O64867" s="4"/>
    </row>
    <row r="64869" spans="2:18" x14ac:dyDescent="0.2">
      <c r="N64869" s="4"/>
      <c r="O64869" s="4"/>
    </row>
    <row r="1048193" spans="17:17" x14ac:dyDescent="0.2">
      <c r="Q1048193" s="11" t="e">
        <f>SUM(#REF!)</f>
        <v>#REF!</v>
      </c>
    </row>
  </sheetData>
  <mergeCells count="52">
    <mergeCell ref="A250:B250"/>
    <mergeCell ref="A125:B125"/>
    <mergeCell ref="A242:B242"/>
    <mergeCell ref="A85:B85"/>
    <mergeCell ref="A88:B88"/>
    <mergeCell ref="A97:B97"/>
    <mergeCell ref="A108:B108"/>
    <mergeCell ref="A112:B112"/>
    <mergeCell ref="A116:B116"/>
    <mergeCell ref="A186:B186"/>
    <mergeCell ref="A193:B193"/>
    <mergeCell ref="A179:B179"/>
    <mergeCell ref="A220:B220"/>
    <mergeCell ref="A225:B225"/>
    <mergeCell ref="A229:B229"/>
    <mergeCell ref="A234:B234"/>
    <mergeCell ref="A65:B65"/>
    <mergeCell ref="A71:B71"/>
    <mergeCell ref="A76:B76"/>
    <mergeCell ref="A80:B80"/>
    <mergeCell ref="A120:B120"/>
    <mergeCell ref="A101:B101"/>
    <mergeCell ref="A92:B92"/>
    <mergeCell ref="A41:B41"/>
    <mergeCell ref="A45:B45"/>
    <mergeCell ref="A50:B50"/>
    <mergeCell ref="A55:B55"/>
    <mergeCell ref="A59:B59"/>
    <mergeCell ref="A12:B12"/>
    <mergeCell ref="A35:B35"/>
    <mergeCell ref="A2:R2"/>
    <mergeCell ref="A3:R3"/>
    <mergeCell ref="A4:R4"/>
    <mergeCell ref="A28:B28"/>
    <mergeCell ref="A24:B24"/>
    <mergeCell ref="A18:B18"/>
    <mergeCell ref="A131:B131"/>
    <mergeCell ref="A136:B136"/>
    <mergeCell ref="A145:B145"/>
    <mergeCell ref="A197:B197"/>
    <mergeCell ref="A203:B203"/>
    <mergeCell ref="A164:B164"/>
    <mergeCell ref="A170:B170"/>
    <mergeCell ref="A175:B175"/>
    <mergeCell ref="A160:B160"/>
    <mergeCell ref="A141:B141"/>
    <mergeCell ref="A150:B150"/>
    <mergeCell ref="A238:B238"/>
    <mergeCell ref="A246:B246"/>
    <mergeCell ref="A207:B207"/>
    <mergeCell ref="A211:B211"/>
    <mergeCell ref="A215:B215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50" fitToHeight="0" orientation="landscape" r:id="rId1"/>
  <rowBreaks count="8" manualBreakCount="8">
    <brk id="46" max="17" man="1"/>
    <brk id="81" max="17" man="1"/>
    <brk id="120" max="17" man="1"/>
    <brk id="160" max="17" man="1"/>
    <brk id="202" max="17" man="1"/>
    <brk id="242" max="17" man="1"/>
    <brk id="258" max="12" man="1"/>
    <brk id="263" max="12" man="1"/>
  </rowBreaks>
  <ignoredErrors>
    <ignoredError sqref="R223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87"/>
  <sheetViews>
    <sheetView showGridLines="0" view="pageBreakPreview" zoomScale="70" zoomScaleNormal="97" zoomScaleSheetLayoutView="70" workbookViewId="0">
      <pane xSplit="3" ySplit="6" topLeftCell="E104" activePane="bottomRight" state="frozen"/>
      <selection pane="topRight" activeCell="C1" sqref="C1"/>
      <selection pane="bottomLeft" activeCell="A9" sqref="A9"/>
      <selection pane="bottomRight" activeCell="G114" sqref="G114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5" customWidth="1"/>
    <col min="4" max="4" width="9.85546875" style="4" customWidth="1"/>
    <col min="5" max="5" width="48.140625" style="25" customWidth="1"/>
    <col min="6" max="6" width="27.28515625" style="25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79" t="s">
        <v>414</v>
      </c>
      <c r="C1" s="279"/>
      <c r="D1" s="279"/>
      <c r="E1" s="279"/>
      <c r="F1" s="279"/>
      <c r="G1" s="279"/>
      <c r="H1" s="279"/>
      <c r="I1" s="279"/>
      <c r="J1" s="279"/>
      <c r="K1" s="279"/>
      <c r="L1" s="279"/>
    </row>
    <row r="2" spans="2:13" ht="21" x14ac:dyDescent="0.35">
      <c r="B2" s="280" t="s">
        <v>432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</row>
    <row r="3" spans="2:13" ht="18.75" x14ac:dyDescent="0.3">
      <c r="B3" s="281" t="s">
        <v>669</v>
      </c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16"/>
    </row>
    <row r="4" spans="2:13" ht="19.5" thickBot="1" x14ac:dyDescent="0.35">
      <c r="B4" s="281"/>
      <c r="C4" s="281"/>
      <c r="D4" s="17"/>
      <c r="E4" s="24"/>
      <c r="F4" s="24"/>
      <c r="G4" s="17"/>
    </row>
    <row r="5" spans="2:13" ht="25.5" customHeight="1" thickBot="1" x14ac:dyDescent="0.3">
      <c r="B5" s="31"/>
      <c r="C5" s="32"/>
      <c r="D5" s="31"/>
      <c r="E5" s="32"/>
      <c r="F5" s="32"/>
      <c r="G5" s="33"/>
      <c r="H5" s="299" t="s">
        <v>120</v>
      </c>
      <c r="I5" s="300"/>
      <c r="J5" s="34"/>
      <c r="K5" s="34"/>
      <c r="L5" s="34"/>
    </row>
    <row r="6" spans="2:13" s="18" customFormat="1" ht="30" customHeight="1" x14ac:dyDescent="0.25">
      <c r="B6" s="35" t="s">
        <v>0</v>
      </c>
      <c r="C6" s="35" t="s">
        <v>365</v>
      </c>
      <c r="D6" s="35" t="s">
        <v>427</v>
      </c>
      <c r="E6" s="35" t="s">
        <v>127</v>
      </c>
      <c r="F6" s="35" t="s">
        <v>114</v>
      </c>
      <c r="G6" s="35" t="s">
        <v>124</v>
      </c>
      <c r="H6" s="36" t="s">
        <v>1</v>
      </c>
      <c r="I6" s="36" t="s">
        <v>2</v>
      </c>
      <c r="J6" s="37" t="s">
        <v>115</v>
      </c>
      <c r="K6" s="37" t="s">
        <v>3</v>
      </c>
      <c r="L6" s="37" t="s">
        <v>116</v>
      </c>
    </row>
    <row r="7" spans="2:13" s="42" customFormat="1" ht="16.5" customHeight="1" x14ac:dyDescent="0.25">
      <c r="B7" s="52"/>
      <c r="C7" s="52"/>
      <c r="D7" s="52"/>
      <c r="E7" s="52"/>
      <c r="F7" s="52"/>
      <c r="M7" s="40"/>
    </row>
    <row r="8" spans="2:13" s="41" customFormat="1" ht="22.5" customHeight="1" thickBot="1" x14ac:dyDescent="0.3">
      <c r="B8" s="52"/>
      <c r="C8" s="52"/>
      <c r="D8" s="52"/>
      <c r="E8" s="52"/>
      <c r="F8" s="52"/>
      <c r="G8" s="42"/>
      <c r="H8" s="42"/>
      <c r="I8" s="42"/>
      <c r="J8" s="42"/>
      <c r="K8" s="42"/>
      <c r="L8" s="42"/>
    </row>
    <row r="9" spans="2:13" s="41" customFormat="1" ht="30" customHeight="1" thickBot="1" x14ac:dyDescent="0.3">
      <c r="B9" s="287" t="s">
        <v>179</v>
      </c>
      <c r="C9" s="288"/>
      <c r="D9" s="288"/>
      <c r="E9" s="288"/>
      <c r="F9" s="288"/>
      <c r="G9" s="288"/>
      <c r="H9" s="288"/>
      <c r="I9" s="288"/>
      <c r="J9" s="288"/>
      <c r="K9" s="288"/>
      <c r="L9" s="289"/>
    </row>
    <row r="10" spans="2:13" s="41" customFormat="1" ht="30" customHeight="1" x14ac:dyDescent="0.25">
      <c r="B10" s="38">
        <f>1</f>
        <v>1</v>
      </c>
      <c r="C10" s="116" t="s">
        <v>139</v>
      </c>
      <c r="D10" s="38" t="s">
        <v>426</v>
      </c>
      <c r="E10" s="117" t="s">
        <v>468</v>
      </c>
      <c r="F10" s="116" t="s">
        <v>121</v>
      </c>
      <c r="G10" s="118">
        <v>19500</v>
      </c>
      <c r="H10" s="118">
        <v>559.64999999999964</v>
      </c>
      <c r="I10" s="115">
        <v>502.21</v>
      </c>
      <c r="J10" s="118">
        <v>4609.54</v>
      </c>
      <c r="K10" s="115">
        <f>SUM(H10:J10)</f>
        <v>5671.4</v>
      </c>
      <c r="L10" s="119">
        <f>+G10-K10</f>
        <v>13828.6</v>
      </c>
      <c r="M10" s="217"/>
    </row>
    <row r="11" spans="2:13" s="41" customFormat="1" ht="30" customHeight="1" x14ac:dyDescent="0.25">
      <c r="B11" s="290" t="s">
        <v>125</v>
      </c>
      <c r="C11" s="291"/>
      <c r="D11" s="291"/>
      <c r="E11" s="291"/>
      <c r="F11" s="291"/>
      <c r="G11" s="39">
        <f>SUM(G10)</f>
        <v>19500</v>
      </c>
      <c r="H11" s="39">
        <f t="shared" ref="H11:J11" si="0">SUM(H10)</f>
        <v>559.64999999999964</v>
      </c>
      <c r="I11" s="39">
        <f t="shared" si="0"/>
        <v>502.21</v>
      </c>
      <c r="J11" s="39">
        <f t="shared" si="0"/>
        <v>4609.54</v>
      </c>
      <c r="K11" s="39">
        <f>SUM(K10)</f>
        <v>5671.4</v>
      </c>
      <c r="L11" s="39">
        <f>SUM(L10)</f>
        <v>13828.6</v>
      </c>
      <c r="M11" s="217"/>
    </row>
    <row r="12" spans="2:13" s="42" customFormat="1" ht="30" customHeight="1" thickBot="1" x14ac:dyDescent="0.3">
      <c r="B12" s="52"/>
      <c r="C12" s="52"/>
      <c r="D12" s="52"/>
      <c r="E12" s="52"/>
      <c r="F12" s="52"/>
      <c r="M12" s="40"/>
    </row>
    <row r="13" spans="2:13" s="76" customFormat="1" ht="30" customHeight="1" thickBot="1" x14ac:dyDescent="0.3">
      <c r="B13" s="287" t="s">
        <v>154</v>
      </c>
      <c r="C13" s="288"/>
      <c r="D13" s="288"/>
      <c r="E13" s="288"/>
      <c r="F13" s="288"/>
      <c r="G13" s="288"/>
      <c r="H13" s="288"/>
      <c r="I13" s="288"/>
      <c r="J13" s="288"/>
      <c r="K13" s="288"/>
      <c r="L13" s="289"/>
    </row>
    <row r="14" spans="2:13" s="41" customFormat="1" ht="46.5" customHeight="1" x14ac:dyDescent="0.25">
      <c r="B14" s="86">
        <f>+B10+1</f>
        <v>2</v>
      </c>
      <c r="C14" s="116" t="s">
        <v>253</v>
      </c>
      <c r="D14" s="38" t="s">
        <v>426</v>
      </c>
      <c r="E14" s="117" t="s">
        <v>500</v>
      </c>
      <c r="F14" s="116" t="s">
        <v>122</v>
      </c>
      <c r="G14" s="118">
        <v>31000</v>
      </c>
      <c r="H14" s="88">
        <f>G14*2.87%</f>
        <v>889.7</v>
      </c>
      <c r="I14" s="88">
        <f>+G14*3.04%</f>
        <v>942.4</v>
      </c>
      <c r="J14" s="88">
        <v>7291.9699999999993</v>
      </c>
      <c r="K14" s="115">
        <f>SUM(H14:J14)</f>
        <v>9124.07</v>
      </c>
      <c r="L14" s="119">
        <f>+G14-K14</f>
        <v>21875.93</v>
      </c>
      <c r="M14" s="217"/>
    </row>
    <row r="15" spans="2:13" s="41" customFormat="1" ht="27" customHeight="1" x14ac:dyDescent="0.25">
      <c r="B15" s="290" t="s">
        <v>125</v>
      </c>
      <c r="C15" s="291"/>
      <c r="D15" s="291"/>
      <c r="E15" s="291"/>
      <c r="F15" s="292"/>
      <c r="G15" s="39">
        <f>SUM(G14)</f>
        <v>31000</v>
      </c>
      <c r="H15" s="39">
        <f t="shared" ref="H15:L15" si="1">SUM(H14)</f>
        <v>889.7</v>
      </c>
      <c r="I15" s="39">
        <f t="shared" si="1"/>
        <v>942.4</v>
      </c>
      <c r="J15" s="39">
        <f t="shared" si="1"/>
        <v>7291.9699999999993</v>
      </c>
      <c r="K15" s="39">
        <f t="shared" si="1"/>
        <v>9124.07</v>
      </c>
      <c r="L15" s="39">
        <f t="shared" si="1"/>
        <v>21875.93</v>
      </c>
    </row>
    <row r="16" spans="2:13" s="41" customFormat="1" ht="27" customHeight="1" thickBot="1" x14ac:dyDescent="0.3">
      <c r="B16" s="52"/>
      <c r="C16" s="52"/>
      <c r="D16" s="52"/>
      <c r="E16" s="52"/>
      <c r="F16" s="52"/>
      <c r="G16" s="92"/>
      <c r="H16" s="92"/>
      <c r="I16" s="92"/>
      <c r="J16" s="92"/>
      <c r="K16" s="92"/>
      <c r="L16" s="92"/>
    </row>
    <row r="17" spans="2:13" s="76" customFormat="1" ht="30" customHeight="1" thickBot="1" x14ac:dyDescent="0.3">
      <c r="B17" s="287" t="s">
        <v>156</v>
      </c>
      <c r="C17" s="288"/>
      <c r="D17" s="288"/>
      <c r="E17" s="288"/>
      <c r="F17" s="288"/>
      <c r="G17" s="288"/>
      <c r="H17" s="288"/>
      <c r="I17" s="288"/>
      <c r="J17" s="288"/>
      <c r="K17" s="288"/>
      <c r="L17" s="289"/>
    </row>
    <row r="18" spans="2:13" s="41" customFormat="1" ht="46.5" customHeight="1" x14ac:dyDescent="0.25">
      <c r="B18" s="86">
        <f>+B14+1</f>
        <v>3</v>
      </c>
      <c r="C18" s="87" t="s">
        <v>256</v>
      </c>
      <c r="D18" s="38" t="s">
        <v>426</v>
      </c>
      <c r="E18" s="91" t="s">
        <v>533</v>
      </c>
      <c r="F18" s="116" t="s">
        <v>199</v>
      </c>
      <c r="G18" s="118">
        <v>25000</v>
      </c>
      <c r="H18" s="88">
        <f>G18*2.87%</f>
        <v>717.5</v>
      </c>
      <c r="I18" s="88">
        <f>+G18*3.04%</f>
        <v>760</v>
      </c>
      <c r="J18" s="88">
        <v>5880.62</v>
      </c>
      <c r="K18" s="115">
        <f>SUM(H18:J18)</f>
        <v>7358.12</v>
      </c>
      <c r="L18" s="119">
        <f>+G18-K18</f>
        <v>17641.88</v>
      </c>
      <c r="M18" s="217"/>
    </row>
    <row r="19" spans="2:13" s="41" customFormat="1" ht="27" customHeight="1" x14ac:dyDescent="0.25">
      <c r="B19" s="290" t="s">
        <v>125</v>
      </c>
      <c r="C19" s="291"/>
      <c r="D19" s="291"/>
      <c r="E19" s="291"/>
      <c r="F19" s="292"/>
      <c r="G19" s="39">
        <f>SUM(G18)</f>
        <v>25000</v>
      </c>
      <c r="H19" s="39">
        <f t="shared" ref="H19:L19" si="2">SUM(H18)</f>
        <v>717.5</v>
      </c>
      <c r="I19" s="39">
        <f t="shared" si="2"/>
        <v>760</v>
      </c>
      <c r="J19" s="39">
        <f t="shared" si="2"/>
        <v>5880.62</v>
      </c>
      <c r="K19" s="39">
        <f>SUM(K18)</f>
        <v>7358.12</v>
      </c>
      <c r="L19" s="39">
        <f t="shared" si="2"/>
        <v>17641.88</v>
      </c>
    </row>
    <row r="20" spans="2:13" s="41" customFormat="1" ht="27" customHeight="1" thickBot="1" x14ac:dyDescent="0.3">
      <c r="B20" s="52"/>
      <c r="C20" s="52"/>
      <c r="D20" s="52"/>
      <c r="E20" s="52"/>
      <c r="F20" s="52"/>
      <c r="G20" s="42"/>
      <c r="H20" s="42"/>
      <c r="I20" s="42"/>
      <c r="J20" s="42"/>
      <c r="K20" s="42"/>
      <c r="L20" s="42"/>
    </row>
    <row r="21" spans="2:13" s="41" customFormat="1" ht="21" customHeight="1" thickBot="1" x14ac:dyDescent="0.3">
      <c r="B21" s="287" t="s">
        <v>246</v>
      </c>
      <c r="C21" s="288"/>
      <c r="D21" s="288"/>
      <c r="E21" s="288"/>
      <c r="F21" s="288"/>
      <c r="G21" s="288"/>
      <c r="H21" s="288"/>
      <c r="I21" s="288"/>
      <c r="J21" s="288"/>
      <c r="K21" s="288"/>
      <c r="L21" s="289"/>
    </row>
    <row r="22" spans="2:13" s="92" customFormat="1" ht="30" customHeight="1" x14ac:dyDescent="0.25">
      <c r="B22" s="81">
        <f>+B18+1</f>
        <v>4</v>
      </c>
      <c r="C22" s="121" t="s">
        <v>56</v>
      </c>
      <c r="D22" s="131" t="s">
        <v>426</v>
      </c>
      <c r="E22" s="132" t="s">
        <v>181</v>
      </c>
      <c r="F22" s="116" t="s">
        <v>122</v>
      </c>
      <c r="G22" s="115">
        <v>63500</v>
      </c>
      <c r="H22" s="83">
        <v>1822.4499999999998</v>
      </c>
      <c r="I22" s="83">
        <v>1839.81</v>
      </c>
      <c r="J22" s="115">
        <v>14959.44</v>
      </c>
      <c r="K22" s="83">
        <f>SUM(H22:J22)</f>
        <v>18621.7</v>
      </c>
      <c r="L22" s="119">
        <f>+G22-K22</f>
        <v>44878.3</v>
      </c>
      <c r="M22" s="42"/>
    </row>
    <row r="23" spans="2:13" s="41" customFormat="1" ht="28.5" customHeight="1" x14ac:dyDescent="0.25">
      <c r="B23" s="290" t="s">
        <v>125</v>
      </c>
      <c r="C23" s="291"/>
      <c r="D23" s="291"/>
      <c r="E23" s="291"/>
      <c r="F23" s="292"/>
      <c r="G23" s="39">
        <f t="shared" ref="G23:L23" si="3">SUM(G22:G22)</f>
        <v>63500</v>
      </c>
      <c r="H23" s="39">
        <f t="shared" si="3"/>
        <v>1822.4499999999998</v>
      </c>
      <c r="I23" s="39">
        <f t="shared" si="3"/>
        <v>1839.81</v>
      </c>
      <c r="J23" s="39">
        <f t="shared" si="3"/>
        <v>14959.44</v>
      </c>
      <c r="K23" s="39">
        <f t="shared" si="3"/>
        <v>18621.7</v>
      </c>
      <c r="L23" s="39">
        <f t="shared" si="3"/>
        <v>44878.3</v>
      </c>
    </row>
    <row r="24" spans="2:13" s="41" customFormat="1" ht="28.5" customHeight="1" thickBot="1" x14ac:dyDescent="0.3">
      <c r="B24" s="52"/>
      <c r="C24" s="52"/>
      <c r="D24" s="52"/>
      <c r="E24" s="52"/>
      <c r="F24" s="52"/>
      <c r="G24" s="42"/>
      <c r="H24" s="42"/>
      <c r="I24" s="42"/>
      <c r="J24" s="42"/>
      <c r="K24" s="42"/>
      <c r="L24" s="42"/>
    </row>
    <row r="25" spans="2:13" s="41" customFormat="1" ht="28.5" customHeight="1" thickBot="1" x14ac:dyDescent="0.3">
      <c r="B25" s="287" t="s">
        <v>158</v>
      </c>
      <c r="C25" s="288"/>
      <c r="D25" s="288"/>
      <c r="E25" s="288"/>
      <c r="F25" s="288"/>
      <c r="G25" s="288"/>
      <c r="H25" s="288"/>
      <c r="I25" s="288"/>
      <c r="J25" s="288"/>
      <c r="K25" s="288"/>
      <c r="L25" s="289"/>
    </row>
    <row r="26" spans="2:13" s="41" customFormat="1" ht="28.5" customHeight="1" x14ac:dyDescent="0.25">
      <c r="B26" s="81">
        <f>+B22+1</f>
        <v>5</v>
      </c>
      <c r="C26" s="121" t="s">
        <v>48</v>
      </c>
      <c r="D26" s="131" t="s">
        <v>426</v>
      </c>
      <c r="E26" s="132" t="s">
        <v>464</v>
      </c>
      <c r="F26" s="116" t="s">
        <v>122</v>
      </c>
      <c r="G26" s="83">
        <v>33000</v>
      </c>
      <c r="H26" s="83">
        <v>947.09999999999991</v>
      </c>
      <c r="I26" s="83">
        <v>1003.1999999999998</v>
      </c>
      <c r="J26" s="115">
        <v>7762.4199999999983</v>
      </c>
      <c r="K26" s="83">
        <f>SUM(H26:J26)</f>
        <v>9712.7199999999975</v>
      </c>
      <c r="L26" s="119">
        <f>+G26-K26</f>
        <v>23287.280000000002</v>
      </c>
    </row>
    <row r="27" spans="2:13" s="41" customFormat="1" ht="28.5" customHeight="1" x14ac:dyDescent="0.25">
      <c r="B27" s="290" t="s">
        <v>125</v>
      </c>
      <c r="C27" s="291"/>
      <c r="D27" s="291"/>
      <c r="E27" s="291"/>
      <c r="F27" s="292"/>
      <c r="G27" s="39">
        <f t="shared" ref="G27:L27" si="4">SUM(G26:G26)</f>
        <v>33000</v>
      </c>
      <c r="H27" s="39">
        <f t="shared" si="4"/>
        <v>947.09999999999991</v>
      </c>
      <c r="I27" s="39">
        <f t="shared" si="4"/>
        <v>1003.1999999999998</v>
      </c>
      <c r="J27" s="39">
        <f t="shared" si="4"/>
        <v>7762.4199999999983</v>
      </c>
      <c r="K27" s="39">
        <f t="shared" si="4"/>
        <v>9712.7199999999975</v>
      </c>
      <c r="L27" s="39">
        <f t="shared" si="4"/>
        <v>23287.280000000002</v>
      </c>
    </row>
    <row r="28" spans="2:13" s="42" customFormat="1" ht="25.5" customHeight="1" thickBot="1" x14ac:dyDescent="0.3">
      <c r="B28" s="46"/>
      <c r="C28" s="44"/>
      <c r="D28" s="46"/>
      <c r="E28" s="45"/>
      <c r="F28" s="44"/>
      <c r="G28" s="41"/>
      <c r="H28" s="41"/>
      <c r="I28" s="41"/>
      <c r="J28" s="41"/>
      <c r="K28" s="41"/>
      <c r="L28" s="40"/>
    </row>
    <row r="29" spans="2:13" s="41" customFormat="1" ht="22.5" customHeight="1" thickBot="1" x14ac:dyDescent="0.3">
      <c r="B29" s="293" t="s">
        <v>185</v>
      </c>
      <c r="C29" s="294"/>
      <c r="D29" s="294"/>
      <c r="E29" s="294"/>
      <c r="F29" s="294"/>
      <c r="G29" s="294"/>
      <c r="H29" s="294"/>
      <c r="I29" s="294"/>
      <c r="J29" s="294"/>
      <c r="K29" s="294"/>
      <c r="L29" s="295"/>
    </row>
    <row r="30" spans="2:13" s="93" customFormat="1" ht="33.75" customHeight="1" x14ac:dyDescent="0.25">
      <c r="B30" s="81">
        <f>+B26+1</f>
        <v>6</v>
      </c>
      <c r="C30" s="121" t="s">
        <v>250</v>
      </c>
      <c r="D30" s="131" t="s">
        <v>426</v>
      </c>
      <c r="E30" s="117" t="s">
        <v>251</v>
      </c>
      <c r="F30" s="116" t="s">
        <v>122</v>
      </c>
      <c r="G30" s="115">
        <v>28500</v>
      </c>
      <c r="H30" s="115">
        <v>817.94999999999982</v>
      </c>
      <c r="I30" s="90">
        <v>866.40000000000009</v>
      </c>
      <c r="J30" s="83">
        <v>6703.91</v>
      </c>
      <c r="K30" s="83">
        <f>SUM(H30:J30)</f>
        <v>8388.26</v>
      </c>
      <c r="L30" s="84">
        <f>+G30-K30</f>
        <v>20111.739999999998</v>
      </c>
      <c r="M30" s="49"/>
    </row>
    <row r="31" spans="2:13" s="41" customFormat="1" ht="25.5" customHeight="1" x14ac:dyDescent="0.25">
      <c r="B31" s="290" t="s">
        <v>125</v>
      </c>
      <c r="C31" s="291"/>
      <c r="D31" s="291"/>
      <c r="E31" s="291"/>
      <c r="F31" s="292"/>
      <c r="G31" s="39">
        <f t="shared" ref="G31:L31" si="5">SUM(G30:G30)</f>
        <v>28500</v>
      </c>
      <c r="H31" s="39">
        <f t="shared" si="5"/>
        <v>817.94999999999982</v>
      </c>
      <c r="I31" s="39">
        <f t="shared" si="5"/>
        <v>866.40000000000009</v>
      </c>
      <c r="J31" s="39">
        <f t="shared" si="5"/>
        <v>6703.91</v>
      </c>
      <c r="K31" s="39">
        <f t="shared" si="5"/>
        <v>8388.26</v>
      </c>
      <c r="L31" s="39">
        <f t="shared" si="5"/>
        <v>20111.739999999998</v>
      </c>
    </row>
    <row r="32" spans="2:13" s="41" customFormat="1" ht="25.5" customHeight="1" thickBot="1" x14ac:dyDescent="0.3">
      <c r="B32" s="52"/>
      <c r="C32" s="52"/>
      <c r="D32" s="52"/>
      <c r="E32" s="52"/>
      <c r="F32" s="52"/>
      <c r="G32" s="42"/>
      <c r="H32" s="42"/>
      <c r="I32" s="42"/>
      <c r="J32" s="42"/>
      <c r="K32" s="42"/>
      <c r="L32" s="42"/>
    </row>
    <row r="33" spans="2:13" s="41" customFormat="1" ht="30" customHeight="1" thickBot="1" x14ac:dyDescent="0.3">
      <c r="B33" s="293" t="s">
        <v>159</v>
      </c>
      <c r="C33" s="294"/>
      <c r="D33" s="294"/>
      <c r="E33" s="294"/>
      <c r="F33" s="294"/>
      <c r="G33" s="294"/>
      <c r="H33" s="294"/>
      <c r="I33" s="294"/>
      <c r="J33" s="294"/>
      <c r="K33" s="294"/>
      <c r="L33" s="295"/>
    </row>
    <row r="34" spans="2:13" s="55" customFormat="1" ht="30" customHeight="1" x14ac:dyDescent="0.25">
      <c r="B34" s="81">
        <f>+B30+1</f>
        <v>7</v>
      </c>
      <c r="C34" s="121" t="s">
        <v>62</v>
      </c>
      <c r="D34" s="131" t="s">
        <v>426</v>
      </c>
      <c r="E34" s="117" t="s">
        <v>186</v>
      </c>
      <c r="F34" s="116" t="s">
        <v>122</v>
      </c>
      <c r="G34" s="115">
        <v>52000</v>
      </c>
      <c r="H34" s="83">
        <v>1492.4</v>
      </c>
      <c r="I34" s="83">
        <v>1490.21</v>
      </c>
      <c r="J34" s="115">
        <v>12254.35</v>
      </c>
      <c r="K34" s="115">
        <f>SUM(H34:J34)</f>
        <v>15236.960000000001</v>
      </c>
      <c r="L34" s="119">
        <f>+G34-K34</f>
        <v>36763.040000000001</v>
      </c>
      <c r="M34" s="41"/>
    </row>
    <row r="35" spans="2:13" s="41" customFormat="1" ht="30" customHeight="1" x14ac:dyDescent="0.25">
      <c r="B35" s="290" t="s">
        <v>125</v>
      </c>
      <c r="C35" s="291"/>
      <c r="D35" s="291"/>
      <c r="E35" s="291"/>
      <c r="F35" s="292"/>
      <c r="G35" s="39">
        <f t="shared" ref="G35:L35" si="6">SUM(G34:G34)</f>
        <v>52000</v>
      </c>
      <c r="H35" s="39">
        <f t="shared" si="6"/>
        <v>1492.4</v>
      </c>
      <c r="I35" s="39">
        <f t="shared" si="6"/>
        <v>1490.21</v>
      </c>
      <c r="J35" s="39">
        <f t="shared" si="6"/>
        <v>12254.35</v>
      </c>
      <c r="K35" s="39">
        <f t="shared" si="6"/>
        <v>15236.960000000001</v>
      </c>
      <c r="L35" s="39">
        <f t="shared" si="6"/>
        <v>36763.040000000001</v>
      </c>
    </row>
    <row r="36" spans="2:13" s="41" customFormat="1" ht="25.5" customHeight="1" thickBot="1" x14ac:dyDescent="0.3">
      <c r="B36" s="46"/>
      <c r="C36" s="44"/>
      <c r="D36" s="46"/>
      <c r="E36" s="45"/>
      <c r="F36" s="44"/>
      <c r="L36" s="40"/>
    </row>
    <row r="37" spans="2:13" ht="30" customHeight="1" thickBot="1" x14ac:dyDescent="0.3">
      <c r="B37" s="293" t="s">
        <v>160</v>
      </c>
      <c r="C37" s="294"/>
      <c r="D37" s="294"/>
      <c r="E37" s="294"/>
      <c r="F37" s="294"/>
      <c r="G37" s="294"/>
      <c r="H37" s="294"/>
      <c r="I37" s="294"/>
      <c r="J37" s="294"/>
      <c r="K37" s="294"/>
      <c r="L37" s="295"/>
    </row>
    <row r="38" spans="2:13" ht="46.5" customHeight="1" x14ac:dyDescent="0.25">
      <c r="B38" s="86">
        <f>+B34+1</f>
        <v>8</v>
      </c>
      <c r="C38" s="189" t="s">
        <v>545</v>
      </c>
      <c r="D38" s="190" t="s">
        <v>426</v>
      </c>
      <c r="E38" s="117" t="s">
        <v>546</v>
      </c>
      <c r="F38" s="189" t="s">
        <v>121</v>
      </c>
      <c r="G38" s="191">
        <v>45000</v>
      </c>
      <c r="H38" s="164">
        <v>1291.5</v>
      </c>
      <c r="I38" s="164">
        <v>1368</v>
      </c>
      <c r="J38" s="164">
        <v>10585.12</v>
      </c>
      <c r="K38" s="165">
        <f>SUM(H38:J38)</f>
        <v>13244.62</v>
      </c>
      <c r="L38" s="166">
        <f>+G38-K38</f>
        <v>31755.379999999997</v>
      </c>
    </row>
    <row r="39" spans="2:13" ht="30" customHeight="1" x14ac:dyDescent="0.25">
      <c r="B39" s="290" t="s">
        <v>125</v>
      </c>
      <c r="C39" s="291"/>
      <c r="D39" s="291"/>
      <c r="E39" s="291"/>
      <c r="F39" s="292"/>
      <c r="G39" s="39">
        <f t="shared" ref="G39:L39" si="7">SUM(G38:G38)</f>
        <v>45000</v>
      </c>
      <c r="H39" s="39">
        <f t="shared" si="7"/>
        <v>1291.5</v>
      </c>
      <c r="I39" s="39">
        <f t="shared" si="7"/>
        <v>1368</v>
      </c>
      <c r="J39" s="39">
        <f t="shared" si="7"/>
        <v>10585.12</v>
      </c>
      <c r="K39" s="39">
        <f>SUM(K38:K38)</f>
        <v>13244.62</v>
      </c>
      <c r="L39" s="39">
        <f t="shared" si="7"/>
        <v>31755.379999999997</v>
      </c>
    </row>
    <row r="40" spans="2:13" s="41" customFormat="1" ht="32.25" customHeight="1" thickBot="1" x14ac:dyDescent="0.3">
      <c r="B40" s="46"/>
      <c r="C40" s="44"/>
      <c r="D40" s="46"/>
      <c r="E40" s="45"/>
      <c r="F40" s="44"/>
      <c r="L40" s="40"/>
    </row>
    <row r="41" spans="2:13" s="41" customFormat="1" ht="32.25" customHeight="1" thickBot="1" x14ac:dyDescent="0.3">
      <c r="B41" s="293" t="s">
        <v>163</v>
      </c>
      <c r="C41" s="294"/>
      <c r="D41" s="294"/>
      <c r="E41" s="294"/>
      <c r="F41" s="294"/>
      <c r="G41" s="294"/>
      <c r="H41" s="294"/>
      <c r="I41" s="294"/>
      <c r="J41" s="294"/>
      <c r="K41" s="294"/>
      <c r="L41" s="295"/>
    </row>
    <row r="42" spans="2:13" s="93" customFormat="1" ht="30" customHeight="1" x14ac:dyDescent="0.25">
      <c r="B42" s="131">
        <f>+B38+1</f>
        <v>9</v>
      </c>
      <c r="C42" s="121" t="s">
        <v>567</v>
      </c>
      <c r="D42" s="131" t="s">
        <v>426</v>
      </c>
      <c r="E42" s="132" t="s">
        <v>187</v>
      </c>
      <c r="F42" s="116" t="s">
        <v>122</v>
      </c>
      <c r="G42" s="115">
        <v>50000</v>
      </c>
      <c r="H42" s="88">
        <v>1435</v>
      </c>
      <c r="I42" s="88">
        <v>1520</v>
      </c>
      <c r="J42" s="88">
        <v>11761.25</v>
      </c>
      <c r="K42" s="83">
        <f>SUM(H42:J42)</f>
        <v>14716.25</v>
      </c>
      <c r="L42" s="84">
        <f>+G42-K42</f>
        <v>35283.75</v>
      </c>
      <c r="M42" s="49"/>
    </row>
    <row r="43" spans="2:13" s="41" customFormat="1" ht="30" customHeight="1" x14ac:dyDescent="0.25">
      <c r="B43" s="290" t="s">
        <v>125</v>
      </c>
      <c r="C43" s="291"/>
      <c r="D43" s="291"/>
      <c r="E43" s="291"/>
      <c r="F43" s="292"/>
      <c r="G43" s="39">
        <f t="shared" ref="G43:L43" si="8">SUM(G42:G42)</f>
        <v>50000</v>
      </c>
      <c r="H43" s="39">
        <f t="shared" si="8"/>
        <v>1435</v>
      </c>
      <c r="I43" s="39">
        <f t="shared" si="8"/>
        <v>1520</v>
      </c>
      <c r="J43" s="39">
        <f t="shared" si="8"/>
        <v>11761.25</v>
      </c>
      <c r="K43" s="39">
        <f t="shared" si="8"/>
        <v>14716.25</v>
      </c>
      <c r="L43" s="39">
        <f t="shared" si="8"/>
        <v>35283.75</v>
      </c>
    </row>
    <row r="44" spans="2:13" ht="26.25" customHeight="1" thickBot="1" x14ac:dyDescent="0.25"/>
    <row r="45" spans="2:13" s="41" customFormat="1" ht="28.5" customHeight="1" thickBot="1" x14ac:dyDescent="0.3">
      <c r="B45" s="293" t="s">
        <v>165</v>
      </c>
      <c r="C45" s="294"/>
      <c r="D45" s="294"/>
      <c r="E45" s="294"/>
      <c r="F45" s="294"/>
      <c r="G45" s="294"/>
      <c r="H45" s="294"/>
      <c r="I45" s="294"/>
      <c r="J45" s="294"/>
      <c r="K45" s="294"/>
      <c r="L45" s="295"/>
    </row>
    <row r="46" spans="2:13" s="55" customFormat="1" ht="30" customHeight="1" x14ac:dyDescent="0.25">
      <c r="B46" s="131">
        <f>+B42+1</f>
        <v>10</v>
      </c>
      <c r="C46" s="121" t="s">
        <v>65</v>
      </c>
      <c r="D46" s="131" t="s">
        <v>426</v>
      </c>
      <c r="E46" s="192" t="s">
        <v>188</v>
      </c>
      <c r="F46" s="116" t="s">
        <v>122</v>
      </c>
      <c r="G46" s="115">
        <v>34750</v>
      </c>
      <c r="H46" s="83">
        <v>997.32499999999982</v>
      </c>
      <c r="I46" s="83">
        <v>965.81</v>
      </c>
      <c r="J46" s="83">
        <v>8196.7199999999993</v>
      </c>
      <c r="K46" s="83">
        <f>SUM(H46:J46)</f>
        <v>10159.855</v>
      </c>
      <c r="L46" s="84">
        <f>+G46-K46</f>
        <v>24590.145</v>
      </c>
      <c r="M46" s="41"/>
    </row>
    <row r="47" spans="2:13" s="41" customFormat="1" ht="30" customHeight="1" x14ac:dyDescent="0.25">
      <c r="B47" s="290" t="s">
        <v>125</v>
      </c>
      <c r="C47" s="291"/>
      <c r="D47" s="291"/>
      <c r="E47" s="291"/>
      <c r="F47" s="292"/>
      <c r="G47" s="39">
        <f t="shared" ref="G47:L47" si="9">SUM(G46:G46)</f>
        <v>34750</v>
      </c>
      <c r="H47" s="39">
        <f t="shared" si="9"/>
        <v>997.32499999999982</v>
      </c>
      <c r="I47" s="39">
        <f t="shared" si="9"/>
        <v>965.81</v>
      </c>
      <c r="J47" s="39">
        <f t="shared" si="9"/>
        <v>8196.7199999999993</v>
      </c>
      <c r="K47" s="39">
        <f t="shared" si="9"/>
        <v>10159.855</v>
      </c>
      <c r="L47" s="39">
        <f t="shared" si="9"/>
        <v>24590.145</v>
      </c>
    </row>
    <row r="48" spans="2:13" customFormat="1" ht="33.75" customHeight="1" thickBot="1" x14ac:dyDescent="0.25">
      <c r="D48" s="146"/>
      <c r="M48" s="217"/>
    </row>
    <row r="49" spans="2:13" customFormat="1" ht="33.75" customHeight="1" thickBot="1" x14ac:dyDescent="0.3">
      <c r="B49" s="293" t="s">
        <v>169</v>
      </c>
      <c r="C49" s="294"/>
      <c r="D49" s="294"/>
      <c r="E49" s="294"/>
      <c r="F49" s="294"/>
      <c r="G49" s="294"/>
      <c r="H49" s="294"/>
      <c r="I49" s="294"/>
      <c r="J49" s="294"/>
      <c r="K49" s="294"/>
      <c r="L49" s="295"/>
      <c r="M49" s="217"/>
    </row>
    <row r="50" spans="2:13" customFormat="1" ht="33.75" customHeight="1" x14ac:dyDescent="0.25">
      <c r="B50" s="38">
        <f>+B46+1</f>
        <v>11</v>
      </c>
      <c r="C50" s="116" t="s">
        <v>488</v>
      </c>
      <c r="D50" s="38" t="s">
        <v>425</v>
      </c>
      <c r="E50" s="117" t="s">
        <v>489</v>
      </c>
      <c r="F50" s="116" t="s">
        <v>199</v>
      </c>
      <c r="G50" s="118">
        <v>55000</v>
      </c>
      <c r="H50" s="88">
        <v>1578.5</v>
      </c>
      <c r="I50" s="88">
        <v>1672</v>
      </c>
      <c r="J50" s="88">
        <v>12937.38</v>
      </c>
      <c r="K50" s="83">
        <f>SUM(H50:J50)</f>
        <v>16187.88</v>
      </c>
      <c r="L50" s="84">
        <f>+G50-K50</f>
        <v>38812.120000000003</v>
      </c>
      <c r="M50" s="217"/>
    </row>
    <row r="51" spans="2:13" customFormat="1" ht="33.75" customHeight="1" x14ac:dyDescent="0.25">
      <c r="B51" s="290" t="s">
        <v>125</v>
      </c>
      <c r="C51" s="291"/>
      <c r="D51" s="291"/>
      <c r="E51" s="291"/>
      <c r="F51" s="292"/>
      <c r="G51" s="39">
        <f t="shared" ref="G51:L51" si="10">SUM(G50:G50)</f>
        <v>55000</v>
      </c>
      <c r="H51" s="39">
        <f t="shared" si="10"/>
        <v>1578.5</v>
      </c>
      <c r="I51" s="39">
        <f t="shared" si="10"/>
        <v>1672</v>
      </c>
      <c r="J51" s="39">
        <f t="shared" si="10"/>
        <v>12937.38</v>
      </c>
      <c r="K51" s="39">
        <f t="shared" si="10"/>
        <v>16187.88</v>
      </c>
      <c r="L51" s="39">
        <f t="shared" si="10"/>
        <v>38812.120000000003</v>
      </c>
      <c r="M51" s="217"/>
    </row>
    <row r="52" spans="2:13" customFormat="1" ht="33.75" customHeight="1" thickBot="1" x14ac:dyDescent="0.25">
      <c r="D52" s="146"/>
      <c r="M52" s="217"/>
    </row>
    <row r="53" spans="2:13" s="41" customFormat="1" ht="30" customHeight="1" thickBot="1" x14ac:dyDescent="0.3">
      <c r="B53" s="293" t="s">
        <v>170</v>
      </c>
      <c r="C53" s="294"/>
      <c r="D53" s="294"/>
      <c r="E53" s="294"/>
      <c r="F53" s="294"/>
      <c r="G53" s="294"/>
      <c r="H53" s="294"/>
      <c r="I53" s="294"/>
      <c r="J53" s="294"/>
      <c r="K53" s="294"/>
      <c r="L53" s="295"/>
    </row>
    <row r="54" spans="2:13" s="55" customFormat="1" ht="30" customHeight="1" x14ac:dyDescent="0.25">
      <c r="B54" s="38">
        <f>+B50+1</f>
        <v>12</v>
      </c>
      <c r="C54" s="116" t="s">
        <v>197</v>
      </c>
      <c r="D54" s="38" t="s">
        <v>425</v>
      </c>
      <c r="E54" s="117" t="s">
        <v>266</v>
      </c>
      <c r="F54" s="116" t="s">
        <v>122</v>
      </c>
      <c r="G54" s="118">
        <v>55000</v>
      </c>
      <c r="H54" s="88">
        <v>1578.5</v>
      </c>
      <c r="I54" s="88">
        <v>1672</v>
      </c>
      <c r="J54" s="88">
        <v>12930.32</v>
      </c>
      <c r="K54" s="83">
        <f>SUM(H54:J54)</f>
        <v>16180.82</v>
      </c>
      <c r="L54" s="84">
        <f>+G54-K54</f>
        <v>38819.18</v>
      </c>
      <c r="M54" s="41"/>
    </row>
    <row r="55" spans="2:13" s="49" customFormat="1" ht="30" customHeight="1" thickBot="1" x14ac:dyDescent="0.3">
      <c r="B55" s="290" t="s">
        <v>125</v>
      </c>
      <c r="C55" s="291"/>
      <c r="D55" s="291"/>
      <c r="E55" s="291"/>
      <c r="F55" s="292"/>
      <c r="G55" s="39">
        <f t="shared" ref="G55:L55" si="11">SUM(G54:G54)</f>
        <v>55000</v>
      </c>
      <c r="H55" s="39">
        <f t="shared" si="11"/>
        <v>1578.5</v>
      </c>
      <c r="I55" s="39">
        <f t="shared" si="11"/>
        <v>1672</v>
      </c>
      <c r="J55" s="39">
        <f t="shared" si="11"/>
        <v>12930.32</v>
      </c>
      <c r="K55" s="39">
        <f t="shared" si="11"/>
        <v>16180.82</v>
      </c>
      <c r="L55" s="39">
        <f t="shared" si="11"/>
        <v>38819.18</v>
      </c>
    </row>
    <row r="56" spans="2:13" s="41" customFormat="1" ht="31.5" customHeight="1" thickBot="1" x14ac:dyDescent="0.3">
      <c r="B56" s="293" t="s">
        <v>547</v>
      </c>
      <c r="C56" s="294"/>
      <c r="D56" s="294"/>
      <c r="E56" s="294"/>
      <c r="F56" s="294"/>
      <c r="G56" s="294"/>
      <c r="H56" s="294"/>
      <c r="I56" s="294"/>
      <c r="J56" s="294"/>
      <c r="K56" s="294"/>
      <c r="L56" s="295"/>
    </row>
    <row r="57" spans="2:13" s="41" customFormat="1" ht="31.5" customHeight="1" x14ac:dyDescent="0.25">
      <c r="B57" s="38">
        <f>+B54+1</f>
        <v>13</v>
      </c>
      <c r="C57" s="116" t="s">
        <v>102</v>
      </c>
      <c r="D57" s="38" t="s">
        <v>426</v>
      </c>
      <c r="E57" s="117" t="s">
        <v>548</v>
      </c>
      <c r="F57" s="87" t="s">
        <v>199</v>
      </c>
      <c r="G57" s="118">
        <v>45000</v>
      </c>
      <c r="H57" s="88">
        <v>1291.5</v>
      </c>
      <c r="I57" s="88">
        <v>1368</v>
      </c>
      <c r="J57" s="88">
        <v>10585.13</v>
      </c>
      <c r="K57" s="83">
        <f>SUM(H57:J57)</f>
        <v>13244.63</v>
      </c>
      <c r="L57" s="84">
        <f>+G57-K57</f>
        <v>31755.370000000003</v>
      </c>
    </row>
    <row r="58" spans="2:13" s="41" customFormat="1" ht="31.5" customHeight="1" x14ac:dyDescent="0.25">
      <c r="B58" s="290" t="s">
        <v>125</v>
      </c>
      <c r="C58" s="291"/>
      <c r="D58" s="291"/>
      <c r="E58" s="291"/>
      <c r="F58" s="292"/>
      <c r="G58" s="39">
        <f t="shared" ref="G58:L58" si="12">SUM(G57:G57)</f>
        <v>45000</v>
      </c>
      <c r="H58" s="39">
        <f t="shared" si="12"/>
        <v>1291.5</v>
      </c>
      <c r="I58" s="39">
        <f t="shared" si="12"/>
        <v>1368</v>
      </c>
      <c r="J58" s="39">
        <f t="shared" si="12"/>
        <v>10585.13</v>
      </c>
      <c r="K58" s="39">
        <f t="shared" si="12"/>
        <v>13244.63</v>
      </c>
      <c r="L58" s="39">
        <f t="shared" si="12"/>
        <v>31755.370000000003</v>
      </c>
    </row>
    <row r="59" spans="2:13" s="41" customFormat="1" ht="31.5" customHeight="1" thickBot="1" x14ac:dyDescent="0.3">
      <c r="B59" s="4"/>
      <c r="C59" s="25"/>
      <c r="D59" s="4"/>
      <c r="E59" s="25"/>
      <c r="F59" s="25"/>
      <c r="G59" s="2"/>
      <c r="H59" s="1"/>
      <c r="I59" s="1"/>
      <c r="J59" s="1"/>
      <c r="K59" s="1"/>
      <c r="L59" s="1"/>
    </row>
    <row r="60" spans="2:13" s="55" customFormat="1" ht="28.5" customHeight="1" thickBot="1" x14ac:dyDescent="0.3">
      <c r="B60" s="293" t="s">
        <v>173</v>
      </c>
      <c r="C60" s="294"/>
      <c r="D60" s="294"/>
      <c r="E60" s="294"/>
      <c r="F60" s="294"/>
      <c r="G60" s="294"/>
      <c r="H60" s="294"/>
      <c r="I60" s="294"/>
      <c r="J60" s="294"/>
      <c r="K60" s="294"/>
      <c r="L60" s="295"/>
      <c r="M60" s="41"/>
    </row>
    <row r="61" spans="2:13" s="55" customFormat="1" ht="30" customHeight="1" x14ac:dyDescent="0.25">
      <c r="B61" s="81">
        <f>B57+1</f>
        <v>14</v>
      </c>
      <c r="C61" s="121" t="s">
        <v>274</v>
      </c>
      <c r="D61" s="131" t="s">
        <v>425</v>
      </c>
      <c r="E61" s="132" t="s">
        <v>275</v>
      </c>
      <c r="F61" s="116" t="s">
        <v>122</v>
      </c>
      <c r="G61" s="115">
        <v>28500</v>
      </c>
      <c r="H61" s="88">
        <v>817.94999999999982</v>
      </c>
      <c r="I61" s="88">
        <v>866.40000000000009</v>
      </c>
      <c r="J61" s="88">
        <v>6703.91</v>
      </c>
      <c r="K61" s="83">
        <f>SUM(H61:J61)</f>
        <v>8388.26</v>
      </c>
      <c r="L61" s="84">
        <f>+G61-K61</f>
        <v>20111.739999999998</v>
      </c>
      <c r="M61" s="41"/>
    </row>
    <row r="62" spans="2:13" ht="29.25" customHeight="1" x14ac:dyDescent="0.25">
      <c r="B62" s="290" t="s">
        <v>125</v>
      </c>
      <c r="C62" s="291"/>
      <c r="D62" s="291"/>
      <c r="E62" s="291"/>
      <c r="F62" s="292"/>
      <c r="G62" s="39">
        <f t="shared" ref="G62:L62" si="13">SUM(G61:G61)</f>
        <v>28500</v>
      </c>
      <c r="H62" s="39">
        <f t="shared" si="13"/>
        <v>817.94999999999982</v>
      </c>
      <c r="I62" s="39">
        <f t="shared" si="13"/>
        <v>866.40000000000009</v>
      </c>
      <c r="J62" s="39">
        <f t="shared" si="13"/>
        <v>6703.91</v>
      </c>
      <c r="K62" s="39">
        <f t="shared" si="13"/>
        <v>8388.26</v>
      </c>
      <c r="L62" s="39">
        <f t="shared" si="13"/>
        <v>20111.739999999998</v>
      </c>
    </row>
    <row r="63" spans="2:13" ht="29.25" customHeight="1" thickBot="1" x14ac:dyDescent="0.3">
      <c r="B63" s="52"/>
      <c r="C63" s="52"/>
      <c r="D63" s="52"/>
      <c r="E63" s="52"/>
      <c r="F63" s="52"/>
      <c r="G63" s="42"/>
      <c r="H63" s="42"/>
      <c r="I63" s="42"/>
      <c r="J63" s="42"/>
      <c r="K63" s="42"/>
      <c r="L63" s="42"/>
    </row>
    <row r="64" spans="2:13" s="55" customFormat="1" ht="30" customHeight="1" thickBot="1" x14ac:dyDescent="0.3">
      <c r="B64" s="287" t="s">
        <v>174</v>
      </c>
      <c r="C64" s="288"/>
      <c r="D64" s="288"/>
      <c r="E64" s="288"/>
      <c r="F64" s="288"/>
      <c r="G64" s="288"/>
      <c r="H64" s="288"/>
      <c r="I64" s="288"/>
      <c r="J64" s="288"/>
      <c r="K64" s="288"/>
      <c r="L64" s="289"/>
      <c r="M64" s="41"/>
    </row>
    <row r="65" spans="2:13" s="49" customFormat="1" ht="37.5" customHeight="1" x14ac:dyDescent="0.25">
      <c r="B65" s="86">
        <f>+B61+1</f>
        <v>15</v>
      </c>
      <c r="C65" s="116" t="s">
        <v>72</v>
      </c>
      <c r="D65" s="38" t="s">
        <v>426</v>
      </c>
      <c r="E65" s="117" t="s">
        <v>203</v>
      </c>
      <c r="F65" s="116" t="s">
        <v>122</v>
      </c>
      <c r="G65" s="118">
        <v>41500</v>
      </c>
      <c r="H65" s="88">
        <v>1191.0500000000002</v>
      </c>
      <c r="I65" s="88">
        <v>1171.01</v>
      </c>
      <c r="J65" s="88">
        <v>9784.49</v>
      </c>
      <c r="K65" s="83">
        <f>SUM(H65:J65)</f>
        <v>12146.55</v>
      </c>
      <c r="L65" s="90">
        <f>+G65-K65</f>
        <v>29353.45</v>
      </c>
    </row>
    <row r="66" spans="2:13" customFormat="1" ht="27" customHeight="1" x14ac:dyDescent="0.25">
      <c r="B66" s="290" t="s">
        <v>125</v>
      </c>
      <c r="C66" s="291"/>
      <c r="D66" s="291"/>
      <c r="E66" s="291"/>
      <c r="F66" s="292"/>
      <c r="G66" s="39">
        <f>SUM(G65)</f>
        <v>41500</v>
      </c>
      <c r="H66" s="39">
        <f t="shared" ref="H66:L66" si="14">SUM(H64:H65)</f>
        <v>1191.0500000000002</v>
      </c>
      <c r="I66" s="39">
        <f t="shared" si="14"/>
        <v>1171.01</v>
      </c>
      <c r="J66" s="39">
        <f t="shared" si="14"/>
        <v>9784.49</v>
      </c>
      <c r="K66" s="39">
        <f t="shared" si="14"/>
        <v>12146.55</v>
      </c>
      <c r="L66" s="39">
        <f t="shared" si="14"/>
        <v>29353.45</v>
      </c>
      <c r="M66" s="217"/>
    </row>
    <row r="67" spans="2:13" customFormat="1" ht="27" customHeight="1" thickBot="1" x14ac:dyDescent="0.3">
      <c r="B67" s="52"/>
      <c r="C67" s="52"/>
      <c r="D67" s="52"/>
      <c r="E67" s="52"/>
      <c r="F67" s="52"/>
      <c r="G67" s="92"/>
      <c r="H67" s="92"/>
      <c r="I67" s="92"/>
      <c r="J67" s="92"/>
      <c r="K67" s="92"/>
      <c r="L67" s="92"/>
      <c r="M67" s="217"/>
    </row>
    <row r="68" spans="2:13" s="55" customFormat="1" ht="30" customHeight="1" thickBot="1" x14ac:dyDescent="0.3">
      <c r="B68" s="287" t="s">
        <v>688</v>
      </c>
      <c r="C68" s="288"/>
      <c r="D68" s="288"/>
      <c r="E68" s="288"/>
      <c r="F68" s="288"/>
      <c r="G68" s="288"/>
      <c r="H68" s="288"/>
      <c r="I68" s="288"/>
      <c r="J68" s="288"/>
      <c r="K68" s="288"/>
      <c r="L68" s="289"/>
      <c r="M68" s="41"/>
    </row>
    <row r="69" spans="2:13" s="49" customFormat="1" ht="37.5" customHeight="1" x14ac:dyDescent="0.25">
      <c r="B69" s="86">
        <f>+B65+1</f>
        <v>16</v>
      </c>
      <c r="C69" s="116" t="s">
        <v>689</v>
      </c>
      <c r="D69" s="38" t="s">
        <v>426</v>
      </c>
      <c r="E69" s="306" t="s">
        <v>690</v>
      </c>
      <c r="F69" s="116" t="s">
        <v>691</v>
      </c>
      <c r="G69" s="118">
        <v>45000</v>
      </c>
      <c r="H69" s="88">
        <v>1291.5</v>
      </c>
      <c r="I69" s="88">
        <v>1368</v>
      </c>
      <c r="J69" s="88">
        <v>10585.13</v>
      </c>
      <c r="K69" s="83">
        <f>SUM(H69:J69)</f>
        <v>13244.63</v>
      </c>
      <c r="L69" s="90">
        <f>+G69-K69</f>
        <v>31755.370000000003</v>
      </c>
    </row>
    <row r="70" spans="2:13" customFormat="1" ht="27" customHeight="1" x14ac:dyDescent="0.25">
      <c r="B70" s="290" t="s">
        <v>125</v>
      </c>
      <c r="C70" s="291"/>
      <c r="D70" s="291"/>
      <c r="E70" s="291"/>
      <c r="F70" s="292"/>
      <c r="G70" s="39">
        <f>SUM(G69)</f>
        <v>45000</v>
      </c>
      <c r="H70" s="39">
        <f t="shared" ref="H70:L70" si="15">SUM(H68:H69)</f>
        <v>1291.5</v>
      </c>
      <c r="I70" s="39">
        <f t="shared" si="15"/>
        <v>1368</v>
      </c>
      <c r="J70" s="39">
        <f t="shared" si="15"/>
        <v>10585.13</v>
      </c>
      <c r="K70" s="39">
        <f t="shared" si="15"/>
        <v>13244.63</v>
      </c>
      <c r="L70" s="39">
        <f t="shared" si="15"/>
        <v>31755.370000000003</v>
      </c>
      <c r="M70" s="217"/>
    </row>
    <row r="71" spans="2:13" customFormat="1" ht="27" customHeight="1" thickBot="1" x14ac:dyDescent="0.3">
      <c r="B71" s="52"/>
      <c r="C71" s="52"/>
      <c r="D71" s="52"/>
      <c r="E71" s="52"/>
      <c r="F71" s="52"/>
      <c r="G71" s="92"/>
      <c r="H71" s="92"/>
      <c r="I71" s="92"/>
      <c r="J71" s="92"/>
      <c r="K71" s="92"/>
      <c r="L71" s="92"/>
      <c r="M71" s="217"/>
    </row>
    <row r="72" spans="2:13" s="55" customFormat="1" ht="27" customHeight="1" thickBot="1" x14ac:dyDescent="0.3">
      <c r="B72" s="287" t="s">
        <v>91</v>
      </c>
      <c r="C72" s="288"/>
      <c r="D72" s="288"/>
      <c r="E72" s="288"/>
      <c r="F72" s="288"/>
      <c r="G72" s="288"/>
      <c r="H72" s="288"/>
      <c r="I72" s="288"/>
      <c r="J72" s="288"/>
      <c r="K72" s="288"/>
      <c r="L72" s="289"/>
      <c r="M72" s="41"/>
    </row>
    <row r="73" spans="2:13" s="55" customFormat="1" ht="30" customHeight="1" x14ac:dyDescent="0.25">
      <c r="B73" s="81">
        <f>+B69+1</f>
        <v>17</v>
      </c>
      <c r="C73" s="121" t="s">
        <v>283</v>
      </c>
      <c r="D73" s="131" t="s">
        <v>426</v>
      </c>
      <c r="E73" s="132" t="s">
        <v>284</v>
      </c>
      <c r="F73" s="116" t="s">
        <v>122</v>
      </c>
      <c r="G73" s="115">
        <v>29500</v>
      </c>
      <c r="H73" s="88">
        <v>846.64999999999964</v>
      </c>
      <c r="I73" s="83">
        <v>502.21</v>
      </c>
      <c r="J73" s="88">
        <v>7037.79</v>
      </c>
      <c r="K73" s="83">
        <f>SUM(H73:J73)</f>
        <v>8386.65</v>
      </c>
      <c r="L73" s="90">
        <f>+G73-K73</f>
        <v>21113.35</v>
      </c>
      <c r="M73" s="41"/>
    </row>
    <row r="74" spans="2:13" s="55" customFormat="1" ht="31.5" x14ac:dyDescent="0.25">
      <c r="B74" s="38">
        <f>+B73+1</f>
        <v>18</v>
      </c>
      <c r="C74" s="116" t="s">
        <v>14</v>
      </c>
      <c r="D74" s="38" t="s">
        <v>426</v>
      </c>
      <c r="E74" s="117" t="s">
        <v>527</v>
      </c>
      <c r="F74" s="116" t="s">
        <v>199</v>
      </c>
      <c r="G74" s="118">
        <v>5000</v>
      </c>
      <c r="H74" s="88">
        <v>143.5</v>
      </c>
      <c r="I74" s="88">
        <v>152</v>
      </c>
      <c r="J74" s="88">
        <v>1176.130000000001</v>
      </c>
      <c r="K74" s="83">
        <f>SUM(H74:J74)</f>
        <v>1471.630000000001</v>
      </c>
      <c r="L74" s="84">
        <f>+G74-K74</f>
        <v>3528.369999999999</v>
      </c>
      <c r="M74" s="41"/>
    </row>
    <row r="75" spans="2:13" s="41" customFormat="1" ht="25.5" customHeight="1" x14ac:dyDescent="0.25">
      <c r="B75" s="290" t="s">
        <v>125</v>
      </c>
      <c r="C75" s="291"/>
      <c r="D75" s="291"/>
      <c r="E75" s="291"/>
      <c r="F75" s="292"/>
      <c r="G75" s="39">
        <f>SUM(G73:G74)</f>
        <v>34500</v>
      </c>
      <c r="H75" s="39">
        <f t="shared" ref="H75:L75" si="16">SUM(H73:H74)</f>
        <v>990.14999999999964</v>
      </c>
      <c r="I75" s="39">
        <f t="shared" si="16"/>
        <v>654.21</v>
      </c>
      <c r="J75" s="39">
        <f t="shared" si="16"/>
        <v>8213.9200000000019</v>
      </c>
      <c r="K75" s="39">
        <f t="shared" si="16"/>
        <v>9858.2800000000007</v>
      </c>
      <c r="L75" s="39">
        <f t="shared" si="16"/>
        <v>24641.719999999998</v>
      </c>
    </row>
    <row r="76" spans="2:13" s="41" customFormat="1" ht="25.5" customHeight="1" thickBot="1" x14ac:dyDescent="0.3">
      <c r="B76" s="52"/>
      <c r="C76" s="52"/>
      <c r="D76" s="52"/>
      <c r="E76" s="52"/>
      <c r="F76" s="52"/>
      <c r="G76" s="42"/>
      <c r="H76" s="42"/>
      <c r="I76" s="42"/>
      <c r="J76" s="42"/>
      <c r="K76" s="42"/>
      <c r="L76" s="42"/>
    </row>
    <row r="77" spans="2:13" s="41" customFormat="1" ht="25.5" customHeight="1" thickBot="1" x14ac:dyDescent="0.3">
      <c r="B77" s="293" t="s">
        <v>549</v>
      </c>
      <c r="C77" s="294"/>
      <c r="D77" s="294"/>
      <c r="E77" s="294"/>
      <c r="F77" s="294"/>
      <c r="G77" s="294"/>
      <c r="H77" s="294"/>
      <c r="I77" s="294"/>
      <c r="J77" s="294"/>
      <c r="K77" s="294"/>
      <c r="L77" s="295"/>
    </row>
    <row r="78" spans="2:13" s="41" customFormat="1" ht="30" customHeight="1" x14ac:dyDescent="0.25">
      <c r="B78" s="38">
        <f>B74+1</f>
        <v>19</v>
      </c>
      <c r="C78" s="116" t="s">
        <v>550</v>
      </c>
      <c r="D78" s="38" t="s">
        <v>426</v>
      </c>
      <c r="E78" s="117" t="s">
        <v>551</v>
      </c>
      <c r="F78" s="116" t="s">
        <v>199</v>
      </c>
      <c r="G78" s="88">
        <v>85000</v>
      </c>
      <c r="H78" s="88">
        <v>2439.5</v>
      </c>
      <c r="I78" s="88">
        <v>2584</v>
      </c>
      <c r="J78" s="205">
        <v>19994.13</v>
      </c>
      <c r="K78" s="83">
        <f>SUM(H78:J78)</f>
        <v>25017.63</v>
      </c>
      <c r="L78" s="84">
        <f>+G78-K78</f>
        <v>59982.369999999995</v>
      </c>
    </row>
    <row r="79" spans="2:13" s="41" customFormat="1" ht="30" customHeight="1" x14ac:dyDescent="0.25">
      <c r="B79" s="38">
        <f>+B78+1</f>
        <v>20</v>
      </c>
      <c r="C79" s="116" t="s">
        <v>591</v>
      </c>
      <c r="D79" s="38" t="s">
        <v>426</v>
      </c>
      <c r="E79" s="117" t="s">
        <v>592</v>
      </c>
      <c r="F79" s="116" t="s">
        <v>199</v>
      </c>
      <c r="G79" s="88">
        <v>20000</v>
      </c>
      <c r="H79" s="88">
        <v>574</v>
      </c>
      <c r="I79" s="88">
        <v>608</v>
      </c>
      <c r="J79" s="205">
        <v>3435.58</v>
      </c>
      <c r="K79" s="83">
        <f>SUM(H79:J79)</f>
        <v>4617.58</v>
      </c>
      <c r="L79" s="84">
        <f>+G79-K79</f>
        <v>15382.42</v>
      </c>
    </row>
    <row r="80" spans="2:13" s="41" customFormat="1" ht="25.5" customHeight="1" x14ac:dyDescent="0.25">
      <c r="B80" s="290" t="s">
        <v>125</v>
      </c>
      <c r="C80" s="291"/>
      <c r="D80" s="291"/>
      <c r="E80" s="291"/>
      <c r="F80" s="292"/>
      <c r="G80" s="39">
        <f>SUM(G78:G79)</f>
        <v>105000</v>
      </c>
      <c r="H80" s="39">
        <f t="shared" ref="H80:L80" si="17">SUM(H78:H79)</f>
        <v>3013.5</v>
      </c>
      <c r="I80" s="39">
        <f t="shared" si="17"/>
        <v>3192</v>
      </c>
      <c r="J80" s="39">
        <f t="shared" si="17"/>
        <v>23429.71</v>
      </c>
      <c r="K80" s="39">
        <f t="shared" si="17"/>
        <v>29635.21</v>
      </c>
      <c r="L80" s="39">
        <f t="shared" si="17"/>
        <v>75364.789999999994</v>
      </c>
    </row>
    <row r="81" spans="2:13" s="41" customFormat="1" ht="25.5" customHeight="1" thickBot="1" x14ac:dyDescent="0.3">
      <c r="B81" s="52"/>
      <c r="C81" s="52"/>
      <c r="D81" s="52"/>
      <c r="E81" s="52"/>
      <c r="F81" s="52"/>
      <c r="G81" s="42"/>
      <c r="H81" s="42"/>
      <c r="I81" s="42"/>
      <c r="J81" s="42"/>
      <c r="K81" s="42"/>
      <c r="L81" s="42"/>
    </row>
    <row r="82" spans="2:13" s="41" customFormat="1" ht="25.5" customHeight="1" thickBot="1" x14ac:dyDescent="0.3">
      <c r="B82" s="293" t="s">
        <v>92</v>
      </c>
      <c r="C82" s="294"/>
      <c r="D82" s="294"/>
      <c r="E82" s="294"/>
      <c r="F82" s="294"/>
      <c r="G82" s="294"/>
      <c r="H82" s="294"/>
      <c r="I82" s="294"/>
      <c r="J82" s="294"/>
      <c r="K82" s="294"/>
      <c r="L82" s="295"/>
    </row>
    <row r="83" spans="2:13" s="41" customFormat="1" ht="31.5" customHeight="1" x14ac:dyDescent="0.25">
      <c r="B83" s="38">
        <f>+B79+1</f>
        <v>21</v>
      </c>
      <c r="C83" s="116" t="s">
        <v>492</v>
      </c>
      <c r="D83" s="38" t="s">
        <v>426</v>
      </c>
      <c r="E83" s="117" t="s">
        <v>493</v>
      </c>
      <c r="F83" s="116" t="s">
        <v>199</v>
      </c>
      <c r="G83" s="118">
        <v>90000</v>
      </c>
      <c r="H83" s="88">
        <v>2583</v>
      </c>
      <c r="I83" s="88">
        <v>2736</v>
      </c>
      <c r="J83" s="170">
        <v>21170.25</v>
      </c>
      <c r="K83" s="83">
        <f>SUM(H83:J83)</f>
        <v>26489.25</v>
      </c>
      <c r="L83" s="84">
        <f>+G83-K83</f>
        <v>63510.75</v>
      </c>
    </row>
    <row r="84" spans="2:13" s="41" customFormat="1" ht="30" customHeight="1" x14ac:dyDescent="0.25">
      <c r="B84" s="38">
        <f>+B83+1</f>
        <v>22</v>
      </c>
      <c r="C84" s="116" t="s">
        <v>138</v>
      </c>
      <c r="D84" s="38" t="s">
        <v>426</v>
      </c>
      <c r="E84" s="117" t="s">
        <v>593</v>
      </c>
      <c r="F84" s="116" t="s">
        <v>121</v>
      </c>
      <c r="G84" s="118">
        <v>25000</v>
      </c>
      <c r="H84" s="118">
        <v>717.5</v>
      </c>
      <c r="I84" s="118">
        <v>760</v>
      </c>
      <c r="J84" s="118">
        <v>4220.12</v>
      </c>
      <c r="K84" s="115">
        <f>SUM(H84:J84)</f>
        <v>5697.62</v>
      </c>
      <c r="L84" s="119">
        <f>+G84-K84</f>
        <v>19302.38</v>
      </c>
      <c r="M84" s="40"/>
    </row>
    <row r="85" spans="2:13" s="41" customFormat="1" ht="25.5" customHeight="1" x14ac:dyDescent="0.25">
      <c r="B85" s="290" t="s">
        <v>125</v>
      </c>
      <c r="C85" s="291"/>
      <c r="D85" s="291"/>
      <c r="E85" s="291"/>
      <c r="F85" s="292"/>
      <c r="G85" s="39">
        <f>SUM(G83:G84)</f>
        <v>115000</v>
      </c>
      <c r="H85" s="39">
        <f t="shared" ref="H85:L85" si="18">SUM(H83:H84)</f>
        <v>3300.5</v>
      </c>
      <c r="I85" s="39">
        <f t="shared" si="18"/>
        <v>3496</v>
      </c>
      <c r="J85" s="39">
        <f t="shared" si="18"/>
        <v>25390.37</v>
      </c>
      <c r="K85" s="39">
        <f t="shared" si="18"/>
        <v>32186.87</v>
      </c>
      <c r="L85" s="39">
        <f t="shared" si="18"/>
        <v>82813.13</v>
      </c>
    </row>
    <row r="86" spans="2:13" s="41" customFormat="1" ht="25.5" customHeight="1" thickBot="1" x14ac:dyDescent="0.3">
      <c r="B86" s="52"/>
      <c r="C86" s="52"/>
      <c r="D86" s="52"/>
      <c r="E86" s="52"/>
      <c r="F86" s="52"/>
      <c r="G86" s="42"/>
      <c r="H86" s="42"/>
      <c r="I86" s="42"/>
      <c r="J86" s="42"/>
      <c r="K86" s="42"/>
      <c r="L86" s="42"/>
    </row>
    <row r="87" spans="2:13" s="41" customFormat="1" ht="25.5" customHeight="1" thickBot="1" x14ac:dyDescent="0.3">
      <c r="B87" s="287" t="s">
        <v>504</v>
      </c>
      <c r="C87" s="288"/>
      <c r="D87" s="288"/>
      <c r="E87" s="288"/>
      <c r="F87" s="288"/>
      <c r="G87" s="288"/>
      <c r="H87" s="288"/>
      <c r="I87" s="288"/>
      <c r="J87" s="288"/>
      <c r="K87" s="288"/>
      <c r="L87" s="289"/>
    </row>
    <row r="88" spans="2:13" s="41" customFormat="1" ht="25.5" customHeight="1" x14ac:dyDescent="0.25">
      <c r="B88" s="86">
        <f>+B84+1</f>
        <v>23</v>
      </c>
      <c r="C88" s="116" t="s">
        <v>503</v>
      </c>
      <c r="D88" s="38" t="s">
        <v>426</v>
      </c>
      <c r="E88" s="116" t="s">
        <v>108</v>
      </c>
      <c r="F88" s="116" t="s">
        <v>199</v>
      </c>
      <c r="G88" s="118">
        <v>25000</v>
      </c>
      <c r="H88" s="88">
        <v>717.5</v>
      </c>
      <c r="I88" s="88">
        <v>760</v>
      </c>
      <c r="J88" s="88">
        <v>4220.12</v>
      </c>
      <c r="K88" s="83">
        <f>SUM(H88:J88)</f>
        <v>5697.62</v>
      </c>
      <c r="L88" s="83">
        <f>+G88-K88</f>
        <v>19302.38</v>
      </c>
    </row>
    <row r="89" spans="2:13" s="41" customFormat="1" ht="25.5" customHeight="1" x14ac:dyDescent="0.25">
      <c r="B89" s="290" t="s">
        <v>125</v>
      </c>
      <c r="C89" s="291"/>
      <c r="D89" s="291"/>
      <c r="E89" s="291"/>
      <c r="F89" s="292"/>
      <c r="G89" s="39">
        <f t="shared" ref="G89:L89" si="19">SUM(G88:G88)</f>
        <v>25000</v>
      </c>
      <c r="H89" s="39">
        <f t="shared" si="19"/>
        <v>717.5</v>
      </c>
      <c r="I89" s="39">
        <f t="shared" si="19"/>
        <v>760</v>
      </c>
      <c r="J89" s="39">
        <f t="shared" si="19"/>
        <v>4220.12</v>
      </c>
      <c r="K89" s="39">
        <f>SUM(K88:K88)</f>
        <v>5697.62</v>
      </c>
      <c r="L89" s="39">
        <f t="shared" si="19"/>
        <v>19302.38</v>
      </c>
    </row>
    <row r="90" spans="2:13" s="41" customFormat="1" ht="27" customHeight="1" thickBot="1" x14ac:dyDescent="0.3">
      <c r="B90" s="52"/>
      <c r="C90" s="52"/>
      <c r="D90" s="52"/>
      <c r="E90" s="52"/>
      <c r="F90" s="52"/>
      <c r="G90"/>
      <c r="H90"/>
      <c r="I90"/>
      <c r="J90"/>
      <c r="K90"/>
      <c r="L90"/>
    </row>
    <row r="91" spans="2:13" s="55" customFormat="1" ht="30" customHeight="1" thickBot="1" x14ac:dyDescent="0.3">
      <c r="B91" s="296" t="s">
        <v>298</v>
      </c>
      <c r="C91" s="297"/>
      <c r="D91" s="297"/>
      <c r="E91" s="297"/>
      <c r="F91" s="297"/>
      <c r="G91" s="297"/>
      <c r="H91" s="297"/>
      <c r="I91" s="297"/>
      <c r="J91" s="297"/>
      <c r="K91" s="297"/>
      <c r="L91" s="298"/>
      <c r="M91" s="41"/>
    </row>
    <row r="92" spans="2:13" s="93" customFormat="1" ht="30" customHeight="1" x14ac:dyDescent="0.25">
      <c r="B92" s="86">
        <f>+B88+1</f>
        <v>24</v>
      </c>
      <c r="C92" s="116" t="s">
        <v>588</v>
      </c>
      <c r="D92" s="38" t="s">
        <v>425</v>
      </c>
      <c r="E92" s="135" t="s">
        <v>433</v>
      </c>
      <c r="F92" s="116" t="s">
        <v>199</v>
      </c>
      <c r="G92" s="118">
        <v>35000</v>
      </c>
      <c r="H92" s="88">
        <v>1004.5</v>
      </c>
      <c r="I92" s="88">
        <v>1064</v>
      </c>
      <c r="J92" s="83">
        <v>8232.8799999999992</v>
      </c>
      <c r="K92" s="83">
        <f>SUM(H92:J92)</f>
        <v>10301.379999999999</v>
      </c>
      <c r="L92" s="84">
        <f>+G92-K92</f>
        <v>24698.620000000003</v>
      </c>
      <c r="M92" s="49"/>
    </row>
    <row r="93" spans="2:13" s="41" customFormat="1" ht="30" customHeight="1" x14ac:dyDescent="0.25">
      <c r="B93" s="290" t="s">
        <v>125</v>
      </c>
      <c r="C93" s="291"/>
      <c r="D93" s="291"/>
      <c r="E93" s="291"/>
      <c r="F93" s="292"/>
      <c r="G93" s="39">
        <f t="shared" ref="G93:J93" si="20">SUM(G92:G92)</f>
        <v>35000</v>
      </c>
      <c r="H93" s="39">
        <f t="shared" si="20"/>
        <v>1004.5</v>
      </c>
      <c r="I93" s="39">
        <f t="shared" si="20"/>
        <v>1064</v>
      </c>
      <c r="J93" s="39">
        <f t="shared" si="20"/>
        <v>8232.8799999999992</v>
      </c>
      <c r="K93" s="39">
        <f>SUM(K92:K92)</f>
        <v>10301.379999999999</v>
      </c>
      <c r="L93" s="39">
        <f t="shared" ref="L93" si="21">SUM(L92:L92)</f>
        <v>24698.620000000003</v>
      </c>
    </row>
    <row r="94" spans="2:13" s="41" customFormat="1" ht="30" customHeight="1" thickBot="1" x14ac:dyDescent="0.3">
      <c r="B94" s="52"/>
      <c r="C94" s="52"/>
      <c r="D94" s="52"/>
      <c r="E94" s="52"/>
      <c r="F94" s="52"/>
      <c r="G94"/>
      <c r="H94"/>
      <c r="I94"/>
      <c r="J94"/>
      <c r="K94"/>
      <c r="L94"/>
    </row>
    <row r="95" spans="2:13" s="55" customFormat="1" ht="30" customHeight="1" thickBot="1" x14ac:dyDescent="0.3">
      <c r="B95" s="296" t="s">
        <v>455</v>
      </c>
      <c r="C95" s="297"/>
      <c r="D95" s="297"/>
      <c r="E95" s="297"/>
      <c r="F95" s="297"/>
      <c r="G95" s="297"/>
      <c r="H95" s="297"/>
      <c r="I95" s="297"/>
      <c r="J95" s="297"/>
      <c r="K95" s="297"/>
      <c r="L95" s="298"/>
      <c r="M95" s="41"/>
    </row>
    <row r="96" spans="2:13" s="93" customFormat="1" ht="30" customHeight="1" x14ac:dyDescent="0.25">
      <c r="B96" s="86">
        <f>+B92+1</f>
        <v>25</v>
      </c>
      <c r="C96" s="116" t="s">
        <v>13</v>
      </c>
      <c r="D96" s="38" t="s">
        <v>425</v>
      </c>
      <c r="E96" s="135" t="s">
        <v>433</v>
      </c>
      <c r="F96" s="116" t="s">
        <v>199</v>
      </c>
      <c r="G96" s="118">
        <v>50000</v>
      </c>
      <c r="H96" s="88">
        <v>1435</v>
      </c>
      <c r="I96" s="88">
        <v>1520</v>
      </c>
      <c r="J96" s="83">
        <v>11761.250000000002</v>
      </c>
      <c r="K96" s="83">
        <f>SUM(H96:J96)</f>
        <v>14716.250000000002</v>
      </c>
      <c r="L96" s="84">
        <f>+G96-K96</f>
        <v>35283.75</v>
      </c>
      <c r="M96" s="49"/>
    </row>
    <row r="97" spans="2:13" s="41" customFormat="1" ht="30" customHeight="1" x14ac:dyDescent="0.25">
      <c r="B97" s="290" t="s">
        <v>125</v>
      </c>
      <c r="C97" s="291"/>
      <c r="D97" s="291"/>
      <c r="E97" s="291"/>
      <c r="F97" s="292"/>
      <c r="G97" s="39">
        <f t="shared" ref="G97:L97" si="22">SUM(G96:G96)</f>
        <v>50000</v>
      </c>
      <c r="H97" s="39">
        <f t="shared" si="22"/>
        <v>1435</v>
      </c>
      <c r="I97" s="39">
        <f t="shared" si="22"/>
        <v>1520</v>
      </c>
      <c r="J97" s="39">
        <f t="shared" si="22"/>
        <v>11761.250000000002</v>
      </c>
      <c r="K97" s="39">
        <f>SUM(K96:K96)</f>
        <v>14716.250000000002</v>
      </c>
      <c r="L97" s="39">
        <f t="shared" si="22"/>
        <v>35283.75</v>
      </c>
    </row>
    <row r="98" spans="2:13" s="41" customFormat="1" ht="30" customHeight="1" thickBot="1" x14ac:dyDescent="0.3">
      <c r="B98" s="52"/>
      <c r="C98" s="52"/>
      <c r="D98" s="52"/>
      <c r="E98" s="52"/>
      <c r="F98" s="52"/>
      <c r="G98"/>
      <c r="H98"/>
      <c r="I98"/>
      <c r="J98"/>
      <c r="K98"/>
      <c r="L98"/>
    </row>
    <row r="99" spans="2:13" s="55" customFormat="1" ht="30" customHeight="1" thickBot="1" x14ac:dyDescent="0.3">
      <c r="B99" s="287" t="s">
        <v>305</v>
      </c>
      <c r="C99" s="288"/>
      <c r="D99" s="288"/>
      <c r="E99" s="288"/>
      <c r="F99" s="288"/>
      <c r="G99" s="288"/>
      <c r="H99" s="288"/>
      <c r="I99" s="288"/>
      <c r="J99" s="288"/>
      <c r="K99" s="288"/>
      <c r="L99" s="289"/>
      <c r="M99" s="41"/>
    </row>
    <row r="100" spans="2:13" s="96" customFormat="1" ht="30" customHeight="1" x14ac:dyDescent="0.25">
      <c r="B100" s="86">
        <f>+B96+1</f>
        <v>26</v>
      </c>
      <c r="C100" s="116" t="s">
        <v>306</v>
      </c>
      <c r="D100" s="38" t="s">
        <v>425</v>
      </c>
      <c r="E100" s="116" t="s">
        <v>429</v>
      </c>
      <c r="F100" s="116" t="s">
        <v>199</v>
      </c>
      <c r="G100" s="118">
        <v>20000</v>
      </c>
      <c r="H100" s="88">
        <v>574</v>
      </c>
      <c r="I100" s="88">
        <v>608</v>
      </c>
      <c r="J100" s="88">
        <v>2559.67</v>
      </c>
      <c r="K100" s="83">
        <f>SUM(H100:J100)</f>
        <v>3741.67</v>
      </c>
      <c r="L100" s="83">
        <f>+G100-K100</f>
        <v>16258.33</v>
      </c>
      <c r="M100" s="218"/>
    </row>
    <row r="101" spans="2:13" s="41" customFormat="1" ht="23.25" customHeight="1" x14ac:dyDescent="0.25">
      <c r="B101" s="290" t="s">
        <v>125</v>
      </c>
      <c r="C101" s="291"/>
      <c r="D101" s="291"/>
      <c r="E101" s="291"/>
      <c r="F101" s="292"/>
      <c r="G101" s="39">
        <f t="shared" ref="G101:L101" si="23">SUM(G100:G100)</f>
        <v>20000</v>
      </c>
      <c r="H101" s="39">
        <f t="shared" si="23"/>
        <v>574</v>
      </c>
      <c r="I101" s="39">
        <f t="shared" si="23"/>
        <v>608</v>
      </c>
      <c r="J101" s="39">
        <f t="shared" si="23"/>
        <v>2559.67</v>
      </c>
      <c r="K101" s="39">
        <f t="shared" si="23"/>
        <v>3741.67</v>
      </c>
      <c r="L101" s="39">
        <f t="shared" si="23"/>
        <v>16258.33</v>
      </c>
    </row>
    <row r="102" spans="2:13" s="41" customFormat="1" ht="23.25" customHeight="1" thickBot="1" x14ac:dyDescent="0.3">
      <c r="B102" s="52"/>
      <c r="C102" s="52"/>
      <c r="D102" s="52"/>
      <c r="E102" s="52"/>
      <c r="F102" s="52"/>
      <c r="G102" s="42"/>
      <c r="H102" s="42"/>
      <c r="I102" s="42"/>
      <c r="J102" s="42"/>
      <c r="K102" s="42"/>
      <c r="L102" s="42"/>
    </row>
    <row r="103" spans="2:13" s="41" customFormat="1" ht="23.25" customHeight="1" thickBot="1" x14ac:dyDescent="0.3">
      <c r="B103" s="296" t="s">
        <v>177</v>
      </c>
      <c r="C103" s="297"/>
      <c r="D103" s="297"/>
      <c r="E103" s="297"/>
      <c r="F103" s="297"/>
      <c r="G103" s="297"/>
      <c r="H103" s="297"/>
      <c r="I103" s="297"/>
      <c r="J103" s="297"/>
      <c r="K103" s="297"/>
      <c r="L103" s="298"/>
    </row>
    <row r="104" spans="2:13" s="41" customFormat="1" ht="30.75" customHeight="1" x14ac:dyDescent="0.25">
      <c r="B104" s="38">
        <f>+B100+1</f>
        <v>27</v>
      </c>
      <c r="C104" s="116" t="s">
        <v>490</v>
      </c>
      <c r="D104" s="38" t="s">
        <v>425</v>
      </c>
      <c r="E104" s="135" t="s">
        <v>491</v>
      </c>
      <c r="F104" s="116" t="s">
        <v>199</v>
      </c>
      <c r="G104" s="118">
        <v>75000</v>
      </c>
      <c r="H104" s="88">
        <v>2152.5</v>
      </c>
      <c r="I104" s="88">
        <v>2280</v>
      </c>
      <c r="J104" s="83">
        <v>16851.560000000001</v>
      </c>
      <c r="K104" s="83">
        <f>SUM(H104:J104)</f>
        <v>21284.06</v>
      </c>
      <c r="L104" s="84">
        <f>+G104-K104</f>
        <v>53715.94</v>
      </c>
    </row>
    <row r="105" spans="2:13" s="41" customFormat="1" ht="23.25" customHeight="1" x14ac:dyDescent="0.25">
      <c r="B105" s="290" t="s">
        <v>125</v>
      </c>
      <c r="C105" s="291"/>
      <c r="D105" s="291"/>
      <c r="E105" s="291"/>
      <c r="F105" s="292"/>
      <c r="G105" s="39">
        <f t="shared" ref="G105:L105" si="24">SUM(G104:G104)</f>
        <v>75000</v>
      </c>
      <c r="H105" s="39">
        <f t="shared" si="24"/>
        <v>2152.5</v>
      </c>
      <c r="I105" s="39">
        <f t="shared" si="24"/>
        <v>2280</v>
      </c>
      <c r="J105" s="39">
        <f t="shared" si="24"/>
        <v>16851.560000000001</v>
      </c>
      <c r="K105" s="39">
        <f t="shared" si="24"/>
        <v>21284.06</v>
      </c>
      <c r="L105" s="39">
        <f t="shared" si="24"/>
        <v>53715.94</v>
      </c>
    </row>
    <row r="106" spans="2:13" s="41" customFormat="1" ht="23.25" customHeight="1" thickBot="1" x14ac:dyDescent="0.3">
      <c r="B106" s="52"/>
      <c r="C106" s="52"/>
      <c r="D106" s="52"/>
      <c r="E106" s="52"/>
      <c r="F106" s="52"/>
      <c r="G106" s="42"/>
      <c r="H106" s="42"/>
      <c r="I106" s="42"/>
      <c r="J106" s="42"/>
      <c r="K106" s="42"/>
      <c r="L106" s="42"/>
    </row>
    <row r="107" spans="2:13" s="85" customFormat="1" ht="30" customHeight="1" thickBot="1" x14ac:dyDescent="0.3">
      <c r="B107" s="287" t="s">
        <v>317</v>
      </c>
      <c r="C107" s="288"/>
      <c r="D107" s="288"/>
      <c r="E107" s="288"/>
      <c r="F107" s="288"/>
      <c r="G107" s="288"/>
      <c r="H107" s="288"/>
      <c r="I107" s="288"/>
      <c r="J107" s="288"/>
      <c r="K107" s="288"/>
      <c r="L107" s="289"/>
      <c r="M107" s="34"/>
    </row>
    <row r="108" spans="2:13" s="85" customFormat="1" ht="25.5" customHeight="1" x14ac:dyDescent="0.25">
      <c r="B108" s="86">
        <f>+B104+1</f>
        <v>28</v>
      </c>
      <c r="C108" s="116" t="s">
        <v>150</v>
      </c>
      <c r="D108" s="38" t="s">
        <v>425</v>
      </c>
      <c r="E108" s="116" t="s">
        <v>430</v>
      </c>
      <c r="F108" s="116" t="s">
        <v>121</v>
      </c>
      <c r="G108" s="118">
        <v>25000</v>
      </c>
      <c r="H108" s="118">
        <v>717.5</v>
      </c>
      <c r="I108" s="88">
        <v>760</v>
      </c>
      <c r="J108" s="88">
        <v>3486.65</v>
      </c>
      <c r="K108" s="115">
        <f>SUM(H108:J108)</f>
        <v>4964.1499999999996</v>
      </c>
      <c r="L108" s="84">
        <f>+G108-K108</f>
        <v>20035.849999999999</v>
      </c>
      <c r="M108" s="34"/>
    </row>
    <row r="109" spans="2:13" s="41" customFormat="1" ht="33.75" customHeight="1" x14ac:dyDescent="0.25">
      <c r="B109" s="290" t="s">
        <v>125</v>
      </c>
      <c r="C109" s="291"/>
      <c r="D109" s="291"/>
      <c r="E109" s="291"/>
      <c r="F109" s="292"/>
      <c r="G109" s="39">
        <f t="shared" ref="G109:J109" si="25">SUM(G108:G108)</f>
        <v>25000</v>
      </c>
      <c r="H109" s="39">
        <f t="shared" si="25"/>
        <v>717.5</v>
      </c>
      <c r="I109" s="39">
        <f t="shared" si="25"/>
        <v>760</v>
      </c>
      <c r="J109" s="39">
        <f t="shared" si="25"/>
        <v>3486.65</v>
      </c>
      <c r="K109" s="39">
        <f>SUM(K108:K108)</f>
        <v>4964.1499999999996</v>
      </c>
      <c r="L109" s="39">
        <f>SUM(L108:L108)</f>
        <v>20035.849999999999</v>
      </c>
    </row>
    <row r="110" spans="2:13" s="41" customFormat="1" ht="24.95" customHeight="1" thickBot="1" x14ac:dyDescent="0.3">
      <c r="B110" s="52"/>
      <c r="C110" s="52"/>
      <c r="D110" s="52"/>
      <c r="E110" s="52"/>
      <c r="F110" s="52"/>
      <c r="G110" s="42"/>
      <c r="H110" s="42"/>
      <c r="I110" s="42"/>
      <c r="J110" s="42"/>
      <c r="K110" s="42"/>
      <c r="L110" s="42"/>
    </row>
    <row r="111" spans="2:13" s="85" customFormat="1" ht="30" customHeight="1" thickBot="1" x14ac:dyDescent="0.3">
      <c r="B111" s="287" t="s">
        <v>693</v>
      </c>
      <c r="C111" s="288"/>
      <c r="D111" s="288"/>
      <c r="E111" s="288"/>
      <c r="F111" s="288"/>
      <c r="G111" s="288"/>
      <c r="H111" s="288"/>
      <c r="I111" s="288"/>
      <c r="J111" s="288"/>
      <c r="K111" s="288"/>
      <c r="L111" s="289"/>
      <c r="M111" s="34"/>
    </row>
    <row r="112" spans="2:13" s="85" customFormat="1" ht="25.5" customHeight="1" x14ac:dyDescent="0.25">
      <c r="B112" s="86">
        <f>+B108+1</f>
        <v>29</v>
      </c>
      <c r="C112" s="116" t="s">
        <v>17</v>
      </c>
      <c r="D112" s="38" t="s">
        <v>425</v>
      </c>
      <c r="E112" s="116" t="s">
        <v>692</v>
      </c>
      <c r="F112" s="116" t="s">
        <v>121</v>
      </c>
      <c r="G112" s="118">
        <v>30000</v>
      </c>
      <c r="H112" s="118">
        <v>861</v>
      </c>
      <c r="I112" s="88">
        <v>912</v>
      </c>
      <c r="J112" s="88">
        <v>5389.19</v>
      </c>
      <c r="K112" s="115">
        <f>SUM(H112:J112)</f>
        <v>7162.19</v>
      </c>
      <c r="L112" s="84">
        <f>+G112-K112</f>
        <v>22837.81</v>
      </c>
      <c r="M112" s="34"/>
    </row>
    <row r="113" spans="2:13" s="41" customFormat="1" ht="33.75" customHeight="1" x14ac:dyDescent="0.25">
      <c r="B113" s="290" t="s">
        <v>125</v>
      </c>
      <c r="C113" s="291"/>
      <c r="D113" s="291"/>
      <c r="E113" s="291"/>
      <c r="F113" s="292"/>
      <c r="G113" s="39">
        <f t="shared" ref="G113:J113" si="26">SUM(G112:G112)</f>
        <v>30000</v>
      </c>
      <c r="H113" s="39">
        <f t="shared" si="26"/>
        <v>861</v>
      </c>
      <c r="I113" s="39">
        <f t="shared" si="26"/>
        <v>912</v>
      </c>
      <c r="J113" s="39">
        <f t="shared" si="26"/>
        <v>5389.19</v>
      </c>
      <c r="K113" s="39">
        <f>SUM(K112:K112)</f>
        <v>7162.19</v>
      </c>
      <c r="L113" s="39">
        <f>SUM(L112:L112)</f>
        <v>22837.81</v>
      </c>
    </row>
    <row r="114" spans="2:13" s="41" customFormat="1" ht="24.95" customHeight="1" thickBot="1" x14ac:dyDescent="0.3">
      <c r="B114" s="52"/>
      <c r="C114" s="52"/>
      <c r="D114" s="52"/>
      <c r="E114" s="52"/>
      <c r="F114" s="52"/>
      <c r="G114" s="42"/>
      <c r="H114" s="42"/>
      <c r="I114" s="42"/>
      <c r="J114" s="42"/>
      <c r="K114" s="42"/>
      <c r="L114" s="42"/>
    </row>
    <row r="115" spans="2:13" s="41" customFormat="1" ht="24.95" customHeight="1" thickBot="1" x14ac:dyDescent="0.3">
      <c r="B115" s="301" t="s">
        <v>552</v>
      </c>
      <c r="C115" s="302"/>
      <c r="D115" s="302"/>
      <c r="E115" s="302"/>
      <c r="F115" s="302"/>
      <c r="G115" s="302"/>
      <c r="H115" s="302"/>
      <c r="I115" s="302"/>
      <c r="J115" s="302"/>
      <c r="K115" s="302"/>
      <c r="L115" s="303"/>
    </row>
    <row r="116" spans="2:13" s="41" customFormat="1" ht="24.95" customHeight="1" x14ac:dyDescent="0.25">
      <c r="B116" s="86">
        <f>+B112+1</f>
        <v>30</v>
      </c>
      <c r="C116" s="116" t="s">
        <v>334</v>
      </c>
      <c r="D116" s="38" t="s">
        <v>425</v>
      </c>
      <c r="E116" s="87" t="s">
        <v>132</v>
      </c>
      <c r="F116" s="116" t="s">
        <v>121</v>
      </c>
      <c r="G116" s="118">
        <v>15000</v>
      </c>
      <c r="H116" s="118">
        <v>430.5</v>
      </c>
      <c r="I116" s="88">
        <v>456</v>
      </c>
      <c r="J116" s="88">
        <v>0</v>
      </c>
      <c r="K116" s="115">
        <f>SUM(H116:J116)</f>
        <v>886.5</v>
      </c>
      <c r="L116" s="84">
        <f>+G116-K116</f>
        <v>14113.5</v>
      </c>
    </row>
    <row r="117" spans="2:13" s="41" customFormat="1" ht="24.95" customHeight="1" x14ac:dyDescent="0.25">
      <c r="B117" s="290" t="s">
        <v>125</v>
      </c>
      <c r="C117" s="291"/>
      <c r="D117" s="291"/>
      <c r="E117" s="291"/>
      <c r="F117" s="292"/>
      <c r="G117" s="39">
        <f t="shared" ref="G117:L117" si="27">SUM(G116:G116)</f>
        <v>15000</v>
      </c>
      <c r="H117" s="39">
        <f t="shared" si="27"/>
        <v>430.5</v>
      </c>
      <c r="I117" s="39">
        <f t="shared" si="27"/>
        <v>456</v>
      </c>
      <c r="J117" s="39">
        <f t="shared" si="27"/>
        <v>0</v>
      </c>
      <c r="K117" s="39">
        <f t="shared" si="27"/>
        <v>886.5</v>
      </c>
      <c r="L117" s="39">
        <f t="shared" si="27"/>
        <v>14113.5</v>
      </c>
    </row>
    <row r="118" spans="2:13" s="41" customFormat="1" ht="24.95" customHeight="1" thickBot="1" x14ac:dyDescent="0.3">
      <c r="B118" s="52"/>
      <c r="C118" s="52"/>
      <c r="D118" s="52"/>
      <c r="E118" s="52"/>
      <c r="F118" s="52"/>
      <c r="G118" s="42"/>
      <c r="H118" s="42"/>
      <c r="I118" s="42"/>
      <c r="J118" s="42"/>
      <c r="K118" s="42"/>
      <c r="L118" s="42"/>
    </row>
    <row r="119" spans="2:13" s="55" customFormat="1" ht="30" customHeight="1" thickBot="1" x14ac:dyDescent="0.3">
      <c r="B119" s="287" t="s">
        <v>210</v>
      </c>
      <c r="C119" s="288"/>
      <c r="D119" s="288"/>
      <c r="E119" s="288"/>
      <c r="F119" s="288"/>
      <c r="G119" s="288"/>
      <c r="H119" s="288"/>
      <c r="I119" s="288"/>
      <c r="J119" s="288"/>
      <c r="K119" s="288"/>
      <c r="L119" s="289"/>
      <c r="M119" s="41"/>
    </row>
    <row r="120" spans="2:13" s="55" customFormat="1" ht="30" customHeight="1" x14ac:dyDescent="0.25">
      <c r="B120" s="81">
        <f>B116+1</f>
        <v>31</v>
      </c>
      <c r="C120" s="172" t="s">
        <v>84</v>
      </c>
      <c r="D120" s="173" t="s">
        <v>425</v>
      </c>
      <c r="E120" s="174" t="s">
        <v>590</v>
      </c>
      <c r="F120" s="121" t="s">
        <v>121</v>
      </c>
      <c r="G120" s="115">
        <v>30000</v>
      </c>
      <c r="H120" s="171">
        <v>861</v>
      </c>
      <c r="I120" s="171">
        <v>912</v>
      </c>
      <c r="J120" s="83">
        <v>6187.66</v>
      </c>
      <c r="K120" s="115">
        <f>SUM(H120:J120)</f>
        <v>7960.66</v>
      </c>
      <c r="L120" s="84">
        <f>+G120-K120</f>
        <v>22039.34</v>
      </c>
      <c r="M120" s="41"/>
    </row>
    <row r="121" spans="2:13" s="55" customFormat="1" ht="30" customHeight="1" x14ac:dyDescent="0.25">
      <c r="B121" s="81">
        <f>+B120+1</f>
        <v>32</v>
      </c>
      <c r="C121" s="121" t="s">
        <v>324</v>
      </c>
      <c r="D121" s="131" t="s">
        <v>426</v>
      </c>
      <c r="E121" s="121" t="s">
        <v>431</v>
      </c>
      <c r="F121" s="121" t="s">
        <v>121</v>
      </c>
      <c r="G121" s="115">
        <v>25800</v>
      </c>
      <c r="H121" s="171">
        <v>740.46</v>
      </c>
      <c r="I121" s="171">
        <v>784.32</v>
      </c>
      <c r="J121" s="83">
        <v>0</v>
      </c>
      <c r="K121" s="115">
        <f>SUM(H121:J121)</f>
        <v>1524.7800000000002</v>
      </c>
      <c r="L121" s="84">
        <f>+G121-K121</f>
        <v>24275.22</v>
      </c>
      <c r="M121" s="41"/>
    </row>
    <row r="122" spans="2:13" s="41" customFormat="1" ht="22.5" customHeight="1" x14ac:dyDescent="0.25">
      <c r="B122" s="290" t="s">
        <v>125</v>
      </c>
      <c r="C122" s="291"/>
      <c r="D122" s="291"/>
      <c r="E122" s="291"/>
      <c r="F122" s="292"/>
      <c r="G122" s="39">
        <f>SUM(G120:G121)</f>
        <v>55800</v>
      </c>
      <c r="H122" s="39">
        <f t="shared" ref="H122:L122" si="28">SUM(H120:H121)</f>
        <v>1601.46</v>
      </c>
      <c r="I122" s="39">
        <f t="shared" si="28"/>
        <v>1696.3200000000002</v>
      </c>
      <c r="J122" s="39">
        <f t="shared" si="28"/>
        <v>6187.66</v>
      </c>
      <c r="K122" s="39">
        <f t="shared" si="28"/>
        <v>9485.44</v>
      </c>
      <c r="L122" s="39">
        <f t="shared" si="28"/>
        <v>46314.559999999998</v>
      </c>
    </row>
    <row r="123" spans="2:13" s="41" customFormat="1" ht="24.95" customHeight="1" thickBot="1" x14ac:dyDescent="0.3">
      <c r="B123" s="52"/>
      <c r="C123" s="52"/>
      <c r="D123" s="52"/>
      <c r="E123" s="52"/>
      <c r="F123" s="52"/>
      <c r="G123" s="42"/>
      <c r="H123" s="42"/>
      <c r="I123" s="42"/>
      <c r="J123" s="42"/>
      <c r="K123" s="42"/>
      <c r="L123" s="42"/>
    </row>
    <row r="124" spans="2:13" s="85" customFormat="1" ht="30" customHeight="1" thickBot="1" x14ac:dyDescent="0.3">
      <c r="B124" s="287" t="s">
        <v>317</v>
      </c>
      <c r="C124" s="288"/>
      <c r="D124" s="288"/>
      <c r="E124" s="288"/>
      <c r="F124" s="288"/>
      <c r="G124" s="288"/>
      <c r="H124" s="288"/>
      <c r="I124" s="288"/>
      <c r="J124" s="288"/>
      <c r="K124" s="288"/>
      <c r="L124" s="289"/>
      <c r="M124" s="34"/>
    </row>
    <row r="125" spans="2:13" s="85" customFormat="1" ht="25.5" customHeight="1" x14ac:dyDescent="0.25">
      <c r="B125" s="86">
        <f>+B121+1</f>
        <v>33</v>
      </c>
      <c r="C125" s="116" t="s">
        <v>589</v>
      </c>
      <c r="D125" s="38" t="s">
        <v>425</v>
      </c>
      <c r="E125" s="116" t="s">
        <v>430</v>
      </c>
      <c r="F125" s="116" t="s">
        <v>121</v>
      </c>
      <c r="G125" s="118">
        <v>15000</v>
      </c>
      <c r="H125" s="118">
        <v>430.5</v>
      </c>
      <c r="I125" s="88">
        <v>456</v>
      </c>
      <c r="J125" s="88">
        <v>2117.0300000000002</v>
      </c>
      <c r="K125" s="115">
        <f>SUM(H125:J125)</f>
        <v>3003.53</v>
      </c>
      <c r="L125" s="84">
        <f>+G125-K125</f>
        <v>11996.47</v>
      </c>
      <c r="M125" s="34"/>
    </row>
    <row r="126" spans="2:13" s="41" customFormat="1" ht="33.75" customHeight="1" x14ac:dyDescent="0.25">
      <c r="B126" s="290" t="s">
        <v>125</v>
      </c>
      <c r="C126" s="291"/>
      <c r="D126" s="291"/>
      <c r="E126" s="291"/>
      <c r="F126" s="292"/>
      <c r="G126" s="39">
        <f t="shared" ref="G126:J126" si="29">SUM(G125:G125)</f>
        <v>15000</v>
      </c>
      <c r="H126" s="39">
        <f t="shared" si="29"/>
        <v>430.5</v>
      </c>
      <c r="I126" s="39">
        <f t="shared" si="29"/>
        <v>456</v>
      </c>
      <c r="J126" s="39">
        <f t="shared" si="29"/>
        <v>2117.0300000000002</v>
      </c>
      <c r="K126" s="39">
        <f>SUM(K125:K125)</f>
        <v>3003.53</v>
      </c>
      <c r="L126" s="39">
        <f>SUM(L125:L125)</f>
        <v>11996.47</v>
      </c>
    </row>
    <row r="127" spans="2:13" s="41" customFormat="1" ht="24.95" customHeight="1" thickBot="1" x14ac:dyDescent="0.3">
      <c r="B127" s="52"/>
      <c r="C127" s="52"/>
      <c r="D127" s="52"/>
      <c r="E127" s="52"/>
      <c r="F127" s="52"/>
      <c r="G127" s="42"/>
      <c r="H127" s="42"/>
      <c r="I127" s="42"/>
      <c r="J127" s="42"/>
      <c r="K127" s="42"/>
      <c r="L127" s="42"/>
    </row>
    <row r="128" spans="2:13" s="85" customFormat="1" ht="30" customHeight="1" thickBot="1" x14ac:dyDescent="0.3">
      <c r="B128" s="287" t="s">
        <v>694</v>
      </c>
      <c r="C128" s="288"/>
      <c r="D128" s="288"/>
      <c r="E128" s="288"/>
      <c r="F128" s="288"/>
      <c r="G128" s="288"/>
      <c r="H128" s="288"/>
      <c r="I128" s="288"/>
      <c r="J128" s="288"/>
      <c r="K128" s="288"/>
      <c r="L128" s="289"/>
      <c r="M128" s="34"/>
    </row>
    <row r="129" spans="2:13" s="85" customFormat="1" ht="25.5" customHeight="1" x14ac:dyDescent="0.25">
      <c r="B129" s="86">
        <f>+B125+1</f>
        <v>34</v>
      </c>
      <c r="C129" s="116" t="s">
        <v>695</v>
      </c>
      <c r="D129" s="38" t="s">
        <v>425</v>
      </c>
      <c r="E129" s="116" t="s">
        <v>696</v>
      </c>
      <c r="F129" s="116" t="s">
        <v>121</v>
      </c>
      <c r="G129" s="118">
        <v>35000</v>
      </c>
      <c r="H129" s="118">
        <v>1004.5</v>
      </c>
      <c r="I129" s="88">
        <v>1064</v>
      </c>
      <c r="J129" s="88">
        <v>0</v>
      </c>
      <c r="K129" s="115">
        <f>SUM(H129:J129)</f>
        <v>2068.5</v>
      </c>
      <c r="L129" s="84">
        <f>+G129-K129</f>
        <v>32931.5</v>
      </c>
      <c r="M129" s="34"/>
    </row>
    <row r="130" spans="2:13" s="41" customFormat="1" ht="33.75" customHeight="1" x14ac:dyDescent="0.25">
      <c r="B130" s="290" t="s">
        <v>125</v>
      </c>
      <c r="C130" s="291"/>
      <c r="D130" s="291"/>
      <c r="E130" s="291"/>
      <c r="F130" s="292"/>
      <c r="G130" s="39">
        <f t="shared" ref="G130:J130" si="30">SUM(G129:G129)</f>
        <v>35000</v>
      </c>
      <c r="H130" s="39">
        <f t="shared" si="30"/>
        <v>1004.5</v>
      </c>
      <c r="I130" s="39">
        <f t="shared" si="30"/>
        <v>1064</v>
      </c>
      <c r="J130" s="39">
        <f t="shared" si="30"/>
        <v>0</v>
      </c>
      <c r="K130" s="39">
        <f>SUM(K129:K129)</f>
        <v>2068.5</v>
      </c>
      <c r="L130" s="39">
        <f>SUM(L129:L129)</f>
        <v>32931.5</v>
      </c>
    </row>
    <row r="131" spans="2:13" s="41" customFormat="1" ht="24.95" customHeight="1" x14ac:dyDescent="0.25">
      <c r="B131" s="52"/>
      <c r="C131" s="52"/>
      <c r="D131" s="52"/>
      <c r="E131" s="52"/>
      <c r="F131" s="52"/>
      <c r="G131" s="42"/>
      <c r="H131" s="42"/>
      <c r="I131" s="42"/>
      <c r="J131" s="42"/>
      <c r="K131" s="42"/>
      <c r="L131" s="42"/>
    </row>
    <row r="132" spans="2:13" s="41" customFormat="1" ht="24.95" customHeight="1" thickBot="1" x14ac:dyDescent="0.3">
      <c r="B132" s="52"/>
      <c r="C132" s="52"/>
      <c r="D132" s="52"/>
      <c r="E132" s="52"/>
      <c r="F132" s="52"/>
      <c r="G132" s="42"/>
      <c r="H132" s="42"/>
      <c r="I132" s="42"/>
      <c r="J132" s="42"/>
      <c r="K132" s="42"/>
      <c r="L132" s="42"/>
    </row>
    <row r="133" spans="2:13" s="41" customFormat="1" ht="24.95" customHeight="1" thickBot="1" x14ac:dyDescent="0.3">
      <c r="B133" s="287" t="s">
        <v>178</v>
      </c>
      <c r="C133" s="288"/>
      <c r="D133" s="288"/>
      <c r="E133" s="288"/>
      <c r="F133" s="288"/>
      <c r="G133" s="288"/>
      <c r="H133" s="288"/>
      <c r="I133" s="288"/>
      <c r="J133" s="288"/>
      <c r="K133" s="288"/>
      <c r="L133" s="289"/>
    </row>
    <row r="134" spans="2:13" s="41" customFormat="1" ht="24.95" customHeight="1" x14ac:dyDescent="0.25">
      <c r="B134" s="86">
        <f>+B129+1</f>
        <v>35</v>
      </c>
      <c r="C134" s="116" t="s">
        <v>501</v>
      </c>
      <c r="D134" s="38" t="s">
        <v>425</v>
      </c>
      <c r="E134" s="116" t="s">
        <v>502</v>
      </c>
      <c r="F134" s="116" t="s">
        <v>121</v>
      </c>
      <c r="G134" s="118">
        <v>35000</v>
      </c>
      <c r="H134" s="118">
        <v>1004.5</v>
      </c>
      <c r="I134" s="88">
        <v>1064</v>
      </c>
      <c r="J134" s="88">
        <v>6252.61</v>
      </c>
      <c r="K134" s="115">
        <f>SUM(H134:J134)</f>
        <v>8321.11</v>
      </c>
      <c r="L134" s="84">
        <f>+G134-K134</f>
        <v>26678.89</v>
      </c>
    </row>
    <row r="135" spans="2:13" s="41" customFormat="1" ht="24.95" customHeight="1" x14ac:dyDescent="0.25">
      <c r="B135" s="86">
        <f>+B134+1</f>
        <v>36</v>
      </c>
      <c r="C135" s="116" t="s">
        <v>23</v>
      </c>
      <c r="D135" s="38"/>
      <c r="E135" s="41" t="s">
        <v>147</v>
      </c>
      <c r="F135" s="116" t="s">
        <v>121</v>
      </c>
      <c r="G135" s="118">
        <v>30000</v>
      </c>
      <c r="H135" s="118">
        <v>861</v>
      </c>
      <c r="I135" s="88">
        <v>912</v>
      </c>
      <c r="J135" s="88">
        <v>4846.93</v>
      </c>
      <c r="K135" s="115">
        <f>SUM(H135:J135)</f>
        <v>6619.93</v>
      </c>
      <c r="L135" s="84">
        <f>+G135-K135</f>
        <v>23380.07</v>
      </c>
    </row>
    <row r="136" spans="2:13" s="41" customFormat="1" ht="24.95" customHeight="1" x14ac:dyDescent="0.25">
      <c r="B136" s="290" t="s">
        <v>125</v>
      </c>
      <c r="C136" s="291"/>
      <c r="D136" s="291"/>
      <c r="E136" s="291"/>
      <c r="F136" s="292"/>
      <c r="G136" s="39">
        <f>SUM(G134:G135)</f>
        <v>65000</v>
      </c>
      <c r="H136" s="39">
        <f t="shared" ref="H136:L136" si="31">SUM(H134:H135)</f>
        <v>1865.5</v>
      </c>
      <c r="I136" s="39">
        <f t="shared" si="31"/>
        <v>1976</v>
      </c>
      <c r="J136" s="39">
        <f t="shared" si="31"/>
        <v>11099.54</v>
      </c>
      <c r="K136" s="39">
        <f t="shared" si="31"/>
        <v>14941.04</v>
      </c>
      <c r="L136" s="39">
        <f t="shared" si="31"/>
        <v>50058.96</v>
      </c>
    </row>
    <row r="137" spans="2:13" s="34" customFormat="1" ht="30" customHeight="1" thickBot="1" x14ac:dyDescent="0.3">
      <c r="B137" s="43"/>
      <c r="C137" s="50"/>
      <c r="D137" s="149"/>
      <c r="E137" s="50"/>
      <c r="F137" s="50"/>
      <c r="G137" s="51"/>
      <c r="H137" s="41"/>
      <c r="I137" s="41"/>
      <c r="J137" s="41"/>
      <c r="K137" s="41"/>
      <c r="L137" s="41"/>
    </row>
    <row r="138" spans="2:13" ht="36" customHeight="1" thickBot="1" x14ac:dyDescent="0.3">
      <c r="B138" s="56"/>
      <c r="C138" s="57" t="s">
        <v>434</v>
      </c>
      <c r="D138" s="150"/>
      <c r="E138" s="58"/>
      <c r="F138" s="59"/>
      <c r="G138" s="60">
        <f>G15+G23+G31+G35+G43+G47+G55+G62+G66+G97+G101+G122+G109+G75+G39+G51+G105+G85+G136+G27+G11+G89+G19+G58+G80+G117+G126+G93+G130+G113+G70</f>
        <v>1352550</v>
      </c>
      <c r="H138" s="60">
        <f>H15+H23+H31+H35+H43+H47+H55+H62+H66+H97+H101+H122+H109+H75+H39+H51+H105+H85+H136+H27+H11+H89+H19+H58+H80+H117+H126+H93+H130+H113+H70</f>
        <v>38818.184999999998</v>
      </c>
      <c r="I138" s="60">
        <f>I15+I23+I31+I35+I43+I47+I55+I62+I66+I97+I101+I122+I109+I75+I39+I51+I105+I85+I136+I27+I11+I89+I19+I58+I80+I117+I126+I93+I130+I113+I70</f>
        <v>40269.979999999996</v>
      </c>
      <c r="J138" s="60">
        <f>J15+J23+J31+J35+J43+J47+J55+J62+J66+J97+J101+J122+J109+J75+J39+J51+J105+J85+J136+J27+J11+J89+J19+J58+J80+J117+J126+J93+J130+J113+J70</f>
        <v>282471.25</v>
      </c>
      <c r="K138" s="60">
        <f>K15+K23+K31+K35+K43+K47+K55+K62+K66+K97+K101+K122+K109+K75+K39+K51+K105+K85+K136+K27+K11+K89+K19+K58+K80+K117+K126+K93+K130+K113+K70</f>
        <v>361559.41500000004</v>
      </c>
      <c r="L138" s="60">
        <f>L15+L23+L31+L35+L43+L47+L55+L62+L66+L97+L101+L122+L109+L75+L39+L51+L105+L85+L136+L27+L11+L89+L19+L58+L80+L117+L126+L93+L130+L113+L70</f>
        <v>990990.58499999996</v>
      </c>
      <c r="M138" s="217"/>
    </row>
    <row r="139" spans="2:13" ht="15" x14ac:dyDescent="0.25">
      <c r="B139" s="30"/>
      <c r="C139" s="29"/>
      <c r="D139" s="30"/>
      <c r="E139" s="29"/>
      <c r="F139" s="29"/>
      <c r="G139" s="18"/>
      <c r="H139" s="19"/>
      <c r="I139" s="19"/>
      <c r="J139" s="19"/>
      <c r="K139" s="19"/>
      <c r="L139" s="19"/>
    </row>
    <row r="140" spans="2:13" ht="15" x14ac:dyDescent="0.25">
      <c r="B140" s="30"/>
      <c r="C140" s="29"/>
      <c r="D140" s="30"/>
      <c r="E140" s="29"/>
      <c r="F140" s="29"/>
      <c r="G140" s="18"/>
      <c r="H140" s="19"/>
      <c r="I140" s="19"/>
      <c r="J140" s="19"/>
      <c r="K140" s="19"/>
      <c r="L140" s="19"/>
    </row>
    <row r="141" spans="2:13" ht="15.75" x14ac:dyDescent="0.25">
      <c r="C141" s="1"/>
      <c r="E141" s="1"/>
      <c r="F141" s="20"/>
      <c r="G141" s="66"/>
    </row>
    <row r="142" spans="2:13" ht="15.75" x14ac:dyDescent="0.25">
      <c r="C142" s="21"/>
      <c r="D142" s="151"/>
      <c r="E142" s="22"/>
      <c r="F142" s="21"/>
      <c r="G142" s="1"/>
      <c r="L142" s="7"/>
    </row>
    <row r="143" spans="2:13" ht="15.75" x14ac:dyDescent="0.25">
      <c r="C143" s="23" t="s">
        <v>202</v>
      </c>
      <c r="D143" s="152"/>
      <c r="E143" s="22"/>
      <c r="F143" s="23" t="s">
        <v>494</v>
      </c>
      <c r="G143" s="1"/>
    </row>
    <row r="144" spans="2:13" ht="15.75" x14ac:dyDescent="0.25">
      <c r="C144" s="23" t="s">
        <v>495</v>
      </c>
      <c r="D144" s="152"/>
      <c r="E144" s="22"/>
      <c r="F144" s="23" t="s">
        <v>496</v>
      </c>
      <c r="G144" s="1"/>
    </row>
    <row r="16628" spans="3:12" s="4" customFormat="1" x14ac:dyDescent="0.2">
      <c r="C16628" s="25"/>
      <c r="E16628" s="25"/>
      <c r="F16628" s="25"/>
      <c r="G16628" s="2"/>
      <c r="H16628" s="1"/>
      <c r="I16628" s="1"/>
      <c r="J16628" s="1"/>
      <c r="K16628" s="1"/>
      <c r="L16628" s="1"/>
    </row>
    <row r="16630" spans="3:12" s="4" customFormat="1" x14ac:dyDescent="0.2">
      <c r="C16630" s="25"/>
      <c r="E16630" s="25"/>
      <c r="F16630" s="25"/>
      <c r="G16630" s="2"/>
      <c r="H16630" s="1"/>
      <c r="I16630" s="1"/>
      <c r="J16630" s="1"/>
      <c r="K16630" s="1"/>
      <c r="L16630" s="1"/>
    </row>
    <row r="16646" spans="8:9" x14ac:dyDescent="0.2">
      <c r="H16646" s="4"/>
      <c r="I16646" s="4"/>
    </row>
    <row r="16648" spans="8:9" x14ac:dyDescent="0.2">
      <c r="H16648" s="4"/>
      <c r="I16648" s="4"/>
    </row>
    <row r="16658" spans="3:12" x14ac:dyDescent="0.2">
      <c r="K16658" s="4"/>
      <c r="L16658" s="4"/>
    </row>
    <row r="16660" spans="3:12" x14ac:dyDescent="0.2">
      <c r="K16660" s="4"/>
      <c r="L16660" s="4"/>
    </row>
    <row r="16661" spans="3:12" x14ac:dyDescent="0.2">
      <c r="J16661" s="4"/>
    </row>
    <row r="16662" spans="3:12" x14ac:dyDescent="0.2">
      <c r="C16662" s="25">
        <f>SUM(C6:C16661)</f>
        <v>0</v>
      </c>
    </row>
    <row r="16663" spans="3:12" x14ac:dyDescent="0.2">
      <c r="J16663" s="4"/>
    </row>
    <row r="16664" spans="3:12" x14ac:dyDescent="0.2">
      <c r="C16664" s="25">
        <f>SUM(C16662)</f>
        <v>0</v>
      </c>
    </row>
    <row r="999987" spans="11:11" x14ac:dyDescent="0.2">
      <c r="K999987" s="11" t="e">
        <f>SUM(#REF!)</f>
        <v>#REF!</v>
      </c>
    </row>
  </sheetData>
  <mergeCells count="67">
    <mergeCell ref="B111:L111"/>
    <mergeCell ref="B113:F113"/>
    <mergeCell ref="B128:L128"/>
    <mergeCell ref="B130:F130"/>
    <mergeCell ref="B124:L124"/>
    <mergeCell ref="B126:F126"/>
    <mergeCell ref="B80:F80"/>
    <mergeCell ref="B56:L56"/>
    <mergeCell ref="B58:F58"/>
    <mergeCell ref="B77:L77"/>
    <mergeCell ref="B119:L119"/>
    <mergeCell ref="B95:L95"/>
    <mergeCell ref="B97:F97"/>
    <mergeCell ref="B75:F75"/>
    <mergeCell ref="B91:L91"/>
    <mergeCell ref="B93:F93"/>
    <mergeCell ref="B122:F122"/>
    <mergeCell ref="B107:L107"/>
    <mergeCell ref="B109:F109"/>
    <mergeCell ref="B99:L99"/>
    <mergeCell ref="B101:F101"/>
    <mergeCell ref="B115:L115"/>
    <mergeCell ref="B117:F117"/>
    <mergeCell ref="B9:L9"/>
    <mergeCell ref="B11:F11"/>
    <mergeCell ref="B47:F47"/>
    <mergeCell ref="B41:L41"/>
    <mergeCell ref="B43:F43"/>
    <mergeCell ref="B45:L45"/>
    <mergeCell ref="B37:L37"/>
    <mergeCell ref="B39:F39"/>
    <mergeCell ref="B31:F31"/>
    <mergeCell ref="B33:L33"/>
    <mergeCell ref="B35:F35"/>
    <mergeCell ref="B23:F23"/>
    <mergeCell ref="B29:L29"/>
    <mergeCell ref="B13:L13"/>
    <mergeCell ref="B1:L1"/>
    <mergeCell ref="B2:L2"/>
    <mergeCell ref="B3:L3"/>
    <mergeCell ref="B4:C4"/>
    <mergeCell ref="H5:I5"/>
    <mergeCell ref="B15:F15"/>
    <mergeCell ref="B21:L21"/>
    <mergeCell ref="B25:L25"/>
    <mergeCell ref="B27:F27"/>
    <mergeCell ref="B72:L72"/>
    <mergeCell ref="B17:L17"/>
    <mergeCell ref="B19:F19"/>
    <mergeCell ref="B68:L68"/>
    <mergeCell ref="B70:F70"/>
    <mergeCell ref="B133:L133"/>
    <mergeCell ref="B136:F136"/>
    <mergeCell ref="B87:L87"/>
    <mergeCell ref="B89:F89"/>
    <mergeCell ref="B49:L49"/>
    <mergeCell ref="B51:F51"/>
    <mergeCell ref="B103:L103"/>
    <mergeCell ref="B105:F105"/>
    <mergeCell ref="B82:L82"/>
    <mergeCell ref="B85:F85"/>
    <mergeCell ref="B55:F55"/>
    <mergeCell ref="B53:L53"/>
    <mergeCell ref="B66:F66"/>
    <mergeCell ref="B60:L60"/>
    <mergeCell ref="B62:F62"/>
    <mergeCell ref="B64:L64"/>
  </mergeCells>
  <pageMargins left="0.15748031496062992" right="0.15748031496062992" top="0.15748031496062992" bottom="0.15748031496062992" header="0.15748031496062992" footer="0.15748031496062992"/>
  <pageSetup paperSize="5" scale="66" fitToHeight="0" orientation="landscape" r:id="rId1"/>
  <rowBreaks count="4" manualBreakCount="4">
    <brk id="32" min="1" max="11" man="1"/>
    <brk id="80" min="1" max="11" man="1"/>
    <brk id="106" min="1" max="11" man="1"/>
    <brk id="130" min="1" max="11" man="1"/>
  </rowBreaks>
  <ignoredErrors>
    <ignoredError sqref="K23 K30 K34 K38 K42 K46 K61 K83 K100 K121 K73:K74 K65 K120:L120 K26 K96 K88 K54 K50 K78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1"/>
  <sheetViews>
    <sheetView showGridLines="0" tabSelected="1" view="pageBreakPreview" zoomScaleNormal="93" zoomScaleSheetLayoutView="100" workbookViewId="0">
      <selection activeCell="J11" sqref="J11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3" width="11.42578125" style="110"/>
    <col min="14" max="16384" width="11.42578125" style="1"/>
  </cols>
  <sheetData>
    <row r="2" spans="1:13" ht="23.25" x14ac:dyDescent="0.35">
      <c r="A2" s="279" t="s">
        <v>414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</row>
    <row r="3" spans="1:13" ht="21" x14ac:dyDescent="0.35">
      <c r="A3" s="280" t="s">
        <v>415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</row>
    <row r="4" spans="1:13" ht="18.75" x14ac:dyDescent="0.3">
      <c r="A4" s="281" t="s">
        <v>669</v>
      </c>
      <c r="B4" s="281"/>
      <c r="C4" s="281"/>
      <c r="D4" s="281"/>
      <c r="E4" s="281"/>
      <c r="F4" s="281"/>
      <c r="G4" s="281"/>
      <c r="H4" s="281"/>
      <c r="I4" s="281"/>
      <c r="J4" s="281"/>
      <c r="K4" s="281"/>
      <c r="L4" s="281"/>
      <c r="M4" s="214"/>
    </row>
    <row r="5" spans="1:13" ht="19.5" thickBot="1" x14ac:dyDescent="0.3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214"/>
    </row>
    <row r="6" spans="1:13" s="2" customFormat="1" ht="21" customHeight="1" thickBot="1" x14ac:dyDescent="0.25">
      <c r="B6" s="3"/>
      <c r="C6" s="153"/>
      <c r="D6" s="3"/>
      <c r="E6" s="4"/>
      <c r="F6" s="6"/>
      <c r="G6" s="304" t="s">
        <v>120</v>
      </c>
      <c r="H6" s="305"/>
      <c r="M6" s="70"/>
    </row>
    <row r="7" spans="1:13" s="2" customFormat="1" ht="27" customHeight="1" x14ac:dyDescent="0.2">
      <c r="A7" s="13" t="s">
        <v>0</v>
      </c>
      <c r="B7" s="13" t="s">
        <v>365</v>
      </c>
      <c r="C7" s="35" t="s">
        <v>427</v>
      </c>
      <c r="D7" s="13" t="s">
        <v>126</v>
      </c>
      <c r="E7" s="13" t="s">
        <v>127</v>
      </c>
      <c r="F7" s="13" t="s">
        <v>124</v>
      </c>
      <c r="G7" s="13" t="s">
        <v>1</v>
      </c>
      <c r="H7" s="13" t="s">
        <v>2</v>
      </c>
      <c r="I7" s="14" t="s">
        <v>115</v>
      </c>
      <c r="J7" s="14" t="s">
        <v>117</v>
      </c>
      <c r="K7" s="14" t="s">
        <v>3</v>
      </c>
      <c r="L7" s="14" t="s">
        <v>116</v>
      </c>
      <c r="M7" s="70"/>
    </row>
    <row r="8" spans="1:13" s="101" customFormat="1" ht="19.899999999999999" customHeight="1" x14ac:dyDescent="0.25">
      <c r="A8" s="98">
        <v>4</v>
      </c>
      <c r="B8" s="116" t="s">
        <v>309</v>
      </c>
      <c r="C8" s="38" t="s">
        <v>426</v>
      </c>
      <c r="D8" s="117" t="s">
        <v>85</v>
      </c>
      <c r="E8" s="116" t="s">
        <v>192</v>
      </c>
      <c r="F8" s="88">
        <v>50000</v>
      </c>
      <c r="G8" s="88">
        <f>F8*2.87%</f>
        <v>1435</v>
      </c>
      <c r="H8" s="88">
        <f>+F8*3.04%</f>
        <v>1520</v>
      </c>
      <c r="I8" s="88">
        <v>1854</v>
      </c>
      <c r="J8" s="84">
        <f>2690.26+25</f>
        <v>2715.26</v>
      </c>
      <c r="K8" s="115">
        <f>SUM(G8:J8)</f>
        <v>7524.26</v>
      </c>
      <c r="L8" s="84">
        <f>+F8-K8</f>
        <v>42475.74</v>
      </c>
    </row>
    <row r="9" spans="1:13" s="102" customFormat="1" ht="20.100000000000001" customHeight="1" x14ac:dyDescent="0.25">
      <c r="A9" s="98">
        <v>5</v>
      </c>
      <c r="B9" s="116" t="s">
        <v>420</v>
      </c>
      <c r="C9" s="38" t="s">
        <v>425</v>
      </c>
      <c r="D9" s="117" t="s">
        <v>435</v>
      </c>
      <c r="E9" s="116" t="s">
        <v>421</v>
      </c>
      <c r="F9" s="99">
        <v>44000</v>
      </c>
      <c r="G9" s="99">
        <f t="shared" ref="G9:G13" si="0">F9*2.87%</f>
        <v>1262.8</v>
      </c>
      <c r="H9" s="99">
        <f t="shared" ref="H9" si="1">+F9*3.04%</f>
        <v>1337.6</v>
      </c>
      <c r="I9" s="99">
        <v>1007.19</v>
      </c>
      <c r="J9" s="100">
        <v>25</v>
      </c>
      <c r="K9" s="114">
        <f>+G9+H9+J9+I9</f>
        <v>3632.5899999999997</v>
      </c>
      <c r="L9" s="100">
        <f t="shared" ref="L9:L13" si="2">+F9-K9</f>
        <v>40367.410000000003</v>
      </c>
    </row>
    <row r="10" spans="1:13" s="101" customFormat="1" ht="20.100000000000001" customHeight="1" x14ac:dyDescent="0.25">
      <c r="A10" s="98">
        <v>6</v>
      </c>
      <c r="B10" s="116" t="s">
        <v>336</v>
      </c>
      <c r="C10" s="38" t="s">
        <v>425</v>
      </c>
      <c r="D10" s="117" t="s">
        <v>331</v>
      </c>
      <c r="E10" s="116" t="s">
        <v>98</v>
      </c>
      <c r="F10" s="88">
        <v>28875</v>
      </c>
      <c r="G10" s="88">
        <f t="shared" ref="G10:G11" si="3">F10*2.87%</f>
        <v>828.71249999999998</v>
      </c>
      <c r="H10" s="88">
        <f t="shared" ref="H10:H11" si="4">+F10*3.04%</f>
        <v>877.8</v>
      </c>
      <c r="I10" s="88"/>
      <c r="J10" s="90">
        <f>2000+25</f>
        <v>2025</v>
      </c>
      <c r="K10" s="115">
        <f>G10+H10+I10+J10</f>
        <v>3731.5124999999998</v>
      </c>
      <c r="L10" s="90">
        <f t="shared" ref="L10:L11" si="5">+F10-K10</f>
        <v>25143.487499999999</v>
      </c>
    </row>
    <row r="11" spans="1:13" s="101" customFormat="1" ht="20.100000000000001" customHeight="1" x14ac:dyDescent="0.25">
      <c r="A11" s="98">
        <v>7</v>
      </c>
      <c r="B11" s="116" t="s">
        <v>340</v>
      </c>
      <c r="C11" s="38" t="s">
        <v>425</v>
      </c>
      <c r="D11" s="117" t="s">
        <v>331</v>
      </c>
      <c r="E11" s="116" t="s">
        <v>37</v>
      </c>
      <c r="F11" s="88">
        <v>26565</v>
      </c>
      <c r="G11" s="88">
        <f t="shared" si="3"/>
        <v>762.41549999999995</v>
      </c>
      <c r="H11" s="88">
        <f t="shared" si="4"/>
        <v>807.57600000000002</v>
      </c>
      <c r="I11" s="88"/>
      <c r="J11" s="90">
        <f>2660.76+8955.45+25</f>
        <v>11641.210000000001</v>
      </c>
      <c r="K11" s="115">
        <f>SUM(G11:J11)</f>
        <v>13211.201500000001</v>
      </c>
      <c r="L11" s="90">
        <f t="shared" si="5"/>
        <v>13353.798499999999</v>
      </c>
    </row>
    <row r="12" spans="1:13" s="101" customFormat="1" ht="20.100000000000001" customHeight="1" x14ac:dyDescent="0.25">
      <c r="A12" s="98">
        <v>8</v>
      </c>
      <c r="B12" s="116" t="s">
        <v>79</v>
      </c>
      <c r="C12" s="38" t="s">
        <v>426</v>
      </c>
      <c r="D12" s="117" t="s">
        <v>422</v>
      </c>
      <c r="E12" s="116" t="s">
        <v>357</v>
      </c>
      <c r="F12" s="99">
        <v>20356.599999999999</v>
      </c>
      <c r="G12" s="99">
        <f t="shared" si="0"/>
        <v>584.23442</v>
      </c>
      <c r="H12" s="99">
        <f t="shared" ref="H12:H13" si="6">+F12*3.04%</f>
        <v>618.84064000000001</v>
      </c>
      <c r="I12" s="99"/>
      <c r="J12" s="100">
        <v>25</v>
      </c>
      <c r="K12" s="114">
        <f>+G12+H12+J12+I12</f>
        <v>1228.0750600000001</v>
      </c>
      <c r="L12" s="100">
        <f t="shared" si="2"/>
        <v>19128.524939999999</v>
      </c>
    </row>
    <row r="13" spans="1:13" s="101" customFormat="1" ht="20.100000000000001" customHeight="1" x14ac:dyDescent="0.25">
      <c r="A13" s="98">
        <f>+A12+1</f>
        <v>9</v>
      </c>
      <c r="B13" s="116" t="s">
        <v>610</v>
      </c>
      <c r="C13" s="38" t="s">
        <v>426</v>
      </c>
      <c r="D13" s="117" t="s">
        <v>611</v>
      </c>
      <c r="E13" s="116" t="s">
        <v>147</v>
      </c>
      <c r="F13" s="99">
        <v>93500</v>
      </c>
      <c r="G13" s="99">
        <f t="shared" si="0"/>
        <v>2683.45</v>
      </c>
      <c r="H13" s="99">
        <f t="shared" si="6"/>
        <v>2842.4</v>
      </c>
      <c r="I13" s="99">
        <v>10576.47</v>
      </c>
      <c r="J13" s="100">
        <v>25</v>
      </c>
      <c r="K13" s="114">
        <f>+G13+H13+J13+I13</f>
        <v>16127.32</v>
      </c>
      <c r="L13" s="100">
        <f t="shared" si="2"/>
        <v>77372.679999999993</v>
      </c>
    </row>
    <row r="14" spans="1:13" s="103" customFormat="1" ht="20.100000000000001" customHeight="1" x14ac:dyDescent="0.25">
      <c r="A14" s="71"/>
      <c r="B14" s="203" t="s">
        <v>416</v>
      </c>
      <c r="C14" s="73"/>
      <c r="D14" s="72"/>
      <c r="E14" s="73"/>
      <c r="F14" s="74">
        <f>SUM(F8:F13)</f>
        <v>263296.59999999998</v>
      </c>
      <c r="G14" s="74">
        <f t="shared" ref="G14:L14" si="7">SUM(G8:G13)</f>
        <v>7556.6124199999995</v>
      </c>
      <c r="H14" s="74">
        <f t="shared" si="7"/>
        <v>8004.2166400000006</v>
      </c>
      <c r="I14" s="74">
        <f t="shared" si="7"/>
        <v>13437.66</v>
      </c>
      <c r="J14" s="74">
        <f t="shared" si="7"/>
        <v>16456.47</v>
      </c>
      <c r="K14" s="74">
        <f t="shared" si="7"/>
        <v>45454.959059999994</v>
      </c>
      <c r="L14" s="74">
        <f t="shared" si="7"/>
        <v>217841.64093999998</v>
      </c>
      <c r="M14" s="215"/>
    </row>
    <row r="15" spans="1:13" ht="15.75" x14ac:dyDescent="0.25">
      <c r="D15" s="20"/>
      <c r="E15"/>
      <c r="F15" s="22"/>
    </row>
    <row r="16" spans="1:13" ht="15.75" x14ac:dyDescent="0.25">
      <c r="D16" s="20"/>
      <c r="E16"/>
      <c r="F16" s="22"/>
    </row>
    <row r="17" spans="2:8" ht="15.75" x14ac:dyDescent="0.25">
      <c r="B17" s="21"/>
      <c r="C17" s="151"/>
      <c r="D17" s="22"/>
      <c r="E17" s="21"/>
      <c r="F17"/>
      <c r="H17"/>
    </row>
    <row r="18" spans="2:8" ht="15.75" x14ac:dyDescent="0.25">
      <c r="B18" s="23" t="s">
        <v>202</v>
      </c>
      <c r="C18" s="152"/>
      <c r="D18" s="22"/>
      <c r="E18" s="23" t="s">
        <v>494</v>
      </c>
      <c r="F18" s="22"/>
      <c r="H18" s="23"/>
    </row>
    <row r="19" spans="2:8" ht="15.75" x14ac:dyDescent="0.25">
      <c r="B19" s="23" t="s">
        <v>495</v>
      </c>
      <c r="C19" s="152"/>
      <c r="D19" s="22"/>
      <c r="E19" s="23" t="s">
        <v>496</v>
      </c>
      <c r="F19" s="22"/>
      <c r="H19" s="23"/>
    </row>
    <row r="23" spans="2:8" hidden="1" x14ac:dyDescent="0.2"/>
    <row r="26" spans="2:8" x14ac:dyDescent="0.2">
      <c r="G26" s="1">
        <v>2</v>
      </c>
    </row>
    <row r="877141" spans="11:11" x14ac:dyDescent="0.2">
      <c r="K877141" s="11" t="e">
        <f>SUM(#REF!)</f>
        <v>#REF!</v>
      </c>
    </row>
  </sheetData>
  <sortState xmlns:xlrd2="http://schemas.microsoft.com/office/spreadsheetml/2017/richdata2" ref="A8:L14">
    <sortCondition descending="1" ref="F8:F14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2" max="10" man="1"/>
    <brk id="4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6" ma:contentTypeDescription="Create a new document." ma:contentTypeScope="" ma:versionID="850522bfbdc09d5fbf568ad3f3ac454c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71ad68405c2dd518f2d98800998c5d6e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B626B0-3F82-4878-8386-9A88D673F7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schemas.microsoft.com/office/2006/documentManagement/types"/>
    <ds:schemaRef ds:uri="http://purl.org/dc/dcmitype/"/>
    <ds:schemaRef ds:uri="bb6b0d22-0a16-4c1a-9b76-95dfb845d415"/>
    <ds:schemaRef ds:uri="http://schemas.microsoft.com/office/2006/metadata/properties"/>
    <ds:schemaRef ds:uri="d39205a1-5442-419a-b1e5-b39410ee3123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Julian José Acosta Acosta</cp:lastModifiedBy>
  <cp:lastPrinted>2023-06-05T17:45:01Z</cp:lastPrinted>
  <dcterms:created xsi:type="dcterms:W3CDTF">2019-01-11T19:06:47Z</dcterms:created>
  <dcterms:modified xsi:type="dcterms:W3CDTF">2023-06-05T17:45:08Z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