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/>
  <mc:AlternateContent xmlns:mc="http://schemas.openxmlformats.org/markup-compatibility/2006">
    <mc:Choice Requires="x15">
      <x15ac:absPath xmlns:x15ac="http://schemas.microsoft.com/office/spreadsheetml/2010/11/ac" url="https://dgprd.sharepoint.com/sites/RRHH/Shared Documents/General/Registro-Control y Nomina/NOMINA II/NOMINA/NOMINAS PARA PORTAL INSTITUCIONAL/PORTAL 2023/AGOSTO 2023-PORTAL -/"/>
    </mc:Choice>
  </mc:AlternateContent>
  <xr:revisionPtr revIDLastSave="2124" documentId="13_ncr:1_{7E48093D-B835-41E6-9834-8766E58B46A6}" xr6:coauthVersionLast="47" xr6:coauthVersionMax="47" xr10:uidLastSave="{FC295E32-110B-47F5-9087-9A89334D2EFA}"/>
  <bookViews>
    <workbookView xWindow="-120" yWindow="-120" windowWidth="29040" windowHeight="15840" xr2:uid="{00000000-000D-0000-FFFF-FFFF00000000}"/>
  </bookViews>
  <sheets>
    <sheet name="NOMINA FIJOS " sheetId="4" r:id="rId1"/>
    <sheet name="PERSONAL TEMPORAL" sheetId="13" r:id="rId2"/>
    <sheet name="SUPLENCIA FIJOS" sheetId="16" r:id="rId3"/>
    <sheet name="TRAMITE PENSION " sheetId="14" r:id="rId4"/>
  </sheets>
  <definedNames>
    <definedName name="_xlnm.Print_Area" localSheetId="0">'NOMINA FIJOS '!$A$1:$P$408</definedName>
    <definedName name="_xlnm.Print_Area" localSheetId="1">'PERSONAL TEMPORAL'!$A$1:$R$266</definedName>
    <definedName name="_xlnm.Print_Area" localSheetId="2">'SUPLENCIA FIJOS'!$B$1:$L$151</definedName>
    <definedName name="_xlnm.Print_Area" localSheetId="3">'TRAMITE PENSION '!$A$1:$L$21</definedName>
    <definedName name="_xlnm.Print_Titles" localSheetId="0">'NOMINA FIJOS '!$1:$6</definedName>
    <definedName name="_xlnm.Print_Titles" localSheetId="1">'PERSONAL TEMPORAL'!$1:$7</definedName>
    <definedName name="_xlnm.Print_Titles" localSheetId="2">'SUPLENCIA FIJOS'!$1:$6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00" i="4" l="1"/>
  <c r="H400" i="4"/>
  <c r="I400" i="4"/>
  <c r="J400" i="4"/>
  <c r="K400" i="4"/>
  <c r="L400" i="4"/>
  <c r="M400" i="4"/>
  <c r="N400" i="4"/>
  <c r="O400" i="4"/>
  <c r="P400" i="4"/>
  <c r="F400" i="4"/>
  <c r="F398" i="4"/>
  <c r="F374" i="4"/>
  <c r="F369" i="4"/>
  <c r="F363" i="4"/>
  <c r="F359" i="4"/>
  <c r="F355" i="4"/>
  <c r="F351" i="4"/>
  <c r="F346" i="4"/>
  <c r="F326" i="4"/>
  <c r="F317" i="4"/>
  <c r="F284" i="4"/>
  <c r="F279" i="4"/>
  <c r="F275" i="4"/>
  <c r="F269" i="4"/>
  <c r="F264" i="4"/>
  <c r="F259" i="4"/>
  <c r="F255" i="4"/>
  <c r="F250" i="4"/>
  <c r="F244" i="4"/>
  <c r="F240" i="4"/>
  <c r="F234" i="4"/>
  <c r="F230" i="4"/>
  <c r="F225" i="4"/>
  <c r="F221" i="4"/>
  <c r="F217" i="4"/>
  <c r="F212" i="4"/>
  <c r="F207" i="4"/>
  <c r="F203" i="4"/>
  <c r="F194" i="4"/>
  <c r="F187" i="4"/>
  <c r="F182" i="4"/>
  <c r="F178" i="4"/>
  <c r="F172" i="4"/>
  <c r="F165" i="4"/>
  <c r="F161" i="4"/>
  <c r="F156" i="4"/>
  <c r="F148" i="4"/>
  <c r="F143" i="4"/>
  <c r="F134" i="4"/>
  <c r="F128" i="4"/>
  <c r="F121" i="4"/>
  <c r="F115" i="4"/>
  <c r="F107" i="4"/>
  <c r="F103" i="4"/>
  <c r="F99" i="4"/>
  <c r="F92" i="4"/>
  <c r="F80" i="4"/>
  <c r="F86" i="4"/>
  <c r="F76" i="4"/>
  <c r="F67" i="4"/>
  <c r="F61" i="4"/>
  <c r="F53" i="4"/>
  <c r="F49" i="4"/>
  <c r="F41" i="4"/>
  <c r="F34" i="4"/>
  <c r="F29" i="4"/>
  <c r="F25" i="4"/>
  <c r="F20" i="4"/>
  <c r="A259" i="13" l="1"/>
  <c r="A243" i="13"/>
  <c r="A170" i="13"/>
  <c r="A155" i="13"/>
  <c r="A151" i="13"/>
  <c r="A46" i="13"/>
  <c r="A42" i="13"/>
  <c r="A22" i="13"/>
  <c r="A18" i="13"/>
  <c r="A15" i="13"/>
  <c r="A52" i="4"/>
  <c r="A17" i="4"/>
  <c r="N12" i="13" l="1"/>
  <c r="I262" i="13"/>
  <c r="J262" i="13"/>
  <c r="K262" i="13"/>
  <c r="L262" i="13"/>
  <c r="M262" i="13"/>
  <c r="O262" i="13"/>
  <c r="P262" i="13"/>
  <c r="H262" i="13"/>
  <c r="I12" i="13"/>
  <c r="H141" i="16"/>
  <c r="I141" i="16"/>
  <c r="J141" i="16"/>
  <c r="K141" i="16"/>
  <c r="L141" i="16"/>
  <c r="G141" i="16"/>
  <c r="H104" i="16"/>
  <c r="I104" i="16"/>
  <c r="J104" i="16"/>
  <c r="K104" i="16"/>
  <c r="L104" i="16"/>
  <c r="G104" i="16"/>
  <c r="L103" i="16"/>
  <c r="I260" i="13"/>
  <c r="J260" i="13"/>
  <c r="K260" i="13"/>
  <c r="L260" i="13"/>
  <c r="M260" i="13"/>
  <c r="N260" i="13"/>
  <c r="O260" i="13"/>
  <c r="P260" i="13"/>
  <c r="Q260" i="13"/>
  <c r="R260" i="13"/>
  <c r="H260" i="13"/>
  <c r="I256" i="13"/>
  <c r="J256" i="13"/>
  <c r="K256" i="13"/>
  <c r="L256" i="13"/>
  <c r="M256" i="13"/>
  <c r="N256" i="13"/>
  <c r="O256" i="13"/>
  <c r="P256" i="13"/>
  <c r="Q256" i="13"/>
  <c r="R256" i="13"/>
  <c r="H256" i="13"/>
  <c r="I252" i="13"/>
  <c r="J252" i="13"/>
  <c r="K252" i="13"/>
  <c r="L252" i="13"/>
  <c r="M252" i="13"/>
  <c r="N252" i="13"/>
  <c r="O252" i="13"/>
  <c r="P252" i="13"/>
  <c r="Q252" i="13"/>
  <c r="R252" i="13"/>
  <c r="H252" i="13"/>
  <c r="I248" i="13"/>
  <c r="J248" i="13"/>
  <c r="K248" i="13"/>
  <c r="L248" i="13"/>
  <c r="M248" i="13"/>
  <c r="N248" i="13"/>
  <c r="O248" i="13"/>
  <c r="P248" i="13"/>
  <c r="Q248" i="13"/>
  <c r="R248" i="13"/>
  <c r="H248" i="13"/>
  <c r="I244" i="13"/>
  <c r="J244" i="13"/>
  <c r="K244" i="13"/>
  <c r="L244" i="13"/>
  <c r="M244" i="13"/>
  <c r="N244" i="13"/>
  <c r="O244" i="13"/>
  <c r="P244" i="13"/>
  <c r="Q244" i="13"/>
  <c r="R244" i="13"/>
  <c r="H244" i="13"/>
  <c r="I239" i="13"/>
  <c r="J239" i="13"/>
  <c r="K239" i="13"/>
  <c r="L239" i="13"/>
  <c r="M239" i="13"/>
  <c r="N239" i="13"/>
  <c r="O239" i="13"/>
  <c r="P239" i="13"/>
  <c r="Q239" i="13"/>
  <c r="R239" i="13"/>
  <c r="H239" i="13"/>
  <c r="I234" i="13"/>
  <c r="J234" i="13"/>
  <c r="K234" i="13"/>
  <c r="L234" i="13"/>
  <c r="M234" i="13"/>
  <c r="N234" i="13"/>
  <c r="O234" i="13"/>
  <c r="P234" i="13"/>
  <c r="Q234" i="13"/>
  <c r="R234" i="13"/>
  <c r="H234" i="13"/>
  <c r="I229" i="13"/>
  <c r="J229" i="13"/>
  <c r="K229" i="13"/>
  <c r="L229" i="13"/>
  <c r="M229" i="13"/>
  <c r="N229" i="13"/>
  <c r="O229" i="13"/>
  <c r="P229" i="13"/>
  <c r="Q229" i="13"/>
  <c r="R229" i="13"/>
  <c r="H229" i="13"/>
  <c r="I224" i="13"/>
  <c r="J224" i="13"/>
  <c r="K224" i="13"/>
  <c r="L224" i="13"/>
  <c r="M224" i="13"/>
  <c r="N224" i="13"/>
  <c r="O224" i="13"/>
  <c r="P224" i="13"/>
  <c r="Q224" i="13"/>
  <c r="R224" i="13"/>
  <c r="H224" i="13"/>
  <c r="I220" i="13"/>
  <c r="J220" i="13"/>
  <c r="K220" i="13"/>
  <c r="L220" i="13"/>
  <c r="M220" i="13"/>
  <c r="N220" i="13"/>
  <c r="O220" i="13"/>
  <c r="P220" i="13"/>
  <c r="Q220" i="13"/>
  <c r="R220" i="13"/>
  <c r="H220" i="13"/>
  <c r="I216" i="13"/>
  <c r="J216" i="13"/>
  <c r="K216" i="13"/>
  <c r="L216" i="13"/>
  <c r="M216" i="13"/>
  <c r="N216" i="13"/>
  <c r="O216" i="13"/>
  <c r="P216" i="13"/>
  <c r="Q216" i="13"/>
  <c r="R216" i="13"/>
  <c r="H216" i="13"/>
  <c r="I212" i="13"/>
  <c r="J212" i="13"/>
  <c r="K212" i="13"/>
  <c r="L212" i="13"/>
  <c r="M212" i="13"/>
  <c r="N212" i="13"/>
  <c r="O212" i="13"/>
  <c r="P212" i="13"/>
  <c r="Q212" i="13"/>
  <c r="R212" i="13"/>
  <c r="H212" i="13"/>
  <c r="I206" i="13"/>
  <c r="J206" i="13"/>
  <c r="K206" i="13"/>
  <c r="L206" i="13"/>
  <c r="M206" i="13"/>
  <c r="N206" i="13"/>
  <c r="O206" i="13"/>
  <c r="P206" i="13"/>
  <c r="Q206" i="13"/>
  <c r="R206" i="13"/>
  <c r="H206" i="13"/>
  <c r="I202" i="13"/>
  <c r="J202" i="13"/>
  <c r="K202" i="13"/>
  <c r="L202" i="13"/>
  <c r="M202" i="13"/>
  <c r="N202" i="13"/>
  <c r="O202" i="13"/>
  <c r="P202" i="13"/>
  <c r="Q202" i="13"/>
  <c r="R202" i="13"/>
  <c r="H202" i="13"/>
  <c r="I195" i="13"/>
  <c r="J195" i="13"/>
  <c r="K195" i="13"/>
  <c r="L195" i="13"/>
  <c r="M195" i="13"/>
  <c r="N195" i="13"/>
  <c r="O195" i="13"/>
  <c r="P195" i="13"/>
  <c r="Q195" i="13"/>
  <c r="R195" i="13"/>
  <c r="H195" i="13"/>
  <c r="I186" i="13"/>
  <c r="J186" i="13"/>
  <c r="K186" i="13"/>
  <c r="L186" i="13"/>
  <c r="M186" i="13"/>
  <c r="N186" i="13"/>
  <c r="O186" i="13"/>
  <c r="P186" i="13"/>
  <c r="Q186" i="13"/>
  <c r="R186" i="13"/>
  <c r="H186" i="13"/>
  <c r="I182" i="13"/>
  <c r="J182" i="13"/>
  <c r="K182" i="13"/>
  <c r="L182" i="13"/>
  <c r="M182" i="13"/>
  <c r="N182" i="13"/>
  <c r="O182" i="13"/>
  <c r="P182" i="13"/>
  <c r="Q182" i="13"/>
  <c r="R182" i="13"/>
  <c r="H182" i="13"/>
  <c r="I177" i="13"/>
  <c r="J177" i="13"/>
  <c r="K177" i="13"/>
  <c r="L177" i="13"/>
  <c r="M177" i="13"/>
  <c r="N177" i="13"/>
  <c r="O177" i="13"/>
  <c r="P177" i="13"/>
  <c r="Q177" i="13"/>
  <c r="R177" i="13"/>
  <c r="H177" i="13"/>
  <c r="I171" i="13"/>
  <c r="J171" i="13"/>
  <c r="K171" i="13"/>
  <c r="L171" i="13"/>
  <c r="M171" i="13"/>
  <c r="N171" i="13"/>
  <c r="O171" i="13"/>
  <c r="P171" i="13"/>
  <c r="Q171" i="13"/>
  <c r="R171" i="13"/>
  <c r="H171" i="13"/>
  <c r="I167" i="13"/>
  <c r="J167" i="13"/>
  <c r="K167" i="13"/>
  <c r="L167" i="13"/>
  <c r="M167" i="13"/>
  <c r="N167" i="13"/>
  <c r="O167" i="13"/>
  <c r="P167" i="13"/>
  <c r="Q167" i="13"/>
  <c r="R167" i="13"/>
  <c r="H167" i="13"/>
  <c r="I157" i="13"/>
  <c r="J157" i="13"/>
  <c r="K157" i="13"/>
  <c r="L157" i="13"/>
  <c r="M157" i="13"/>
  <c r="N157" i="13"/>
  <c r="O157" i="13"/>
  <c r="P157" i="13"/>
  <c r="Q157" i="13"/>
  <c r="R157" i="13"/>
  <c r="H157" i="13"/>
  <c r="K152" i="13"/>
  <c r="N152" i="13"/>
  <c r="O152" i="13"/>
  <c r="P152" i="13"/>
  <c r="Q152" i="13"/>
  <c r="H152" i="13"/>
  <c r="I147" i="13"/>
  <c r="J147" i="13"/>
  <c r="K147" i="13"/>
  <c r="L147" i="13"/>
  <c r="M147" i="13"/>
  <c r="N147" i="13"/>
  <c r="O147" i="13"/>
  <c r="P147" i="13"/>
  <c r="Q147" i="13"/>
  <c r="R147" i="13"/>
  <c r="H147" i="13"/>
  <c r="I142" i="13"/>
  <c r="J142" i="13"/>
  <c r="K142" i="13"/>
  <c r="L142" i="13"/>
  <c r="M142" i="13"/>
  <c r="N142" i="13"/>
  <c r="O142" i="13"/>
  <c r="P142" i="13"/>
  <c r="Q142" i="13"/>
  <c r="R142" i="13"/>
  <c r="H142" i="13"/>
  <c r="I137" i="13"/>
  <c r="J137" i="13"/>
  <c r="K137" i="13"/>
  <c r="L137" i="13"/>
  <c r="M137" i="13"/>
  <c r="N137" i="13"/>
  <c r="O137" i="13"/>
  <c r="P137" i="13"/>
  <c r="Q137" i="13"/>
  <c r="R137" i="13"/>
  <c r="H137" i="13"/>
  <c r="I131" i="13"/>
  <c r="J131" i="13"/>
  <c r="K131" i="13"/>
  <c r="L131" i="13"/>
  <c r="M131" i="13"/>
  <c r="N131" i="13"/>
  <c r="O131" i="13"/>
  <c r="P131" i="13"/>
  <c r="Q131" i="13"/>
  <c r="R131" i="13"/>
  <c r="H131" i="13"/>
  <c r="I125" i="13"/>
  <c r="J125" i="13"/>
  <c r="K125" i="13"/>
  <c r="L125" i="13"/>
  <c r="M125" i="13"/>
  <c r="N125" i="13"/>
  <c r="O125" i="13"/>
  <c r="P125" i="13"/>
  <c r="Q125" i="13"/>
  <c r="R125" i="13"/>
  <c r="H125" i="13"/>
  <c r="I121" i="13"/>
  <c r="J121" i="13"/>
  <c r="K121" i="13"/>
  <c r="L121" i="13"/>
  <c r="M121" i="13"/>
  <c r="N121" i="13"/>
  <c r="O121" i="13"/>
  <c r="P121" i="13"/>
  <c r="Q121" i="13"/>
  <c r="R121" i="13"/>
  <c r="H121" i="13"/>
  <c r="I117" i="13"/>
  <c r="J117" i="13"/>
  <c r="K117" i="13"/>
  <c r="L117" i="13"/>
  <c r="M117" i="13"/>
  <c r="N117" i="13"/>
  <c r="O117" i="13"/>
  <c r="P117" i="13"/>
  <c r="Q117" i="13"/>
  <c r="R117" i="13"/>
  <c r="H117" i="13"/>
  <c r="I112" i="13"/>
  <c r="J112" i="13"/>
  <c r="K112" i="13"/>
  <c r="L112" i="13"/>
  <c r="M112" i="13"/>
  <c r="N112" i="13"/>
  <c r="O112" i="13"/>
  <c r="P112" i="13"/>
  <c r="Q112" i="13"/>
  <c r="R112" i="13"/>
  <c r="H112" i="13"/>
  <c r="I105" i="13"/>
  <c r="J105" i="13"/>
  <c r="K105" i="13"/>
  <c r="L105" i="13"/>
  <c r="M105" i="13"/>
  <c r="N105" i="13"/>
  <c r="O105" i="13"/>
  <c r="P105" i="13"/>
  <c r="Q105" i="13"/>
  <c r="R105" i="13"/>
  <c r="H105" i="13"/>
  <c r="I101" i="13"/>
  <c r="J101" i="13"/>
  <c r="K101" i="13"/>
  <c r="L101" i="13"/>
  <c r="M101" i="13"/>
  <c r="N101" i="13"/>
  <c r="O101" i="13"/>
  <c r="P101" i="13"/>
  <c r="Q101" i="13"/>
  <c r="R101" i="13"/>
  <c r="H101" i="13"/>
  <c r="I96" i="13"/>
  <c r="J96" i="13"/>
  <c r="K96" i="13"/>
  <c r="L96" i="13"/>
  <c r="M96" i="13"/>
  <c r="N96" i="13"/>
  <c r="O96" i="13"/>
  <c r="P96" i="13"/>
  <c r="Q96" i="13"/>
  <c r="R96" i="13"/>
  <c r="H96" i="13"/>
  <c r="I93" i="13"/>
  <c r="J93" i="13"/>
  <c r="K93" i="13"/>
  <c r="L93" i="13"/>
  <c r="M93" i="13"/>
  <c r="N93" i="13"/>
  <c r="O93" i="13"/>
  <c r="P93" i="13"/>
  <c r="Q93" i="13"/>
  <c r="R93" i="13"/>
  <c r="H93" i="13"/>
  <c r="I87" i="13"/>
  <c r="J87" i="13"/>
  <c r="K87" i="13"/>
  <c r="L87" i="13"/>
  <c r="M87" i="13"/>
  <c r="N87" i="13"/>
  <c r="O87" i="13"/>
  <c r="P87" i="13"/>
  <c r="Q87" i="13"/>
  <c r="R87" i="13"/>
  <c r="H87" i="13"/>
  <c r="I83" i="13"/>
  <c r="J83" i="13"/>
  <c r="K83" i="13"/>
  <c r="L83" i="13"/>
  <c r="M83" i="13"/>
  <c r="N83" i="13"/>
  <c r="O83" i="13"/>
  <c r="P83" i="13"/>
  <c r="Q83" i="13"/>
  <c r="R83" i="13"/>
  <c r="H83" i="13"/>
  <c r="I78" i="13"/>
  <c r="J78" i="13"/>
  <c r="K78" i="13"/>
  <c r="L78" i="13"/>
  <c r="M78" i="13"/>
  <c r="N78" i="13"/>
  <c r="O78" i="13"/>
  <c r="P78" i="13"/>
  <c r="Q78" i="13"/>
  <c r="R78" i="13"/>
  <c r="H78" i="13"/>
  <c r="I72" i="13"/>
  <c r="J72" i="13"/>
  <c r="K72" i="13"/>
  <c r="L72" i="13"/>
  <c r="M72" i="13"/>
  <c r="N72" i="13"/>
  <c r="O72" i="13"/>
  <c r="P72" i="13"/>
  <c r="Q72" i="13"/>
  <c r="R72" i="13"/>
  <c r="H72" i="13"/>
  <c r="I66" i="13"/>
  <c r="J66" i="13"/>
  <c r="K66" i="13"/>
  <c r="L66" i="13"/>
  <c r="M66" i="13"/>
  <c r="N66" i="13"/>
  <c r="O66" i="13"/>
  <c r="P66" i="13"/>
  <c r="Q66" i="13"/>
  <c r="R66" i="13"/>
  <c r="H66" i="13"/>
  <c r="I62" i="13"/>
  <c r="J62" i="13"/>
  <c r="K62" i="13"/>
  <c r="L62" i="13"/>
  <c r="M62" i="13"/>
  <c r="O62" i="13"/>
  <c r="P62" i="13"/>
  <c r="H62" i="13"/>
  <c r="I57" i="13"/>
  <c r="J57" i="13"/>
  <c r="K57" i="13"/>
  <c r="L57" i="13"/>
  <c r="M57" i="13"/>
  <c r="O57" i="13"/>
  <c r="P57" i="13"/>
  <c r="H57" i="13"/>
  <c r="I52" i="13"/>
  <c r="J52" i="13"/>
  <c r="K52" i="13"/>
  <c r="L52" i="13"/>
  <c r="M52" i="13"/>
  <c r="N52" i="13"/>
  <c r="O52" i="13"/>
  <c r="P52" i="13"/>
  <c r="Q52" i="13"/>
  <c r="R52" i="13"/>
  <c r="H52" i="13"/>
  <c r="I47" i="13"/>
  <c r="J47" i="13"/>
  <c r="K47" i="13"/>
  <c r="L47" i="13"/>
  <c r="M47" i="13"/>
  <c r="N47" i="13"/>
  <c r="O47" i="13"/>
  <c r="P47" i="13"/>
  <c r="Q47" i="13"/>
  <c r="R47" i="13"/>
  <c r="H47" i="13"/>
  <c r="I43" i="13"/>
  <c r="J43" i="13"/>
  <c r="K43" i="13"/>
  <c r="L43" i="13"/>
  <c r="M43" i="13"/>
  <c r="N43" i="13"/>
  <c r="O43" i="13"/>
  <c r="P43" i="13"/>
  <c r="Q43" i="13"/>
  <c r="R43" i="13"/>
  <c r="H43" i="13"/>
  <c r="K35" i="13"/>
  <c r="O35" i="13"/>
  <c r="P35" i="13"/>
  <c r="H35" i="13"/>
  <c r="I29" i="13"/>
  <c r="J29" i="13"/>
  <c r="K29" i="13"/>
  <c r="L29" i="13"/>
  <c r="M29" i="13"/>
  <c r="N29" i="13"/>
  <c r="O29" i="13"/>
  <c r="P29" i="13"/>
  <c r="Q29" i="13"/>
  <c r="R29" i="13"/>
  <c r="H29" i="13"/>
  <c r="I25" i="13"/>
  <c r="J25" i="13"/>
  <c r="K25" i="13"/>
  <c r="L25" i="13"/>
  <c r="M25" i="13"/>
  <c r="N25" i="13"/>
  <c r="O25" i="13"/>
  <c r="P25" i="13"/>
  <c r="Q25" i="13"/>
  <c r="R25" i="13"/>
  <c r="H25" i="13"/>
  <c r="H19" i="13"/>
  <c r="H12" i="13"/>
  <c r="K19" i="13"/>
  <c r="O19" i="13"/>
  <c r="P19" i="13"/>
  <c r="J12" i="13"/>
  <c r="K12" i="13"/>
  <c r="L12" i="13"/>
  <c r="M12" i="13"/>
  <c r="O12" i="13"/>
  <c r="P12" i="13"/>
  <c r="Q12" i="13"/>
  <c r="R12" i="13"/>
  <c r="J14" i="14"/>
  <c r="R151" i="13"/>
  <c r="R152" i="13" s="1"/>
  <c r="J151" i="13"/>
  <c r="L151" i="13" s="1"/>
  <c r="I151" i="13"/>
  <c r="I152" i="13" s="1"/>
  <c r="Q111" i="13"/>
  <c r="P92" i="13"/>
  <c r="Q42" i="13"/>
  <c r="R42" i="13" s="1"/>
  <c r="N398" i="4"/>
  <c r="I317" i="4"/>
  <c r="M317" i="4"/>
  <c r="I240" i="4"/>
  <c r="H239" i="4"/>
  <c r="M239" i="4" s="1"/>
  <c r="M240" i="4" s="1"/>
  <c r="G239" i="4"/>
  <c r="I134" i="4"/>
  <c r="M134" i="4"/>
  <c r="N134" i="4"/>
  <c r="H133" i="4"/>
  <c r="G133" i="4"/>
  <c r="J133" i="4" s="1"/>
  <c r="K133" i="4" s="1"/>
  <c r="L133" i="4" s="1"/>
  <c r="J42" i="13"/>
  <c r="I42" i="13"/>
  <c r="L42" i="13" s="1"/>
  <c r="M42" i="13" s="1"/>
  <c r="N42" i="13" s="1"/>
  <c r="J239" i="4" l="1"/>
  <c r="L152" i="13"/>
  <c r="M151" i="13"/>
  <c r="M152" i="13" s="1"/>
  <c r="J152" i="13"/>
  <c r="O239" i="4"/>
  <c r="P239" i="4" s="1"/>
  <c r="J11" i="14" l="1"/>
  <c r="J8" i="14"/>
  <c r="K123" i="16"/>
  <c r="K119" i="16"/>
  <c r="K115" i="16"/>
  <c r="I238" i="13" l="1"/>
  <c r="J238" i="13"/>
  <c r="I194" i="13"/>
  <c r="J194" i="13"/>
  <c r="I193" i="13"/>
  <c r="J193" i="13"/>
  <c r="J140" i="13"/>
  <c r="I130" i="13"/>
  <c r="J130" i="13"/>
  <c r="I116" i="13"/>
  <c r="J116" i="13"/>
  <c r="J109" i="13"/>
  <c r="I41" i="13"/>
  <c r="J41" i="13"/>
  <c r="N238" i="4"/>
  <c r="N240" i="4" s="1"/>
  <c r="I351" i="4"/>
  <c r="M351" i="4"/>
  <c r="N351" i="4"/>
  <c r="G350" i="4"/>
  <c r="J350" i="4" s="1"/>
  <c r="K350" i="4" s="1"/>
  <c r="L350" i="4" s="1"/>
  <c r="H350" i="4"/>
  <c r="G238" i="4"/>
  <c r="H238" i="4"/>
  <c r="I26" i="16"/>
  <c r="I27" i="16" s="1"/>
  <c r="H26" i="16"/>
  <c r="H27" i="16" s="1"/>
  <c r="J27" i="16"/>
  <c r="G27" i="16"/>
  <c r="L238" i="13" l="1"/>
  <c r="M238" i="13" s="1"/>
  <c r="N238" i="13" s="1"/>
  <c r="Q238" i="13" s="1"/>
  <c r="R238" i="13" s="1"/>
  <c r="O350" i="4"/>
  <c r="P350" i="4" s="1"/>
  <c r="L130" i="13"/>
  <c r="M130" i="13" s="1"/>
  <c r="N130" i="13" s="1"/>
  <c r="Q130" i="13" s="1"/>
  <c r="R130" i="13" s="1"/>
  <c r="L194" i="13"/>
  <c r="M194" i="13" s="1"/>
  <c r="N194" i="13" s="1"/>
  <c r="Q194" i="13" s="1"/>
  <c r="R194" i="13" s="1"/>
  <c r="L193" i="13"/>
  <c r="M193" i="13" s="1"/>
  <c r="N193" i="13" s="1"/>
  <c r="Q193" i="13" s="1"/>
  <c r="R193" i="13" s="1"/>
  <c r="L116" i="13"/>
  <c r="M116" i="13" s="1"/>
  <c r="N116" i="13" s="1"/>
  <c r="Q116" i="13" s="1"/>
  <c r="R116" i="13" s="1"/>
  <c r="L41" i="13"/>
  <c r="M41" i="13" s="1"/>
  <c r="N41" i="13" s="1"/>
  <c r="Q41" i="13" s="1"/>
  <c r="R41" i="13" s="1"/>
  <c r="J238" i="4"/>
  <c r="K238" i="4" s="1"/>
  <c r="O238" i="4"/>
  <c r="P238" i="4" s="1"/>
  <c r="K26" i="16"/>
  <c r="K27" i="16" s="1"/>
  <c r="L26" i="16" l="1"/>
  <c r="L27" i="16" s="1"/>
  <c r="J56" i="13" l="1"/>
  <c r="I56" i="13"/>
  <c r="L56" i="13" l="1"/>
  <c r="M56" i="13" l="1"/>
  <c r="N56" i="13" s="1"/>
  <c r="N57" i="13" s="1"/>
  <c r="Q56" i="13" l="1"/>
  <c r="Q57" i="13" s="1"/>
  <c r="R56" i="13" l="1"/>
  <c r="R57" i="13" s="1"/>
  <c r="I121" i="4" l="1"/>
  <c r="M121" i="4"/>
  <c r="N121" i="4"/>
  <c r="H118" i="4"/>
  <c r="G118" i="4"/>
  <c r="I61" i="4"/>
  <c r="M61" i="4"/>
  <c r="N61" i="4"/>
  <c r="G53" i="4"/>
  <c r="H53" i="4"/>
  <c r="I53" i="4"/>
  <c r="M53" i="4"/>
  <c r="N53" i="4"/>
  <c r="I49" i="4"/>
  <c r="M49" i="4"/>
  <c r="I34" i="4"/>
  <c r="M34" i="4"/>
  <c r="N34" i="4"/>
  <c r="J118" i="4" l="1"/>
  <c r="K118" i="4" l="1"/>
  <c r="L118" i="4" l="1"/>
  <c r="O118" i="4" l="1"/>
  <c r="P118" i="4" s="1"/>
  <c r="J133" i="16" l="1"/>
  <c r="I133" i="16"/>
  <c r="H133" i="16"/>
  <c r="G133" i="16"/>
  <c r="K132" i="16"/>
  <c r="K133" i="16" s="1"/>
  <c r="L115" i="16"/>
  <c r="L116" i="16" s="1"/>
  <c r="J116" i="16"/>
  <c r="I116" i="16"/>
  <c r="H116" i="16"/>
  <c r="G116" i="16"/>
  <c r="K72" i="16"/>
  <c r="K73" i="16" s="1"/>
  <c r="J73" i="16"/>
  <c r="I73" i="16"/>
  <c r="H73" i="16"/>
  <c r="G73" i="16"/>
  <c r="J255" i="13"/>
  <c r="I255" i="13"/>
  <c r="J247" i="13"/>
  <c r="I247" i="13"/>
  <c r="I201" i="13"/>
  <c r="J201" i="13"/>
  <c r="I166" i="13"/>
  <c r="J166" i="13"/>
  <c r="J146" i="13"/>
  <c r="I146" i="13"/>
  <c r="J92" i="13"/>
  <c r="I92" i="13"/>
  <c r="L132" i="16" l="1"/>
  <c r="L133" i="16" s="1"/>
  <c r="K116" i="16"/>
  <c r="L72" i="16"/>
  <c r="L73" i="16" s="1"/>
  <c r="L255" i="13"/>
  <c r="L247" i="13"/>
  <c r="L201" i="13"/>
  <c r="M201" i="13" s="1"/>
  <c r="N201" i="13" s="1"/>
  <c r="Q201" i="13" s="1"/>
  <c r="R201" i="13" s="1"/>
  <c r="L166" i="13"/>
  <c r="M166" i="13" s="1"/>
  <c r="L146" i="13"/>
  <c r="M146" i="13" s="1"/>
  <c r="N146" i="13" s="1"/>
  <c r="Q146" i="13" s="1"/>
  <c r="R146" i="13" s="1"/>
  <c r="L92" i="13"/>
  <c r="N194" i="4"/>
  <c r="I194" i="4"/>
  <c r="M194" i="4"/>
  <c r="I326" i="4"/>
  <c r="M326" i="4"/>
  <c r="N326" i="4"/>
  <c r="G320" i="4"/>
  <c r="H320" i="4"/>
  <c r="I212" i="4"/>
  <c r="M212" i="4"/>
  <c r="N212" i="4"/>
  <c r="I187" i="4"/>
  <c r="M187" i="4"/>
  <c r="N187" i="4"/>
  <c r="H164" i="4"/>
  <c r="G164" i="4"/>
  <c r="G165" i="4" s="1"/>
  <c r="N165" i="4"/>
  <c r="M165" i="4"/>
  <c r="I165" i="4"/>
  <c r="H24" i="4"/>
  <c r="H23" i="4"/>
  <c r="G24" i="4"/>
  <c r="I25" i="4"/>
  <c r="M25" i="4"/>
  <c r="N25" i="4"/>
  <c r="A23" i="4"/>
  <c r="A24" i="4" s="1"/>
  <c r="A28" i="4" s="1"/>
  <c r="I20" i="4"/>
  <c r="M20" i="4"/>
  <c r="N20" i="4"/>
  <c r="G17" i="4"/>
  <c r="H17" i="4"/>
  <c r="G18" i="4"/>
  <c r="H18" i="4"/>
  <c r="G19" i="4"/>
  <c r="H19" i="4"/>
  <c r="J320" i="4" l="1"/>
  <c r="K320" i="4" s="1"/>
  <c r="M255" i="13"/>
  <c r="M247" i="13"/>
  <c r="N166" i="13"/>
  <c r="Q166" i="13" s="1"/>
  <c r="R166" i="13" s="1"/>
  <c r="M92" i="13"/>
  <c r="J164" i="4"/>
  <c r="J165" i="4" s="1"/>
  <c r="H165" i="4"/>
  <c r="J24" i="4"/>
  <c r="K24" i="4" s="1"/>
  <c r="L24" i="4" s="1"/>
  <c r="O24" i="4" s="1"/>
  <c r="P24" i="4" s="1"/>
  <c r="J17" i="4"/>
  <c r="K17" i="4" s="1"/>
  <c r="L17" i="4" s="1"/>
  <c r="O17" i="4" s="1"/>
  <c r="H25" i="4"/>
  <c r="J18" i="4"/>
  <c r="K18" i="4" s="1"/>
  <c r="L18" i="4" s="1"/>
  <c r="O18" i="4" s="1"/>
  <c r="P18" i="4" s="1"/>
  <c r="J19" i="4"/>
  <c r="K19" i="4" s="1"/>
  <c r="L19" i="4" s="1"/>
  <c r="P17" i="4" l="1"/>
  <c r="N255" i="13"/>
  <c r="N247" i="13"/>
  <c r="N92" i="13"/>
  <c r="L320" i="4"/>
  <c r="K164" i="4"/>
  <c r="K165" i="4" s="1"/>
  <c r="O19" i="4"/>
  <c r="P19" i="4" s="1"/>
  <c r="Q255" i="13" l="1"/>
  <c r="Q247" i="13"/>
  <c r="Q92" i="13"/>
  <c r="R92" i="13" s="1"/>
  <c r="O320" i="4"/>
  <c r="L164" i="4"/>
  <c r="L165" i="4" s="1"/>
  <c r="R255" i="13" l="1"/>
  <c r="R247" i="13"/>
  <c r="P320" i="4"/>
  <c r="O164" i="4"/>
  <c r="O165" i="4" s="1"/>
  <c r="P164" i="4" l="1"/>
  <c r="P165" i="4" s="1"/>
  <c r="K60" i="16" l="1"/>
  <c r="K10" i="16"/>
  <c r="J215" i="13"/>
  <c r="J170" i="13"/>
  <c r="J259" i="13"/>
  <c r="I259" i="13"/>
  <c r="I243" i="13"/>
  <c r="J243" i="13"/>
  <c r="J205" i="13"/>
  <c r="I205" i="13"/>
  <c r="J185" i="13"/>
  <c r="J145" i="13"/>
  <c r="I145" i="13"/>
  <c r="J135" i="13"/>
  <c r="J136" i="13"/>
  <c r="I135" i="13"/>
  <c r="I136" i="13"/>
  <c r="J134" i="13"/>
  <c r="J104" i="13"/>
  <c r="I104" i="13"/>
  <c r="J22" i="13"/>
  <c r="J17" i="13"/>
  <c r="H28" i="4"/>
  <c r="H210" i="4"/>
  <c r="I398" i="4"/>
  <c r="M398" i="4"/>
  <c r="G397" i="4"/>
  <c r="H397" i="4"/>
  <c r="M363" i="4"/>
  <c r="N363" i="4"/>
  <c r="M359" i="4"/>
  <c r="M355" i="4"/>
  <c r="I346" i="4"/>
  <c r="M346" i="4"/>
  <c r="G345" i="4"/>
  <c r="H345" i="4"/>
  <c r="G312" i="4"/>
  <c r="H312" i="4"/>
  <c r="G313" i="4"/>
  <c r="H313" i="4"/>
  <c r="G314" i="4"/>
  <c r="H314" i="4"/>
  <c r="G315" i="4"/>
  <c r="H315" i="4"/>
  <c r="G316" i="4"/>
  <c r="H316" i="4"/>
  <c r="G311" i="4"/>
  <c r="H311" i="4"/>
  <c r="M284" i="4"/>
  <c r="N284" i="4"/>
  <c r="M279" i="4"/>
  <c r="N279" i="4"/>
  <c r="I279" i="4"/>
  <c r="H278" i="4"/>
  <c r="G278" i="4"/>
  <c r="G279" i="4" s="1"/>
  <c r="M275" i="4"/>
  <c r="N275" i="4"/>
  <c r="M269" i="4"/>
  <c r="O314" i="4" l="1"/>
  <c r="O313" i="4"/>
  <c r="J315" i="4"/>
  <c r="K315" i="4" s="1"/>
  <c r="L315" i="4" s="1"/>
  <c r="J345" i="4"/>
  <c r="K345" i="4" s="1"/>
  <c r="J397" i="4"/>
  <c r="K397" i="4" s="1"/>
  <c r="L397" i="4" s="1"/>
  <c r="L259" i="13"/>
  <c r="L243" i="13"/>
  <c r="M243" i="13" s="1"/>
  <c r="L205" i="13"/>
  <c r="L135" i="13"/>
  <c r="M135" i="13" s="1"/>
  <c r="N135" i="13" s="1"/>
  <c r="Q135" i="13" s="1"/>
  <c r="R135" i="13" s="1"/>
  <c r="L145" i="13"/>
  <c r="L136" i="13"/>
  <c r="M136" i="13" s="1"/>
  <c r="N136" i="13" s="1"/>
  <c r="Q136" i="13" s="1"/>
  <c r="R136" i="13" s="1"/>
  <c r="L104" i="13"/>
  <c r="M104" i="13" s="1"/>
  <c r="J314" i="4"/>
  <c r="K314" i="4" s="1"/>
  <c r="L314" i="4" s="1"/>
  <c r="J313" i="4"/>
  <c r="K313" i="4" s="1"/>
  <c r="L313" i="4" s="1"/>
  <c r="J316" i="4"/>
  <c r="K316" i="4" s="1"/>
  <c r="L316" i="4" s="1"/>
  <c r="J311" i="4"/>
  <c r="K311" i="4" s="1"/>
  <c r="J312" i="4"/>
  <c r="K312" i="4" s="1"/>
  <c r="L312" i="4" s="1"/>
  <c r="H279" i="4"/>
  <c r="J278" i="4"/>
  <c r="M264" i="4"/>
  <c r="M255" i="4"/>
  <c r="M250" i="4"/>
  <c r="M244" i="4"/>
  <c r="N244" i="4"/>
  <c r="M234" i="4"/>
  <c r="N234" i="4"/>
  <c r="M230" i="4"/>
  <c r="M217" i="4"/>
  <c r="M203" i="4"/>
  <c r="H184" i="4"/>
  <c r="M182" i="4"/>
  <c r="N182" i="4"/>
  <c r="M178" i="4"/>
  <c r="M172" i="4"/>
  <c r="M161" i="4"/>
  <c r="N161" i="4"/>
  <c r="M156" i="4"/>
  <c r="M143" i="4"/>
  <c r="M128" i="4"/>
  <c r="M115" i="4"/>
  <c r="H105" i="4"/>
  <c r="M107" i="4"/>
  <c r="M99" i="4"/>
  <c r="M92" i="4"/>
  <c r="N92" i="4"/>
  <c r="M86" i="4"/>
  <c r="M80" i="4"/>
  <c r="M76" i="4"/>
  <c r="N76" i="4"/>
  <c r="M67" i="4"/>
  <c r="M41" i="4"/>
  <c r="H8" i="4"/>
  <c r="G16" i="4"/>
  <c r="H16" i="4"/>
  <c r="O316" i="4" l="1"/>
  <c r="P316" i="4" s="1"/>
  <c r="P313" i="4"/>
  <c r="O315" i="4"/>
  <c r="P315" i="4" s="1"/>
  <c r="P314" i="4"/>
  <c r="O312" i="4"/>
  <c r="P312" i="4" s="1"/>
  <c r="M259" i="13"/>
  <c r="N243" i="13"/>
  <c r="M205" i="13"/>
  <c r="N205" i="13" s="1"/>
  <c r="Q205" i="13" s="1"/>
  <c r="R205" i="13" s="1"/>
  <c r="M145" i="13"/>
  <c r="N104" i="13"/>
  <c r="O397" i="4"/>
  <c r="P397" i="4" s="1"/>
  <c r="L345" i="4"/>
  <c r="O345" i="4" s="1"/>
  <c r="L311" i="4"/>
  <c r="O311" i="4" s="1"/>
  <c r="J279" i="4"/>
  <c r="K278" i="4"/>
  <c r="L278" i="4" s="1"/>
  <c r="O278" i="4" s="1"/>
  <c r="J16" i="4"/>
  <c r="K16" i="4" s="1"/>
  <c r="L16" i="4" l="1"/>
  <c r="O16" i="4" s="1"/>
  <c r="P16" i="4" s="1"/>
  <c r="N259" i="13"/>
  <c r="Q259" i="13" s="1"/>
  <c r="Q243" i="13"/>
  <c r="R243" i="13" s="1"/>
  <c r="N145" i="13"/>
  <c r="Q104" i="13"/>
  <c r="P345" i="4"/>
  <c r="P311" i="4"/>
  <c r="K279" i="4"/>
  <c r="R259" i="13" l="1"/>
  <c r="Q145" i="13"/>
  <c r="R104" i="13"/>
  <c r="L279" i="4"/>
  <c r="R145" i="13" l="1"/>
  <c r="O279" i="4"/>
  <c r="P278" i="4"/>
  <c r="P279" i="4" s="1"/>
  <c r="K107" i="16" l="1"/>
  <c r="K22" i="16"/>
  <c r="P156" i="13"/>
  <c r="Q13" i="13"/>
  <c r="L17" i="13"/>
  <c r="M17" i="13" s="1"/>
  <c r="G378" i="4"/>
  <c r="H378" i="4"/>
  <c r="I374" i="4"/>
  <c r="N374" i="4"/>
  <c r="I369" i="4"/>
  <c r="N369" i="4"/>
  <c r="I363" i="4"/>
  <c r="I359" i="4"/>
  <c r="N359" i="4"/>
  <c r="I355" i="4"/>
  <c r="N355" i="4"/>
  <c r="I284" i="4"/>
  <c r="I275" i="4"/>
  <c r="I269" i="4"/>
  <c r="N269" i="4"/>
  <c r="I264" i="4"/>
  <c r="I259" i="4"/>
  <c r="N259" i="4"/>
  <c r="I255" i="4"/>
  <c r="I250" i="4"/>
  <c r="N250" i="4"/>
  <c r="I244" i="4"/>
  <c r="I234" i="4"/>
  <c r="I230" i="4"/>
  <c r="N230" i="4"/>
  <c r="G225" i="4"/>
  <c r="H225" i="4"/>
  <c r="I225" i="4"/>
  <c r="N225" i="4"/>
  <c r="I221" i="4"/>
  <c r="N221" i="4"/>
  <c r="I217" i="4"/>
  <c r="I207" i="4"/>
  <c r="N207" i="4"/>
  <c r="I203" i="4"/>
  <c r="I182" i="4"/>
  <c r="I178" i="4"/>
  <c r="N178" i="4"/>
  <c r="I172" i="4"/>
  <c r="N172" i="4"/>
  <c r="I161" i="4"/>
  <c r="I156" i="4"/>
  <c r="N156" i="4"/>
  <c r="I148" i="4"/>
  <c r="N148" i="4"/>
  <c r="I143" i="4"/>
  <c r="N143" i="4"/>
  <c r="I128" i="4"/>
  <c r="N128" i="4"/>
  <c r="I115" i="4"/>
  <c r="N115" i="4"/>
  <c r="I107" i="4"/>
  <c r="N107" i="4"/>
  <c r="I103" i="4"/>
  <c r="N103" i="4"/>
  <c r="I99" i="4"/>
  <c r="I92" i="4"/>
  <c r="I86" i="4"/>
  <c r="N86" i="4"/>
  <c r="I80" i="4"/>
  <c r="I76" i="4"/>
  <c r="I67" i="4"/>
  <c r="I41" i="4"/>
  <c r="J35" i="4"/>
  <c r="K35" i="4" s="1"/>
  <c r="L35" i="4" s="1"/>
  <c r="O35" i="4" s="1"/>
  <c r="J43" i="4"/>
  <c r="J52" i="4"/>
  <c r="J53" i="4" s="1"/>
  <c r="J96" i="4"/>
  <c r="K96" i="4" s="1"/>
  <c r="J105" i="4"/>
  <c r="K105" i="4" s="1"/>
  <c r="L105" i="4" s="1"/>
  <c r="J132" i="4"/>
  <c r="K132" i="4" s="1"/>
  <c r="L132" i="4" s="1"/>
  <c r="J151" i="4"/>
  <c r="K151" i="4" s="1"/>
  <c r="J159" i="4"/>
  <c r="K159" i="4" s="1"/>
  <c r="J184" i="4"/>
  <c r="J224" i="4"/>
  <c r="K224" i="4" s="1"/>
  <c r="O1000248" i="4"/>
  <c r="K43" i="4" l="1"/>
  <c r="L224" i="4"/>
  <c r="O224" i="4" s="1"/>
  <c r="O225" i="4" s="1"/>
  <c r="K225" i="4"/>
  <c r="K184" i="4"/>
  <c r="N17" i="13"/>
  <c r="Q17" i="13" s="1"/>
  <c r="L159" i="4"/>
  <c r="O159" i="4" s="1"/>
  <c r="L151" i="4"/>
  <c r="O151" i="4" s="1"/>
  <c r="L96" i="4"/>
  <c r="O96" i="4" s="1"/>
  <c r="J378" i="4"/>
  <c r="K378" i="4" s="1"/>
  <c r="J225" i="4"/>
  <c r="N41" i="4"/>
  <c r="K52" i="4"/>
  <c r="K53" i="4" s="1"/>
  <c r="L225" i="4" l="1"/>
  <c r="L43" i="4"/>
  <c r="O43" i="4" s="1"/>
  <c r="L184" i="4"/>
  <c r="O184" i="4" s="1"/>
  <c r="O378" i="4"/>
  <c r="P378" i="4" s="1"/>
  <c r="O105" i="4"/>
  <c r="L52" i="4"/>
  <c r="L53" i="4" s="1"/>
  <c r="O52" i="4" l="1"/>
  <c r="O53" i="4" s="1"/>
  <c r="I215" i="13" l="1"/>
  <c r="L215" i="13" l="1"/>
  <c r="N346" i="4"/>
  <c r="H283" i="4"/>
  <c r="N202" i="4"/>
  <c r="N203" i="4" s="1"/>
  <c r="M215" i="13" l="1"/>
  <c r="O132" i="4"/>
  <c r="N215" i="13" l="1"/>
  <c r="G14" i="14"/>
  <c r="H14" i="14"/>
  <c r="I14" i="14"/>
  <c r="F14" i="14"/>
  <c r="L13" i="14"/>
  <c r="K13" i="14"/>
  <c r="G13" i="14"/>
  <c r="H13" i="14"/>
  <c r="P33" i="13"/>
  <c r="R17" i="13"/>
  <c r="A16" i="13"/>
  <c r="A17" i="13" s="1"/>
  <c r="Q215" i="13" l="1"/>
  <c r="N215" i="4"/>
  <c r="N217" i="4" s="1"/>
  <c r="N97" i="4"/>
  <c r="N99" i="4" s="1"/>
  <c r="N44" i="4"/>
  <c r="N49" i="4" s="1"/>
  <c r="H84" i="4"/>
  <c r="G84" i="4"/>
  <c r="R215" i="13" l="1"/>
  <c r="J84" i="4"/>
  <c r="K84" i="4" s="1"/>
  <c r="N80" i="4"/>
  <c r="P86" i="13"/>
  <c r="L84" i="4" l="1"/>
  <c r="O84" i="4" s="1"/>
  <c r="P84" i="4" s="1"/>
  <c r="N291" i="4"/>
  <c r="N255" i="4"/>
  <c r="G177" i="4"/>
  <c r="H177" i="4"/>
  <c r="H120" i="4"/>
  <c r="G120" i="4"/>
  <c r="H160" i="4"/>
  <c r="H161" i="4" s="1"/>
  <c r="G160" i="4"/>
  <c r="G310" i="4"/>
  <c r="H310" i="4"/>
  <c r="G14" i="4"/>
  <c r="H14" i="4"/>
  <c r="N317" i="4" l="1"/>
  <c r="J120" i="4"/>
  <c r="K120" i="4" s="1"/>
  <c r="J177" i="4"/>
  <c r="K177" i="4" s="1"/>
  <c r="J160" i="4"/>
  <c r="J310" i="4"/>
  <c r="J14" i="4"/>
  <c r="K14" i="4" s="1"/>
  <c r="L14" i="4" s="1"/>
  <c r="G161" i="4"/>
  <c r="K310" i="4" l="1"/>
  <c r="L310" i="4" s="1"/>
  <c r="L177" i="4"/>
  <c r="O177" i="4" s="1"/>
  <c r="P177" i="4" s="1"/>
  <c r="L120" i="4"/>
  <c r="O120" i="4" s="1"/>
  <c r="P120" i="4" s="1"/>
  <c r="O14" i="4"/>
  <c r="K160" i="4"/>
  <c r="L160" i="4" s="1"/>
  <c r="J161" i="4"/>
  <c r="P310" i="4" l="1"/>
  <c r="O310" i="4"/>
  <c r="P14" i="4"/>
  <c r="K161" i="4"/>
  <c r="G139" i="16"/>
  <c r="G125" i="16"/>
  <c r="G88" i="16"/>
  <c r="G83" i="16"/>
  <c r="G78" i="16"/>
  <c r="B10" i="16"/>
  <c r="H88" i="16"/>
  <c r="I88" i="16"/>
  <c r="J88" i="16"/>
  <c r="K87" i="16"/>
  <c r="L87" i="16" s="1"/>
  <c r="H83" i="16"/>
  <c r="I83" i="16"/>
  <c r="J83" i="16"/>
  <c r="K82" i="16"/>
  <c r="L82" i="16" s="1"/>
  <c r="J129" i="16"/>
  <c r="I129" i="16"/>
  <c r="H129" i="16"/>
  <c r="G129" i="16"/>
  <c r="K128" i="16"/>
  <c r="L128" i="16" s="1"/>
  <c r="L129" i="16" s="1"/>
  <c r="H139" i="16"/>
  <c r="I139" i="16"/>
  <c r="J139" i="16"/>
  <c r="K138" i="16"/>
  <c r="L138" i="16" s="1"/>
  <c r="K137" i="16"/>
  <c r="O160" i="4" l="1"/>
  <c r="O161" i="4" s="1"/>
  <c r="L161" i="4"/>
  <c r="K139" i="16"/>
  <c r="K129" i="16"/>
  <c r="J96" i="16" l="1"/>
  <c r="I96" i="16"/>
  <c r="H96" i="16"/>
  <c r="G96" i="16"/>
  <c r="K95" i="16"/>
  <c r="K96" i="16" s="1"/>
  <c r="L95" i="16" l="1"/>
  <c r="L96" i="16" s="1"/>
  <c r="I22" i="13" l="1"/>
  <c r="J16" i="13"/>
  <c r="I16" i="13"/>
  <c r="A23" i="13"/>
  <c r="J18" i="13"/>
  <c r="J19" i="13" s="1"/>
  <c r="I18" i="13"/>
  <c r="I19" i="13" s="1"/>
  <c r="N263" i="4"/>
  <c r="N264" i="4" s="1"/>
  <c r="L22" i="13" l="1"/>
  <c r="M22" i="13" s="1"/>
  <c r="N22" i="13" s="1"/>
  <c r="L16" i="13"/>
  <c r="M16" i="13" s="1"/>
  <c r="L18" i="13"/>
  <c r="M18" i="13" l="1"/>
  <c r="M19" i="13" s="1"/>
  <c r="L19" i="13"/>
  <c r="N18" i="13"/>
  <c r="Q16" i="13"/>
  <c r="R16" i="13" s="1"/>
  <c r="G202" i="4"/>
  <c r="H202" i="4"/>
  <c r="Q18" i="13" l="1"/>
  <c r="N19" i="13"/>
  <c r="N262" i="13" s="1"/>
  <c r="Q22" i="13"/>
  <c r="J202" i="4"/>
  <c r="K202" i="4" s="1"/>
  <c r="N67" i="4"/>
  <c r="R18" i="13" l="1"/>
  <c r="R19" i="13" s="1"/>
  <c r="R262" i="13" s="1"/>
  <c r="Q19" i="13"/>
  <c r="Q262" i="13" s="1"/>
  <c r="L202" i="4"/>
  <c r="O202" i="4" s="1"/>
  <c r="P202" i="4" s="1"/>
  <c r="J95" i="13"/>
  <c r="I95" i="13"/>
  <c r="I190" i="13"/>
  <c r="J190" i="13"/>
  <c r="I176" i="13"/>
  <c r="J176" i="13"/>
  <c r="I111" i="13"/>
  <c r="J111" i="13"/>
  <c r="L190" i="13" l="1"/>
  <c r="M190" i="13" s="1"/>
  <c r="L111" i="13"/>
  <c r="M111" i="13" s="1"/>
  <c r="L176" i="13"/>
  <c r="M176" i="13" s="1"/>
  <c r="L95" i="13"/>
  <c r="N190" i="13" l="1"/>
  <c r="Q190" i="13" s="1"/>
  <c r="R190" i="13" s="1"/>
  <c r="N176" i="13"/>
  <c r="Q176" i="13" s="1"/>
  <c r="R176" i="13" s="1"/>
  <c r="R111" i="13"/>
  <c r="M95" i="13"/>
  <c r="K111" i="16" l="1"/>
  <c r="K112" i="16" s="1"/>
  <c r="Q95" i="13" l="1"/>
  <c r="L111" i="16"/>
  <c r="L112" i="16" s="1"/>
  <c r="R95" i="13" l="1"/>
  <c r="J228" i="13"/>
  <c r="I228" i="13"/>
  <c r="J24" i="13"/>
  <c r="I24" i="13"/>
  <c r="J10" i="13"/>
  <c r="I10" i="13"/>
  <c r="I9" i="13"/>
  <c r="L10" i="13" l="1"/>
  <c r="M10" i="13" s="1"/>
  <c r="N10" i="13" s="1"/>
  <c r="L24" i="13"/>
  <c r="M24" i="13" s="1"/>
  <c r="L228" i="13"/>
  <c r="M228" i="13" s="1"/>
  <c r="N228" i="13" s="1"/>
  <c r="Q228" i="13" s="1"/>
  <c r="R228" i="13" s="1"/>
  <c r="N24" i="13" l="1"/>
  <c r="Q24" i="13" s="1"/>
  <c r="R24" i="13" s="1"/>
  <c r="Q10" i="13"/>
  <c r="G344" i="4"/>
  <c r="H344" i="4"/>
  <c r="R10" i="13" l="1"/>
  <c r="J344" i="4"/>
  <c r="K344" i="4" s="1"/>
  <c r="H186" i="4"/>
  <c r="G186" i="4"/>
  <c r="H112" i="4"/>
  <c r="G112" i="4"/>
  <c r="H85" i="4"/>
  <c r="G85" i="4"/>
  <c r="H59" i="4"/>
  <c r="G59" i="4"/>
  <c r="G64" i="4"/>
  <c r="H64" i="4"/>
  <c r="G65" i="4"/>
  <c r="H65" i="4"/>
  <c r="P43" i="4"/>
  <c r="P96" i="4"/>
  <c r="L344" i="4" l="1"/>
  <c r="O344" i="4" s="1"/>
  <c r="P344" i="4" s="1"/>
  <c r="J59" i="4"/>
  <c r="K59" i="4" s="1"/>
  <c r="L59" i="4" s="1"/>
  <c r="J186" i="4"/>
  <c r="K186" i="4" s="1"/>
  <c r="J85" i="4"/>
  <c r="K85" i="4" s="1"/>
  <c r="J64" i="4"/>
  <c r="K64" i="4" s="1"/>
  <c r="L64" i="4" s="1"/>
  <c r="J65" i="4"/>
  <c r="K65" i="4" s="1"/>
  <c r="J112" i="4"/>
  <c r="K112" i="4" s="1"/>
  <c r="L186" i="4" l="1"/>
  <c r="O186" i="4" s="1"/>
  <c r="P186" i="4" s="1"/>
  <c r="L112" i="4"/>
  <c r="O112" i="4" s="1"/>
  <c r="P112" i="4" s="1"/>
  <c r="L65" i="4"/>
  <c r="O65" i="4" s="1"/>
  <c r="P65" i="4" s="1"/>
  <c r="L85" i="4"/>
  <c r="O85" i="4" s="1"/>
  <c r="P85" i="4" s="1"/>
  <c r="O59" i="4"/>
  <c r="P59" i="4" s="1"/>
  <c r="J75" i="13"/>
  <c r="I75" i="13"/>
  <c r="J32" i="13"/>
  <c r="I32" i="13"/>
  <c r="J120" i="16"/>
  <c r="I120" i="16"/>
  <c r="H120" i="16"/>
  <c r="G120" i="16"/>
  <c r="K120" i="16"/>
  <c r="L32" i="13" l="1"/>
  <c r="L75" i="13"/>
  <c r="O64" i="4"/>
  <c r="L119" i="16"/>
  <c r="L120" i="16" s="1"/>
  <c r="K81" i="16"/>
  <c r="K83" i="16" s="1"/>
  <c r="J61" i="16"/>
  <c r="I61" i="16"/>
  <c r="H61" i="16"/>
  <c r="G61" i="16"/>
  <c r="K61" i="16"/>
  <c r="K64" i="16"/>
  <c r="L64" i="16" s="1"/>
  <c r="L65" i="16" s="1"/>
  <c r="G65" i="16"/>
  <c r="H65" i="16"/>
  <c r="I65" i="16"/>
  <c r="J65" i="16"/>
  <c r="K68" i="16"/>
  <c r="K69" i="16" s="1"/>
  <c r="G69" i="16"/>
  <c r="H69" i="16"/>
  <c r="I69" i="16"/>
  <c r="J69" i="16"/>
  <c r="H191" i="4"/>
  <c r="G191" i="4"/>
  <c r="H190" i="4"/>
  <c r="G190" i="4"/>
  <c r="H137" i="4"/>
  <c r="G137" i="4"/>
  <c r="H91" i="4"/>
  <c r="G91" i="4"/>
  <c r="H40" i="4"/>
  <c r="G40" i="4"/>
  <c r="M75" i="13" l="1"/>
  <c r="N75" i="13" s="1"/>
  <c r="J40" i="4"/>
  <c r="K40" i="4" s="1"/>
  <c r="J191" i="4"/>
  <c r="K191" i="4" s="1"/>
  <c r="M32" i="13"/>
  <c r="N32" i="13" s="1"/>
  <c r="J137" i="4"/>
  <c r="K137" i="4" s="1"/>
  <c r="L137" i="4" s="1"/>
  <c r="J91" i="4"/>
  <c r="K91" i="4" s="1"/>
  <c r="J190" i="4"/>
  <c r="P64" i="4"/>
  <c r="L68" i="16"/>
  <c r="L69" i="16" s="1"/>
  <c r="L81" i="16"/>
  <c r="L83" i="16" s="1"/>
  <c r="K65" i="16"/>
  <c r="L60" i="16"/>
  <c r="L61" i="16" s="1"/>
  <c r="L40" i="4" l="1"/>
  <c r="O40" i="4" s="1"/>
  <c r="P40" i="4" s="1"/>
  <c r="L191" i="4"/>
  <c r="O191" i="4" s="1"/>
  <c r="P191" i="4" s="1"/>
  <c r="L91" i="4"/>
  <c r="O91" i="4" s="1"/>
  <c r="P91" i="4" s="1"/>
  <c r="K190" i="4"/>
  <c r="L190" i="4" l="1"/>
  <c r="Q75" i="13"/>
  <c r="Q32" i="13"/>
  <c r="R32" i="13" s="1"/>
  <c r="O137" i="4"/>
  <c r="J141" i="13"/>
  <c r="I141" i="13"/>
  <c r="I140" i="13"/>
  <c r="L140" i="13" l="1"/>
  <c r="R75" i="13"/>
  <c r="L141" i="13"/>
  <c r="M141" i="13" s="1"/>
  <c r="O190" i="4"/>
  <c r="P137" i="4"/>
  <c r="N141" i="13" l="1"/>
  <c r="Q141" i="13" s="1"/>
  <c r="R141" i="13" s="1"/>
  <c r="M140" i="13"/>
  <c r="N140" i="13" s="1"/>
  <c r="P190" i="4"/>
  <c r="G325" i="4"/>
  <c r="H325" i="4"/>
  <c r="J325" i="4" l="1"/>
  <c r="K325" i="4" s="1"/>
  <c r="L325" i="4" s="1"/>
  <c r="O325" i="4" s="1"/>
  <c r="P325" i="4" s="1"/>
  <c r="K77" i="16"/>
  <c r="Q140" i="13" l="1"/>
  <c r="J19" i="16"/>
  <c r="G19" i="16"/>
  <c r="I18" i="16"/>
  <c r="I19" i="16" s="1"/>
  <c r="H18" i="16"/>
  <c r="H19" i="16" s="1"/>
  <c r="K18" i="16" l="1"/>
  <c r="K19" i="16" s="1"/>
  <c r="L18" i="16" l="1"/>
  <c r="L19" i="16" s="1"/>
  <c r="J156" i="13" l="1"/>
  <c r="I156" i="13"/>
  <c r="J211" i="13"/>
  <c r="I211" i="13"/>
  <c r="L156" i="13" l="1"/>
  <c r="L211" i="13"/>
  <c r="K53" i="16"/>
  <c r="H78" i="16"/>
  <c r="I78" i="16"/>
  <c r="J78" i="16"/>
  <c r="K57" i="16"/>
  <c r="L57" i="16" s="1"/>
  <c r="M156" i="13" l="1"/>
  <c r="M211" i="13"/>
  <c r="J115" i="13"/>
  <c r="I115" i="13"/>
  <c r="I124" i="13"/>
  <c r="J124" i="13"/>
  <c r="I199" i="13"/>
  <c r="J199" i="13"/>
  <c r="G248" i="4"/>
  <c r="H248" i="4"/>
  <c r="Q156" i="13" l="1"/>
  <c r="L199" i="13"/>
  <c r="M199" i="13" s="1"/>
  <c r="L115" i="13"/>
  <c r="L124" i="13"/>
  <c r="J248" i="4"/>
  <c r="K248" i="4" s="1"/>
  <c r="R156" i="13" l="1"/>
  <c r="Q211" i="13"/>
  <c r="N199" i="13"/>
  <c r="Q199" i="13" s="1"/>
  <c r="R199" i="13" s="1"/>
  <c r="M124" i="13"/>
  <c r="N124" i="13" s="1"/>
  <c r="M115" i="13"/>
  <c r="L248" i="4"/>
  <c r="O248" i="4" s="1"/>
  <c r="P248" i="4" s="1"/>
  <c r="J232" i="13"/>
  <c r="I232" i="13"/>
  <c r="J82" i="13"/>
  <c r="I82" i="13"/>
  <c r="J233" i="13"/>
  <c r="I233" i="13"/>
  <c r="J242" i="13"/>
  <c r="I242" i="13"/>
  <c r="I237" i="13"/>
  <c r="J223" i="13"/>
  <c r="I223" i="13"/>
  <c r="H379" i="4"/>
  <c r="H380" i="4"/>
  <c r="H381" i="4"/>
  <c r="H382" i="4"/>
  <c r="H383" i="4"/>
  <c r="H384" i="4"/>
  <c r="H385" i="4"/>
  <c r="H386" i="4"/>
  <c r="H387" i="4"/>
  <c r="H388" i="4"/>
  <c r="H389" i="4"/>
  <c r="H390" i="4"/>
  <c r="H391" i="4"/>
  <c r="H392" i="4"/>
  <c r="H393" i="4"/>
  <c r="H394" i="4"/>
  <c r="H395" i="4"/>
  <c r="H396" i="4"/>
  <c r="H377" i="4"/>
  <c r="G367" i="4"/>
  <c r="H367" i="4"/>
  <c r="G368" i="4"/>
  <c r="H368" i="4"/>
  <c r="I191" i="13"/>
  <c r="J191" i="13"/>
  <c r="I128" i="13"/>
  <c r="J128" i="13"/>
  <c r="J40" i="13"/>
  <c r="I40" i="13"/>
  <c r="I77" i="13"/>
  <c r="J77" i="13"/>
  <c r="J65" i="13"/>
  <c r="I65" i="13"/>
  <c r="J28" i="13"/>
  <c r="I28" i="13"/>
  <c r="J9" i="13"/>
  <c r="J92" i="16"/>
  <c r="I92" i="16"/>
  <c r="H92" i="16"/>
  <c r="G92" i="16"/>
  <c r="K91" i="16"/>
  <c r="K92" i="16" s="1"/>
  <c r="L137" i="16"/>
  <c r="L139" i="16" s="1"/>
  <c r="K99" i="16"/>
  <c r="K100" i="16" s="1"/>
  <c r="K29" i="16"/>
  <c r="K30" i="16" s="1"/>
  <c r="J30" i="16"/>
  <c r="I30" i="16"/>
  <c r="H30" i="16"/>
  <c r="G30" i="16"/>
  <c r="J15" i="16"/>
  <c r="G15" i="16"/>
  <c r="I14" i="16"/>
  <c r="I15" i="16" s="1"/>
  <c r="H14" i="16"/>
  <c r="G11" i="16"/>
  <c r="K11" i="16"/>
  <c r="J11" i="16"/>
  <c r="I11" i="16"/>
  <c r="H29" i="4"/>
  <c r="N29" i="4"/>
  <c r="G291" i="4"/>
  <c r="H291" i="4"/>
  <c r="G292" i="4"/>
  <c r="H292" i="4"/>
  <c r="G293" i="4"/>
  <c r="H293" i="4"/>
  <c r="G294" i="4"/>
  <c r="H294" i="4"/>
  <c r="G295" i="4"/>
  <c r="H295" i="4"/>
  <c r="G296" i="4"/>
  <c r="H296" i="4"/>
  <c r="G297" i="4"/>
  <c r="H297" i="4"/>
  <c r="G298" i="4"/>
  <c r="H298" i="4"/>
  <c r="G299" i="4"/>
  <c r="H299" i="4"/>
  <c r="G300" i="4"/>
  <c r="H300" i="4"/>
  <c r="G301" i="4"/>
  <c r="H301" i="4"/>
  <c r="G302" i="4"/>
  <c r="H302" i="4"/>
  <c r="G303" i="4"/>
  <c r="H303" i="4"/>
  <c r="G304" i="4"/>
  <c r="H304" i="4"/>
  <c r="G305" i="4"/>
  <c r="H305" i="4"/>
  <c r="G306" i="4"/>
  <c r="H306" i="4"/>
  <c r="G307" i="4"/>
  <c r="H307" i="4"/>
  <c r="G308" i="4"/>
  <c r="H308" i="4"/>
  <c r="G309" i="4"/>
  <c r="H309" i="4"/>
  <c r="G290" i="4"/>
  <c r="G288" i="4"/>
  <c r="G286" i="4"/>
  <c r="H286" i="4"/>
  <c r="G287" i="4"/>
  <c r="H287" i="4"/>
  <c r="H288" i="4"/>
  <c r="O288" i="4" s="1"/>
  <c r="G289" i="4"/>
  <c r="H289" i="4"/>
  <c r="H290" i="4"/>
  <c r="H119" i="4"/>
  <c r="H121" i="4" s="1"/>
  <c r="H114" i="4"/>
  <c r="G111" i="4"/>
  <c r="H317" i="4" l="1"/>
  <c r="G317" i="4"/>
  <c r="J287" i="4"/>
  <c r="H398" i="4"/>
  <c r="L128" i="13"/>
  <c r="L233" i="13"/>
  <c r="M233" i="13" s="1"/>
  <c r="R211" i="13"/>
  <c r="L82" i="13"/>
  <c r="M82" i="13" s="1"/>
  <c r="L77" i="13"/>
  <c r="M77" i="13" s="1"/>
  <c r="N115" i="13"/>
  <c r="L191" i="13"/>
  <c r="L223" i="13"/>
  <c r="L28" i="13"/>
  <c r="L232" i="13"/>
  <c r="L40" i="13"/>
  <c r="L65" i="13"/>
  <c r="L242" i="13"/>
  <c r="L9" i="13"/>
  <c r="M9" i="13" s="1"/>
  <c r="J293" i="4"/>
  <c r="J297" i="4"/>
  <c r="J308" i="4"/>
  <c r="J305" i="4"/>
  <c r="J301" i="4"/>
  <c r="J286" i="4"/>
  <c r="J307" i="4"/>
  <c r="J304" i="4"/>
  <c r="J300" i="4"/>
  <c r="J296" i="4"/>
  <c r="J292" i="4"/>
  <c r="J303" i="4"/>
  <c r="J299" i="4"/>
  <c r="J295" i="4"/>
  <c r="J291" i="4"/>
  <c r="J309" i="4"/>
  <c r="J306" i="4"/>
  <c r="J302" i="4"/>
  <c r="J298" i="4"/>
  <c r="J294" i="4"/>
  <c r="J290" i="4"/>
  <c r="K290" i="4" s="1"/>
  <c r="J289" i="4"/>
  <c r="J368" i="4"/>
  <c r="K368" i="4" s="1"/>
  <c r="L368" i="4" s="1"/>
  <c r="O368" i="4" s="1"/>
  <c r="P368" i="4" s="1"/>
  <c r="J288" i="4"/>
  <c r="K288" i="4" s="1"/>
  <c r="J367" i="4"/>
  <c r="K367" i="4" s="1"/>
  <c r="L367" i="4" s="1"/>
  <c r="O367" i="4" s="1"/>
  <c r="P367" i="4" s="1"/>
  <c r="R140" i="13"/>
  <c r="L91" i="16"/>
  <c r="L92" i="16" s="1"/>
  <c r="K14" i="16"/>
  <c r="K15" i="16" s="1"/>
  <c r="L29" i="16"/>
  <c r="L30" i="16" s="1"/>
  <c r="H15" i="16"/>
  <c r="L10" i="16"/>
  <c r="L11" i="16" s="1"/>
  <c r="H11" i="16"/>
  <c r="G8" i="4"/>
  <c r="G9" i="4"/>
  <c r="H9" i="4"/>
  <c r="G10" i="4"/>
  <c r="H10" i="4"/>
  <c r="H12" i="4"/>
  <c r="G12" i="4"/>
  <c r="G13" i="4"/>
  <c r="H13" i="4"/>
  <c r="G11" i="4"/>
  <c r="J317" i="4" l="1"/>
  <c r="M128" i="13"/>
  <c r="K289" i="4"/>
  <c r="L289" i="4" s="1"/>
  <c r="O289" i="4" s="1"/>
  <c r="K294" i="4"/>
  <c r="L294" i="4" s="1"/>
  <c r="O294" i="4" s="1"/>
  <c r="K301" i="4"/>
  <c r="L301" i="4" s="1"/>
  <c r="O301" i="4" s="1"/>
  <c r="K305" i="4"/>
  <c r="L305" i="4" s="1"/>
  <c r="O305" i="4" s="1"/>
  <c r="K295" i="4"/>
  <c r="L295" i="4" s="1"/>
  <c r="O295" i="4" s="1"/>
  <c r="K299" i="4"/>
  <c r="L299" i="4" s="1"/>
  <c r="O299" i="4" s="1"/>
  <c r="K302" i="4"/>
  <c r="L302" i="4" s="1"/>
  <c r="O302" i="4" s="1"/>
  <c r="K308" i="4"/>
  <c r="L308" i="4" s="1"/>
  <c r="O308" i="4" s="1"/>
  <c r="K287" i="4"/>
  <c r="L287" i="4" s="1"/>
  <c r="O287" i="4" s="1"/>
  <c r="K306" i="4"/>
  <c r="L306" i="4" s="1"/>
  <c r="O306" i="4" s="1"/>
  <c r="K297" i="4"/>
  <c r="L297" i="4" s="1"/>
  <c r="O297" i="4" s="1"/>
  <c r="K307" i="4"/>
  <c r="L307" i="4" s="1"/>
  <c r="O307" i="4" s="1"/>
  <c r="K292" i="4"/>
  <c r="L292" i="4" s="1"/>
  <c r="O292" i="4" s="1"/>
  <c r="K300" i="4"/>
  <c r="L300" i="4" s="1"/>
  <c r="O300" i="4" s="1"/>
  <c r="K303" i="4"/>
  <c r="L303" i="4" s="1"/>
  <c r="O303" i="4" s="1"/>
  <c r="K298" i="4"/>
  <c r="L298" i="4" s="1"/>
  <c r="O298" i="4" s="1"/>
  <c r="K296" i="4"/>
  <c r="L296" i="4" s="1"/>
  <c r="O296" i="4" s="1"/>
  <c r="K309" i="4"/>
  <c r="L309" i="4" s="1"/>
  <c r="O309" i="4" s="1"/>
  <c r="K293" i="4"/>
  <c r="L293" i="4" s="1"/>
  <c r="O293" i="4" s="1"/>
  <c r="K291" i="4"/>
  <c r="L291" i="4" s="1"/>
  <c r="O291" i="4" s="1"/>
  <c r="K304" i="4"/>
  <c r="L304" i="4" s="1"/>
  <c r="O304" i="4" s="1"/>
  <c r="N233" i="13"/>
  <c r="N77" i="13"/>
  <c r="Q77" i="13" s="1"/>
  <c r="R77" i="13" s="1"/>
  <c r="N9" i="13"/>
  <c r="N82" i="13"/>
  <c r="M40" i="13"/>
  <c r="N40" i="13" s="1"/>
  <c r="Q115" i="13"/>
  <c r="M65" i="13"/>
  <c r="N65" i="13" s="1"/>
  <c r="M232" i="13"/>
  <c r="Q124" i="13"/>
  <c r="M223" i="13"/>
  <c r="N223" i="13" s="1"/>
  <c r="K286" i="4"/>
  <c r="M242" i="13"/>
  <c r="M191" i="13"/>
  <c r="N191" i="13" s="1"/>
  <c r="M28" i="13"/>
  <c r="L290" i="4"/>
  <c r="O290" i="4" s="1"/>
  <c r="J8" i="4"/>
  <c r="J12" i="4"/>
  <c r="K12" i="4" s="1"/>
  <c r="L12" i="4" s="1"/>
  <c r="J9" i="4"/>
  <c r="K9" i="4" s="1"/>
  <c r="L9" i="4" s="1"/>
  <c r="J10" i="4"/>
  <c r="K10" i="4" s="1"/>
  <c r="L10" i="4" s="1"/>
  <c r="J13" i="4"/>
  <c r="K13" i="4" s="1"/>
  <c r="L13" i="4" s="1"/>
  <c r="L14" i="16"/>
  <c r="L15" i="16" s="1"/>
  <c r="L286" i="4" l="1"/>
  <c r="K317" i="4"/>
  <c r="N128" i="13"/>
  <c r="Q128" i="13" s="1"/>
  <c r="R128" i="13" s="1"/>
  <c r="N232" i="13"/>
  <c r="Q233" i="13"/>
  <c r="N242" i="13"/>
  <c r="Q82" i="13"/>
  <c r="R124" i="13"/>
  <c r="R115" i="13"/>
  <c r="O10" i="4"/>
  <c r="P10" i="4" s="1"/>
  <c r="O12" i="4"/>
  <c r="P12" i="4" s="1"/>
  <c r="O13" i="4"/>
  <c r="O9" i="4"/>
  <c r="P9" i="4" s="1"/>
  <c r="N28" i="13"/>
  <c r="K8" i="4"/>
  <c r="J174" i="13"/>
  <c r="I174" i="13"/>
  <c r="I109" i="13"/>
  <c r="L317" i="4" l="1"/>
  <c r="O286" i="4"/>
  <c r="O317" i="4" s="1"/>
  <c r="L8" i="4"/>
  <c r="L109" i="13"/>
  <c r="Q65" i="13"/>
  <c r="Q40" i="13"/>
  <c r="Q232" i="13"/>
  <c r="Q223" i="13"/>
  <c r="P13" i="4"/>
  <c r="Q242" i="13"/>
  <c r="Q191" i="13"/>
  <c r="R191" i="13" s="1"/>
  <c r="L174" i="13"/>
  <c r="Q9" i="13"/>
  <c r="Q28" i="13"/>
  <c r="H125" i="16"/>
  <c r="I125" i="16"/>
  <c r="J125" i="16"/>
  <c r="L123" i="16"/>
  <c r="R232" i="13" l="1"/>
  <c r="R65" i="13"/>
  <c r="R40" i="13"/>
  <c r="M174" i="13"/>
  <c r="N174" i="13" s="1"/>
  <c r="R223" i="13"/>
  <c r="M109" i="13"/>
  <c r="N109" i="13" s="1"/>
  <c r="R9" i="13"/>
  <c r="O8" i="4"/>
  <c r="K76" i="16"/>
  <c r="K124" i="16"/>
  <c r="K125" i="16" s="1"/>
  <c r="J227" i="13"/>
  <c r="J110" i="13"/>
  <c r="K86" i="16"/>
  <c r="K88" i="16" s="1"/>
  <c r="J108" i="16"/>
  <c r="I108" i="16"/>
  <c r="H108" i="16"/>
  <c r="G108" i="16"/>
  <c r="K108" i="16"/>
  <c r="J54" i="16"/>
  <c r="I54" i="16"/>
  <c r="H54" i="16"/>
  <c r="G54" i="16"/>
  <c r="K54" i="16"/>
  <c r="P8" i="4" l="1"/>
  <c r="L76" i="16"/>
  <c r="K78" i="16"/>
  <c r="L86" i="16"/>
  <c r="L88" i="16" s="1"/>
  <c r="L77" i="16"/>
  <c r="L107" i="16"/>
  <c r="L108" i="16" s="1"/>
  <c r="L53" i="16"/>
  <c r="L54" i="16" s="1"/>
  <c r="Q109" i="13" l="1"/>
  <c r="Q174" i="13"/>
  <c r="L78" i="16"/>
  <c r="G373" i="4"/>
  <c r="H373" i="4"/>
  <c r="P288" i="4"/>
  <c r="G342" i="4"/>
  <c r="H342" i="4"/>
  <c r="J129" i="13"/>
  <c r="I129" i="13"/>
  <c r="H349" i="4"/>
  <c r="H351" i="4" s="1"/>
  <c r="G349" i="4"/>
  <c r="G351" i="4" s="1"/>
  <c r="H200" i="4"/>
  <c r="G200" i="4"/>
  <c r="I170" i="13"/>
  <c r="R109" i="13" l="1"/>
  <c r="R174" i="13"/>
  <c r="L129" i="13"/>
  <c r="L170" i="13"/>
  <c r="J349" i="4"/>
  <c r="J351" i="4" s="1"/>
  <c r="J342" i="4"/>
  <c r="K342" i="4" s="1"/>
  <c r="J373" i="4"/>
  <c r="K373" i="4" s="1"/>
  <c r="L373" i="4" s="1"/>
  <c r="O373" i="4" s="1"/>
  <c r="P373" i="4" s="1"/>
  <c r="J200" i="4"/>
  <c r="K200" i="4" s="1"/>
  <c r="P307" i="4"/>
  <c r="P309" i="4"/>
  <c r="P308" i="4"/>
  <c r="M170" i="13" l="1"/>
  <c r="L342" i="4"/>
  <c r="O342" i="4" s="1"/>
  <c r="P342" i="4" s="1"/>
  <c r="L200" i="4"/>
  <c r="O200" i="4" s="1"/>
  <c r="P200" i="4" s="1"/>
  <c r="M129" i="13"/>
  <c r="K349" i="4"/>
  <c r="L349" i="4" l="1"/>
  <c r="K351" i="4"/>
  <c r="N129" i="13"/>
  <c r="N170" i="13"/>
  <c r="J42" i="16"/>
  <c r="I42" i="16"/>
  <c r="H42" i="16"/>
  <c r="G42" i="16"/>
  <c r="K41" i="16"/>
  <c r="L41" i="16" s="1"/>
  <c r="L42" i="16" s="1"/>
  <c r="J61" i="13"/>
  <c r="I61" i="13"/>
  <c r="G155" i="4"/>
  <c r="O349" i="4" l="1"/>
  <c r="L351" i="4"/>
  <c r="Q170" i="13"/>
  <c r="Q129" i="13"/>
  <c r="L61" i="13"/>
  <c r="B14" i="16"/>
  <c r="P160" i="4"/>
  <c r="K42" i="16"/>
  <c r="P349" i="4" l="1"/>
  <c r="P351" i="4" s="1"/>
  <c r="O351" i="4"/>
  <c r="M61" i="13"/>
  <c r="R170" i="13"/>
  <c r="R129" i="13"/>
  <c r="B18" i="16"/>
  <c r="B22" i="16" s="1"/>
  <c r="B26" i="16" l="1"/>
  <c r="B29" i="16" s="1"/>
  <c r="B33" i="16" s="1"/>
  <c r="N61" i="13"/>
  <c r="N62" i="13" s="1"/>
  <c r="I209" i="13"/>
  <c r="I198" i="13"/>
  <c r="J198" i="13"/>
  <c r="G73" i="4"/>
  <c r="H73" i="4"/>
  <c r="H11" i="14"/>
  <c r="G11" i="14"/>
  <c r="H10" i="14"/>
  <c r="G10" i="14"/>
  <c r="K10" i="14" s="1"/>
  <c r="H8" i="14"/>
  <c r="G8" i="14"/>
  <c r="J209" i="13"/>
  <c r="J86" i="13"/>
  <c r="I86" i="13"/>
  <c r="I91" i="13"/>
  <c r="J91" i="13"/>
  <c r="I90" i="13"/>
  <c r="G324" i="4"/>
  <c r="H324" i="4"/>
  <c r="L91" i="13" l="1"/>
  <c r="M91" i="13" s="1"/>
  <c r="L209" i="13"/>
  <c r="L198" i="13"/>
  <c r="Q61" i="13"/>
  <c r="Q62" i="13" s="1"/>
  <c r="L86" i="13"/>
  <c r="J73" i="4"/>
  <c r="K73" i="4" s="1"/>
  <c r="J324" i="4"/>
  <c r="K324" i="4" s="1"/>
  <c r="L324" i="4" s="1"/>
  <c r="O324" i="4" s="1"/>
  <c r="P324" i="4" s="1"/>
  <c r="K8" i="14"/>
  <c r="L8" i="14" s="1"/>
  <c r="K11" i="14"/>
  <c r="L11" i="14" s="1"/>
  <c r="P224" i="4"/>
  <c r="P225" i="4" s="1"/>
  <c r="L10" i="14"/>
  <c r="N91" i="13" l="1"/>
  <c r="Q91" i="13" s="1"/>
  <c r="R91" i="13" s="1"/>
  <c r="M209" i="13"/>
  <c r="M198" i="13"/>
  <c r="M86" i="13"/>
  <c r="R61" i="13"/>
  <c r="R62" i="13" s="1"/>
  <c r="L73" i="4"/>
  <c r="O73" i="4" s="1"/>
  <c r="L14" i="14"/>
  <c r="K14" i="14"/>
  <c r="A32" i="4"/>
  <c r="A33" i="4" s="1"/>
  <c r="A37" i="4" s="1"/>
  <c r="P286" i="4"/>
  <c r="N209" i="13" l="1"/>
  <c r="N198" i="13"/>
  <c r="Q198" i="13" s="1"/>
  <c r="N86" i="13"/>
  <c r="J210" i="13"/>
  <c r="I210" i="13"/>
  <c r="I192" i="13"/>
  <c r="I200" i="13"/>
  <c r="J200" i="13"/>
  <c r="J192" i="13"/>
  <c r="J189" i="13"/>
  <c r="I189" i="13"/>
  <c r="I185" i="13"/>
  <c r="L185" i="13" s="1"/>
  <c r="J180" i="13"/>
  <c r="I180" i="13"/>
  <c r="I51" i="13"/>
  <c r="J51" i="13"/>
  <c r="J39" i="13"/>
  <c r="I39" i="13"/>
  <c r="I33" i="13"/>
  <c r="I35" i="13" s="1"/>
  <c r="J33" i="13"/>
  <c r="J35" i="13" s="1"/>
  <c r="H329" i="4"/>
  <c r="H330" i="4"/>
  <c r="H331" i="4"/>
  <c r="H332" i="4"/>
  <c r="H333" i="4"/>
  <c r="H334" i="4"/>
  <c r="H339" i="4"/>
  <c r="H335" i="4"/>
  <c r="H338" i="4"/>
  <c r="H341" i="4"/>
  <c r="H336" i="4"/>
  <c r="H337" i="4"/>
  <c r="H340" i="4"/>
  <c r="H343" i="4"/>
  <c r="G329" i="4"/>
  <c r="G330" i="4"/>
  <c r="G331" i="4"/>
  <c r="G332" i="4"/>
  <c r="G333" i="4"/>
  <c r="G334" i="4"/>
  <c r="G339" i="4"/>
  <c r="G335" i="4"/>
  <c r="G338" i="4"/>
  <c r="G341" i="4"/>
  <c r="G336" i="4"/>
  <c r="G337" i="4"/>
  <c r="G340" i="4"/>
  <c r="G343" i="4"/>
  <c r="G328" i="4"/>
  <c r="H328" i="4"/>
  <c r="G323" i="4"/>
  <c r="H323" i="4"/>
  <c r="G78" i="4"/>
  <c r="H78" i="4"/>
  <c r="H70" i="4"/>
  <c r="G70" i="4"/>
  <c r="B37" i="16"/>
  <c r="B41" i="16" s="1"/>
  <c r="B45" i="16" s="1"/>
  <c r="K999990" i="16"/>
  <c r="C16665" i="16"/>
  <c r="C16667" i="16" s="1"/>
  <c r="J112" i="16"/>
  <c r="G112" i="16"/>
  <c r="J100" i="16"/>
  <c r="G100" i="16"/>
  <c r="L99" i="16"/>
  <c r="I100" i="16"/>
  <c r="J58" i="16"/>
  <c r="G58" i="16"/>
  <c r="J50" i="16"/>
  <c r="G50" i="16"/>
  <c r="I50" i="16"/>
  <c r="H50" i="16"/>
  <c r="K49" i="16"/>
  <c r="L49" i="16" s="1"/>
  <c r="J46" i="16"/>
  <c r="G46" i="16"/>
  <c r="K45" i="16"/>
  <c r="L45" i="16" s="1"/>
  <c r="J38" i="16"/>
  <c r="G38" i="16"/>
  <c r="I38" i="16"/>
  <c r="K37" i="16"/>
  <c r="J34" i="16"/>
  <c r="G34" i="16"/>
  <c r="K33" i="16"/>
  <c r="L33" i="16" s="1"/>
  <c r="J23" i="16"/>
  <c r="G23" i="16"/>
  <c r="I23" i="16"/>
  <c r="H23" i="16"/>
  <c r="L22" i="16"/>
  <c r="Q209" i="13" l="1"/>
  <c r="R198" i="13"/>
  <c r="L51" i="13"/>
  <c r="M51" i="13" s="1"/>
  <c r="M185" i="13"/>
  <c r="L210" i="13"/>
  <c r="Q86" i="13"/>
  <c r="H346" i="4"/>
  <c r="G346" i="4"/>
  <c r="L33" i="13"/>
  <c r="L35" i="13" s="1"/>
  <c r="L39" i="13"/>
  <c r="M39" i="13" s="1"/>
  <c r="L192" i="13"/>
  <c r="L189" i="13"/>
  <c r="L180" i="13"/>
  <c r="L200" i="13"/>
  <c r="J337" i="4"/>
  <c r="K337" i="4" s="1"/>
  <c r="J341" i="4"/>
  <c r="K341" i="4" s="1"/>
  <c r="J335" i="4"/>
  <c r="K335" i="4" s="1"/>
  <c r="J329" i="4"/>
  <c r="K329" i="4" s="1"/>
  <c r="J332" i="4"/>
  <c r="K332" i="4" s="1"/>
  <c r="J343" i="4"/>
  <c r="K343" i="4" s="1"/>
  <c r="J78" i="4"/>
  <c r="K78" i="4" s="1"/>
  <c r="J334" i="4"/>
  <c r="J336" i="4"/>
  <c r="K336" i="4" s="1"/>
  <c r="J340" i="4"/>
  <c r="K340" i="4" s="1"/>
  <c r="J333" i="4"/>
  <c r="K333" i="4" s="1"/>
  <c r="J331" i="4"/>
  <c r="K331" i="4" s="1"/>
  <c r="J70" i="4"/>
  <c r="J338" i="4"/>
  <c r="K338" i="4" s="1"/>
  <c r="J330" i="4"/>
  <c r="K330" i="4" s="1"/>
  <c r="J328" i="4"/>
  <c r="J339" i="4"/>
  <c r="K339" i="4" s="1"/>
  <c r="J323" i="4"/>
  <c r="K323" i="4" s="1"/>
  <c r="L323" i="4" s="1"/>
  <c r="O323" i="4" s="1"/>
  <c r="P323" i="4" s="1"/>
  <c r="R28" i="13"/>
  <c r="I46" i="16"/>
  <c r="I112" i="16"/>
  <c r="H46" i="16"/>
  <c r="I58" i="16"/>
  <c r="I34" i="16"/>
  <c r="H38" i="16"/>
  <c r="H58" i="16"/>
  <c r="H100" i="16"/>
  <c r="L37" i="16"/>
  <c r="H34" i="16"/>
  <c r="H112" i="16"/>
  <c r="L124" i="16"/>
  <c r="L125" i="16" s="1"/>
  <c r="R209" i="13" l="1"/>
  <c r="M210" i="13"/>
  <c r="M200" i="13"/>
  <c r="N39" i="13"/>
  <c r="N51" i="13"/>
  <c r="Q51" i="13" s="1"/>
  <c r="R51" i="13" s="1"/>
  <c r="R86" i="13"/>
  <c r="M180" i="13"/>
  <c r="N180" i="13" s="1"/>
  <c r="M189" i="13"/>
  <c r="N185" i="13"/>
  <c r="J346" i="4"/>
  <c r="L338" i="4"/>
  <c r="O338" i="4" s="1"/>
  <c r="P338" i="4" s="1"/>
  <c r="L343" i="4"/>
  <c r="O343" i="4" s="1"/>
  <c r="P343" i="4" s="1"/>
  <c r="L331" i="4"/>
  <c r="O331" i="4" s="1"/>
  <c r="P331" i="4" s="1"/>
  <c r="L336" i="4"/>
  <c r="O336" i="4" s="1"/>
  <c r="P336" i="4" s="1"/>
  <c r="L329" i="4"/>
  <c r="O329" i="4" s="1"/>
  <c r="P329" i="4" s="1"/>
  <c r="L333" i="4"/>
  <c r="O333" i="4" s="1"/>
  <c r="P333" i="4" s="1"/>
  <c r="L335" i="4"/>
  <c r="O335" i="4" s="1"/>
  <c r="L341" i="4"/>
  <c r="O341" i="4" s="1"/>
  <c r="P341" i="4" s="1"/>
  <c r="L337" i="4"/>
  <c r="O337" i="4" s="1"/>
  <c r="P337" i="4" s="1"/>
  <c r="L332" i="4"/>
  <c r="O332" i="4" s="1"/>
  <c r="P332" i="4" s="1"/>
  <c r="L340" i="4"/>
  <c r="O340" i="4" s="1"/>
  <c r="P340" i="4" s="1"/>
  <c r="L339" i="4"/>
  <c r="O339" i="4" s="1"/>
  <c r="P339" i="4" s="1"/>
  <c r="K328" i="4"/>
  <c r="L330" i="4"/>
  <c r="O330" i="4" s="1"/>
  <c r="P330" i="4" s="1"/>
  <c r="M192" i="13"/>
  <c r="M33" i="13"/>
  <c r="K334" i="4"/>
  <c r="L334" i="4" s="1"/>
  <c r="L78" i="4"/>
  <c r="K70" i="4"/>
  <c r="L70" i="4" s="1"/>
  <c r="L38" i="16"/>
  <c r="K50" i="16"/>
  <c r="K23" i="16"/>
  <c r="K38" i="16"/>
  <c r="L100" i="16"/>
  <c r="L23" i="16"/>
  <c r="K46" i="16"/>
  <c r="L46" i="16"/>
  <c r="L50" i="16"/>
  <c r="K58" i="16"/>
  <c r="L34" i="16"/>
  <c r="K34" i="16"/>
  <c r="L58" i="16"/>
  <c r="N33" i="13" l="1"/>
  <c r="N35" i="13" s="1"/>
  <c r="M35" i="13"/>
  <c r="N189" i="13"/>
  <c r="N200" i="13"/>
  <c r="Q200" i="13" s="1"/>
  <c r="N210" i="13"/>
  <c r="N192" i="13"/>
  <c r="Q39" i="13"/>
  <c r="P335" i="4"/>
  <c r="K346" i="4"/>
  <c r="Q185" i="13"/>
  <c r="L328" i="4"/>
  <c r="L346" i="4" s="1"/>
  <c r="O78" i="4"/>
  <c r="G89" i="4"/>
  <c r="H89" i="4"/>
  <c r="G366" i="4"/>
  <c r="G369" i="4" s="1"/>
  <c r="H366" i="4"/>
  <c r="H369" i="4" s="1"/>
  <c r="G258" i="4"/>
  <c r="H258" i="4"/>
  <c r="J120" i="13"/>
  <c r="I120" i="13"/>
  <c r="Q210" i="13" l="1"/>
  <c r="R39" i="13"/>
  <c r="Q189" i="13"/>
  <c r="Q180" i="13"/>
  <c r="O328" i="4"/>
  <c r="Q192" i="13"/>
  <c r="Q33" i="13"/>
  <c r="Q35" i="13" s="1"/>
  <c r="L120" i="13"/>
  <c r="O334" i="4"/>
  <c r="J89" i="4"/>
  <c r="O70" i="4"/>
  <c r="J366" i="4"/>
  <c r="J258" i="4"/>
  <c r="G259" i="4"/>
  <c r="J76" i="13"/>
  <c r="I76" i="13"/>
  <c r="J237" i="13"/>
  <c r="I175" i="13"/>
  <c r="J175" i="13"/>
  <c r="H259" i="4"/>
  <c r="H274" i="4"/>
  <c r="G274" i="4"/>
  <c r="H273" i="4"/>
  <c r="G273" i="4"/>
  <c r="H272" i="4"/>
  <c r="G272" i="4"/>
  <c r="G254" i="4"/>
  <c r="H254" i="4"/>
  <c r="J163" i="13"/>
  <c r="I163" i="13"/>
  <c r="O346" i="4" l="1"/>
  <c r="R210" i="13"/>
  <c r="M120" i="13"/>
  <c r="N120" i="13" s="1"/>
  <c r="R180" i="13"/>
  <c r="P328" i="4"/>
  <c r="J273" i="4"/>
  <c r="K273" i="4" s="1"/>
  <c r="L273" i="4" s="1"/>
  <c r="O273" i="4" s="1"/>
  <c r="P273" i="4" s="1"/>
  <c r="R192" i="13"/>
  <c r="L175" i="13"/>
  <c r="L76" i="13"/>
  <c r="L237" i="13"/>
  <c r="L163" i="13"/>
  <c r="M163" i="13" s="1"/>
  <c r="R33" i="13"/>
  <c r="R35" i="13" s="1"/>
  <c r="K366" i="4"/>
  <c r="J369" i="4"/>
  <c r="P334" i="4"/>
  <c r="K258" i="4"/>
  <c r="J259" i="4"/>
  <c r="J272" i="4"/>
  <c r="J274" i="4"/>
  <c r="K274" i="4" s="1"/>
  <c r="K89" i="4"/>
  <c r="L89" i="4" s="1"/>
  <c r="J254" i="4"/>
  <c r="K254" i="4" s="1"/>
  <c r="G275" i="4"/>
  <c r="H275" i="4"/>
  <c r="P303" i="4"/>
  <c r="R233" i="13"/>
  <c r="J15" i="13"/>
  <c r="I15" i="13"/>
  <c r="I227" i="13"/>
  <c r="R200" i="13"/>
  <c r="P346" i="4" l="1"/>
  <c r="N163" i="13"/>
  <c r="Q163" i="13" s="1"/>
  <c r="M175" i="13"/>
  <c r="N175" i="13" s="1"/>
  <c r="Q175" i="13" s="1"/>
  <c r="M237" i="13"/>
  <c r="M76" i="13"/>
  <c r="N76" i="13" s="1"/>
  <c r="L274" i="4"/>
  <c r="O274" i="4" s="1"/>
  <c r="P274" i="4" s="1"/>
  <c r="L254" i="4"/>
  <c r="O254" i="4" s="1"/>
  <c r="P254" i="4" s="1"/>
  <c r="L227" i="13"/>
  <c r="L15" i="13"/>
  <c r="L366" i="4"/>
  <c r="K369" i="4"/>
  <c r="K272" i="4"/>
  <c r="L272" i="4" s="1"/>
  <c r="J275" i="4"/>
  <c r="L258" i="4"/>
  <c r="K259" i="4"/>
  <c r="R82" i="13"/>
  <c r="N237" i="13" l="1"/>
  <c r="M227" i="13"/>
  <c r="Q120" i="13"/>
  <c r="M15" i="13"/>
  <c r="N15" i="13" s="1"/>
  <c r="O366" i="4"/>
  <c r="L369" i="4"/>
  <c r="K275" i="4"/>
  <c r="O258" i="4"/>
  <c r="L259" i="4"/>
  <c r="O89" i="4"/>
  <c r="Q237" i="13" l="1"/>
  <c r="R120" i="13"/>
  <c r="Q76" i="13"/>
  <c r="N227" i="13"/>
  <c r="O369" i="4"/>
  <c r="P366" i="4"/>
  <c r="P369" i="4" s="1"/>
  <c r="O272" i="4"/>
  <c r="O275" i="4" s="1"/>
  <c r="L275" i="4"/>
  <c r="O259" i="4"/>
  <c r="P258" i="4"/>
  <c r="P259" i="4" s="1"/>
  <c r="P89" i="4"/>
  <c r="J181" i="13"/>
  <c r="I181" i="13"/>
  <c r="J160" i="13"/>
  <c r="I160" i="13"/>
  <c r="I100" i="13"/>
  <c r="J100" i="13"/>
  <c r="J90" i="13"/>
  <c r="J50" i="13"/>
  <c r="I50" i="13"/>
  <c r="I23" i="13"/>
  <c r="J23" i="13"/>
  <c r="L100" i="13" l="1"/>
  <c r="M100" i="13" s="1"/>
  <c r="R175" i="13"/>
  <c r="R76" i="13"/>
  <c r="L50" i="13"/>
  <c r="M50" i="13" s="1"/>
  <c r="Q227" i="13"/>
  <c r="R237" i="13"/>
  <c r="L23" i="13"/>
  <c r="L160" i="13"/>
  <c r="Q15" i="13"/>
  <c r="L90" i="13"/>
  <c r="L181" i="13"/>
  <c r="P272" i="4"/>
  <c r="P275" i="4" s="1"/>
  <c r="M160" i="13" l="1"/>
  <c r="N160" i="13" s="1"/>
  <c r="N100" i="13"/>
  <c r="Q100" i="13" s="1"/>
  <c r="R100" i="13" s="1"/>
  <c r="R227" i="13"/>
  <c r="M181" i="13"/>
  <c r="N181" i="13" s="1"/>
  <c r="M90" i="13"/>
  <c r="R15" i="13"/>
  <c r="M23" i="13"/>
  <c r="N23" i="13" s="1"/>
  <c r="N50" i="13"/>
  <c r="R163" i="13"/>
  <c r="N90" i="13" l="1"/>
  <c r="Q160" i="13"/>
  <c r="R160" i="13" s="1"/>
  <c r="Q50" i="13"/>
  <c r="H9" i="14"/>
  <c r="G393" i="4"/>
  <c r="J393" i="4" s="1"/>
  <c r="K393" i="4" s="1"/>
  <c r="L393" i="4" s="1"/>
  <c r="G396" i="4"/>
  <c r="G395" i="4"/>
  <c r="J395" i="4" s="1"/>
  <c r="K395" i="4" s="1"/>
  <c r="L395" i="4" s="1"/>
  <c r="G394" i="4"/>
  <c r="G390" i="4"/>
  <c r="G389" i="4"/>
  <c r="G384" i="4"/>
  <c r="G392" i="4"/>
  <c r="G388" i="4"/>
  <c r="G387" i="4"/>
  <c r="J387" i="4" s="1"/>
  <c r="K387" i="4" s="1"/>
  <c r="G386" i="4"/>
  <c r="G383" i="4"/>
  <c r="G391" i="4"/>
  <c r="G385" i="4"/>
  <c r="J385" i="4" s="1"/>
  <c r="K385" i="4" s="1"/>
  <c r="L385" i="4" s="1"/>
  <c r="G382" i="4"/>
  <c r="G381" i="4"/>
  <c r="G380" i="4"/>
  <c r="G216" i="4"/>
  <c r="G379" i="4"/>
  <c r="J379" i="4" s="1"/>
  <c r="G377" i="4"/>
  <c r="G15" i="4"/>
  <c r="G20" i="4" s="1"/>
  <c r="G398" i="4" l="1"/>
  <c r="Q181" i="13"/>
  <c r="Q90" i="13"/>
  <c r="O387" i="4"/>
  <c r="P387" i="4" s="1"/>
  <c r="O395" i="4"/>
  <c r="P395" i="4" s="1"/>
  <c r="O393" i="4"/>
  <c r="P393" i="4" s="1"/>
  <c r="O385" i="4"/>
  <c r="P385" i="4" s="1"/>
  <c r="Q23" i="13"/>
  <c r="R50" i="13"/>
  <c r="K379" i="4"/>
  <c r="J383" i="4"/>
  <c r="J394" i="4"/>
  <c r="K394" i="4" s="1"/>
  <c r="L394" i="4" s="1"/>
  <c r="J389" i="4"/>
  <c r="K389" i="4" s="1"/>
  <c r="J391" i="4"/>
  <c r="K391" i="4" s="1"/>
  <c r="L391" i="4" s="1"/>
  <c r="J377" i="4"/>
  <c r="J388" i="4"/>
  <c r="K388" i="4" s="1"/>
  <c r="J386" i="4"/>
  <c r="K386" i="4" s="1"/>
  <c r="L386" i="4" s="1"/>
  <c r="J380" i="4"/>
  <c r="J390" i="4"/>
  <c r="K390" i="4" s="1"/>
  <c r="L390" i="4" s="1"/>
  <c r="J396" i="4"/>
  <c r="K396" i="4" s="1"/>
  <c r="L396" i="4" s="1"/>
  <c r="J381" i="4"/>
  <c r="J392" i="4"/>
  <c r="K392" i="4" s="1"/>
  <c r="L392" i="4" s="1"/>
  <c r="J382" i="4"/>
  <c r="J384" i="4"/>
  <c r="K384" i="4" s="1"/>
  <c r="P287" i="4"/>
  <c r="P305" i="4"/>
  <c r="P302" i="4"/>
  <c r="P306" i="4"/>
  <c r="R90" i="13" l="1"/>
  <c r="J398" i="4"/>
  <c r="R181" i="13"/>
  <c r="O396" i="4"/>
  <c r="P396" i="4" s="1"/>
  <c r="O390" i="4"/>
  <c r="P390" i="4" s="1"/>
  <c r="O388" i="4"/>
  <c r="P388" i="4" s="1"/>
  <c r="O384" i="4"/>
  <c r="P384" i="4" s="1"/>
  <c r="O394" i="4"/>
  <c r="P394" i="4" s="1"/>
  <c r="O391" i="4"/>
  <c r="P391" i="4" s="1"/>
  <c r="L379" i="4"/>
  <c r="O379" i="4" s="1"/>
  <c r="O386" i="4"/>
  <c r="P386" i="4" s="1"/>
  <c r="O389" i="4"/>
  <c r="P389" i="4" s="1"/>
  <c r="R23" i="13"/>
  <c r="K377" i="4"/>
  <c r="K383" i="4"/>
  <c r="L383" i="4" s="1"/>
  <c r="K382" i="4"/>
  <c r="L382" i="4" s="1"/>
  <c r="K381" i="4"/>
  <c r="L381" i="4" s="1"/>
  <c r="K380" i="4"/>
  <c r="L380" i="4" s="1"/>
  <c r="G233" i="4"/>
  <c r="H372" i="4"/>
  <c r="H374" i="4" s="1"/>
  <c r="G372" i="4"/>
  <c r="G374" i="4" s="1"/>
  <c r="H362" i="4"/>
  <c r="H363" i="4" s="1"/>
  <c r="G362" i="4"/>
  <c r="H358" i="4"/>
  <c r="H359" i="4" s="1"/>
  <c r="G358" i="4"/>
  <c r="H322" i="4"/>
  <c r="G322" i="4"/>
  <c r="H321" i="4"/>
  <c r="G321" i="4"/>
  <c r="H237" i="4"/>
  <c r="H240" i="4" s="1"/>
  <c r="G237" i="4"/>
  <c r="G240" i="4" s="1"/>
  <c r="H326" i="4" l="1"/>
  <c r="G326" i="4"/>
  <c r="K398" i="4"/>
  <c r="O380" i="4"/>
  <c r="O383" i="4"/>
  <c r="L377" i="4"/>
  <c r="L398" i="4" s="1"/>
  <c r="O381" i="4"/>
  <c r="O382" i="4"/>
  <c r="O392" i="4"/>
  <c r="P392" i="4" s="1"/>
  <c r="J237" i="4"/>
  <c r="J240" i="4" s="1"/>
  <c r="J321" i="4"/>
  <c r="J362" i="4"/>
  <c r="K362" i="4" s="1"/>
  <c r="L362" i="4" s="1"/>
  <c r="G363" i="4"/>
  <c r="J358" i="4"/>
  <c r="J372" i="4"/>
  <c r="J322" i="4"/>
  <c r="G359" i="4"/>
  <c r="G234" i="4"/>
  <c r="K321" i="4" l="1"/>
  <c r="J326" i="4"/>
  <c r="K237" i="4"/>
  <c r="K240" i="4" s="1"/>
  <c r="O377" i="4"/>
  <c r="O398" i="4" s="1"/>
  <c r="J363" i="4"/>
  <c r="K372" i="4"/>
  <c r="J374" i="4"/>
  <c r="K363" i="4"/>
  <c r="K358" i="4"/>
  <c r="L358" i="4" s="1"/>
  <c r="J359" i="4"/>
  <c r="K322" i="4"/>
  <c r="L237" i="4" l="1"/>
  <c r="L240" i="4" s="1"/>
  <c r="L321" i="4"/>
  <c r="K326" i="4"/>
  <c r="L372" i="4"/>
  <c r="K374" i="4"/>
  <c r="L363" i="4"/>
  <c r="O362" i="4"/>
  <c r="K359" i="4"/>
  <c r="L322" i="4"/>
  <c r="H37" i="4"/>
  <c r="H106" i="4"/>
  <c r="H107" i="4" s="1"/>
  <c r="G106" i="4"/>
  <c r="H139" i="4"/>
  <c r="G139" i="4"/>
  <c r="O237" i="4" l="1"/>
  <c r="O240" i="4" s="1"/>
  <c r="O321" i="4"/>
  <c r="L326" i="4"/>
  <c r="J106" i="4"/>
  <c r="J107" i="4" s="1"/>
  <c r="O372" i="4"/>
  <c r="L374" i="4"/>
  <c r="O363" i="4"/>
  <c r="P362" i="4"/>
  <c r="P363" i="4" s="1"/>
  <c r="O358" i="4"/>
  <c r="L359" i="4"/>
  <c r="O322" i="4"/>
  <c r="J139" i="4"/>
  <c r="K139" i="4" s="1"/>
  <c r="P237" i="4"/>
  <c r="P240" i="4" s="1"/>
  <c r="G107" i="4"/>
  <c r="O326" i="4" l="1"/>
  <c r="P321" i="4"/>
  <c r="K106" i="4"/>
  <c r="L106" i="4" s="1"/>
  <c r="L139" i="4"/>
  <c r="O139" i="4" s="1"/>
  <c r="P139" i="4" s="1"/>
  <c r="O374" i="4"/>
  <c r="P372" i="4"/>
  <c r="P374" i="4" s="1"/>
  <c r="O359" i="4"/>
  <c r="P358" i="4"/>
  <c r="P359" i="4" s="1"/>
  <c r="P322" i="4"/>
  <c r="J99" i="13"/>
  <c r="I99" i="13"/>
  <c r="I71" i="13"/>
  <c r="J71" i="13"/>
  <c r="P52" i="4"/>
  <c r="P53" i="4" s="1"/>
  <c r="P326" i="4" l="1"/>
  <c r="K107" i="4"/>
  <c r="L71" i="13"/>
  <c r="M71" i="13" s="1"/>
  <c r="L99" i="13"/>
  <c r="O106" i="4"/>
  <c r="L107" i="4"/>
  <c r="N71" i="13" l="1"/>
  <c r="Q71" i="13" s="1"/>
  <c r="R71" i="13" s="1"/>
  <c r="M99" i="13"/>
  <c r="O107" i="4"/>
  <c r="P106" i="4"/>
  <c r="N99" i="13" l="1"/>
  <c r="P132" i="4"/>
  <c r="Q99" i="13" l="1"/>
  <c r="G154" i="4"/>
  <c r="H154" i="4"/>
  <c r="G201" i="4"/>
  <c r="H201" i="4"/>
  <c r="G192" i="4"/>
  <c r="H192" i="4"/>
  <c r="R99" i="13" l="1"/>
  <c r="J192" i="4"/>
  <c r="J201" i="4"/>
  <c r="K201" i="4" s="1"/>
  <c r="J154" i="4"/>
  <c r="K154" i="4" s="1"/>
  <c r="P299" i="4"/>
  <c r="G127" i="4"/>
  <c r="H127" i="4"/>
  <c r="G147" i="4"/>
  <c r="H147" i="4"/>
  <c r="K192" i="4" l="1"/>
  <c r="L192" i="4" s="1"/>
  <c r="L201" i="4"/>
  <c r="O201" i="4" s="1"/>
  <c r="P201" i="4" s="1"/>
  <c r="L154" i="4"/>
  <c r="O154" i="4" s="1"/>
  <c r="P154" i="4" s="1"/>
  <c r="J147" i="4"/>
  <c r="K147" i="4" s="1"/>
  <c r="J127" i="4"/>
  <c r="K127" i="4" s="1"/>
  <c r="G131" i="4"/>
  <c r="G60" i="4"/>
  <c r="O192" i="4" l="1"/>
  <c r="L127" i="4"/>
  <c r="O127" i="4" s="1"/>
  <c r="P127" i="4" s="1"/>
  <c r="L147" i="4"/>
  <c r="O147" i="4" s="1"/>
  <c r="P147" i="4" s="1"/>
  <c r="I162" i="13"/>
  <c r="J162" i="13"/>
  <c r="P192" i="4" l="1"/>
  <c r="L162" i="13"/>
  <c r="M162" i="13" s="1"/>
  <c r="N162" i="13" s="1"/>
  <c r="R185" i="13"/>
  <c r="H169" i="4"/>
  <c r="H170" i="4" l="1"/>
  <c r="Q162" i="13" l="1"/>
  <c r="G130" i="4"/>
  <c r="G134" i="4" s="1"/>
  <c r="H130" i="4"/>
  <c r="G125" i="4"/>
  <c r="H125" i="4"/>
  <c r="J125" i="4" l="1"/>
  <c r="K125" i="4" s="1"/>
  <c r="J130" i="4"/>
  <c r="K130" i="4" l="1"/>
  <c r="L130" i="4" s="1"/>
  <c r="L125" i="4"/>
  <c r="O125" i="4" s="1"/>
  <c r="P125" i="4" s="1"/>
  <c r="J164" i="13"/>
  <c r="I164" i="13"/>
  <c r="J165" i="13"/>
  <c r="I165" i="13"/>
  <c r="H111" i="4"/>
  <c r="J111" i="4" s="1"/>
  <c r="K111" i="4" s="1"/>
  <c r="H110" i="4"/>
  <c r="G110" i="4"/>
  <c r="G113" i="4"/>
  <c r="H138" i="4"/>
  <c r="G170" i="4"/>
  <c r="G138" i="4"/>
  <c r="G72" i="4"/>
  <c r="H72" i="4"/>
  <c r="G171" i="4"/>
  <c r="G38" i="4"/>
  <c r="H38" i="4"/>
  <c r="G37" i="4"/>
  <c r="G206" i="4"/>
  <c r="H206" i="4"/>
  <c r="H60" i="4"/>
  <c r="J60" i="4" s="1"/>
  <c r="H171" i="4"/>
  <c r="G33" i="4"/>
  <c r="H33" i="4"/>
  <c r="G44" i="4"/>
  <c r="H44" i="4"/>
  <c r="G47" i="4"/>
  <c r="H47" i="4"/>
  <c r="G98" i="4"/>
  <c r="H98" i="4"/>
  <c r="O130" i="4" l="1"/>
  <c r="L165" i="13"/>
  <c r="M165" i="13" s="1"/>
  <c r="L111" i="4"/>
  <c r="O111" i="4" s="1"/>
  <c r="P111" i="4" s="1"/>
  <c r="L164" i="13"/>
  <c r="M164" i="13" s="1"/>
  <c r="J110" i="4"/>
  <c r="K110" i="4" s="1"/>
  <c r="J138" i="4"/>
  <c r="K138" i="4" s="1"/>
  <c r="L138" i="4" s="1"/>
  <c r="J72" i="4"/>
  <c r="K72" i="4" s="1"/>
  <c r="J170" i="4"/>
  <c r="K170" i="4" s="1"/>
  <c r="J33" i="4"/>
  <c r="K33" i="4" s="1"/>
  <c r="L33" i="4" s="1"/>
  <c r="J44" i="4"/>
  <c r="J37" i="4"/>
  <c r="J98" i="4"/>
  <c r="K98" i="4" s="1"/>
  <c r="J38" i="4"/>
  <c r="K60" i="4"/>
  <c r="L60" i="4" s="1"/>
  <c r="H207" i="4"/>
  <c r="J171" i="4"/>
  <c r="K171" i="4" s="1"/>
  <c r="J47" i="4"/>
  <c r="K47" i="4" s="1"/>
  <c r="L47" i="4" s="1"/>
  <c r="J206" i="4"/>
  <c r="G207" i="4"/>
  <c r="R242" i="13"/>
  <c r="P130" i="4" l="1"/>
  <c r="K38" i="4"/>
  <c r="L38" i="4" s="1"/>
  <c r="O38" i="4" s="1"/>
  <c r="N165" i="13"/>
  <c r="Q165" i="13" s="1"/>
  <c r="R165" i="13" s="1"/>
  <c r="N164" i="13"/>
  <c r="Q164" i="13" s="1"/>
  <c r="L171" i="4"/>
  <c r="O171" i="4" s="1"/>
  <c r="L170" i="4"/>
  <c r="O170" i="4" s="1"/>
  <c r="L110" i="4"/>
  <c r="O110" i="4" s="1"/>
  <c r="P110" i="4" s="1"/>
  <c r="L98" i="4"/>
  <c r="O98" i="4" s="1"/>
  <c r="L72" i="4"/>
  <c r="O72" i="4" s="1"/>
  <c r="O47" i="4"/>
  <c r="P47" i="4" s="1"/>
  <c r="O33" i="4"/>
  <c r="K206" i="4"/>
  <c r="J207" i="4"/>
  <c r="K44" i="4"/>
  <c r="K37" i="4"/>
  <c r="L44" i="4" l="1"/>
  <c r="L37" i="4"/>
  <c r="R164" i="13"/>
  <c r="L206" i="4"/>
  <c r="K207" i="4"/>
  <c r="O138" i="4"/>
  <c r="O60" i="4"/>
  <c r="J70" i="13"/>
  <c r="I70" i="13"/>
  <c r="L70" i="13" l="1"/>
  <c r="O206" i="4"/>
  <c r="O207" i="4" s="1"/>
  <c r="L207" i="4"/>
  <c r="O37" i="4"/>
  <c r="O44" i="4"/>
  <c r="M70" i="13" l="1"/>
  <c r="N70" i="13" s="1"/>
  <c r="P206" i="4"/>
  <c r="P207" i="4" s="1"/>
  <c r="P184" i="4"/>
  <c r="R189" i="13" l="1"/>
  <c r="Q70" i="13" l="1"/>
  <c r="P72" i="4"/>
  <c r="P73" i="4"/>
  <c r="P38" i="4"/>
  <c r="R70" i="13" l="1"/>
  <c r="P37" i="4"/>
  <c r="A24" i="13"/>
  <c r="A28" i="13" s="1"/>
  <c r="I34" i="13"/>
  <c r="J34" i="13"/>
  <c r="I155" i="13"/>
  <c r="J155" i="13"/>
  <c r="L155" i="13" l="1"/>
  <c r="L34" i="13"/>
  <c r="J251" i="13"/>
  <c r="I251" i="13"/>
  <c r="M155" i="13" l="1"/>
  <c r="L251" i="13"/>
  <c r="M34" i="13"/>
  <c r="N34" i="13" s="1"/>
  <c r="R22" i="13"/>
  <c r="H66" i="4"/>
  <c r="H197" i="4"/>
  <c r="H198" i="4"/>
  <c r="H199" i="4"/>
  <c r="G66" i="4"/>
  <c r="G197" i="4"/>
  <c r="G198" i="4"/>
  <c r="G199" i="4"/>
  <c r="N155" i="13" l="1"/>
  <c r="J66" i="4"/>
  <c r="K66" i="4" s="1"/>
  <c r="L66" i="4" s="1"/>
  <c r="M251" i="13"/>
  <c r="N251" i="13" s="1"/>
  <c r="H203" i="4"/>
  <c r="G203" i="4"/>
  <c r="J199" i="4"/>
  <c r="K199" i="4" s="1"/>
  <c r="J198" i="4"/>
  <c r="J197" i="4"/>
  <c r="K197" i="4" s="1"/>
  <c r="H181" i="4"/>
  <c r="H182" i="4" s="1"/>
  <c r="G181" i="4"/>
  <c r="L197" i="4" l="1"/>
  <c r="O197" i="4" s="1"/>
  <c r="P197" i="4" s="1"/>
  <c r="J67" i="4"/>
  <c r="L199" i="4"/>
  <c r="O199" i="4" s="1"/>
  <c r="P199" i="4" s="1"/>
  <c r="Q155" i="13"/>
  <c r="Q34" i="13"/>
  <c r="K198" i="4"/>
  <c r="L198" i="4" s="1"/>
  <c r="J203" i="4"/>
  <c r="J181" i="4"/>
  <c r="K67" i="4"/>
  <c r="G182" i="4"/>
  <c r="P98" i="4"/>
  <c r="Q251" i="13" l="1"/>
  <c r="R155" i="13"/>
  <c r="R34" i="13"/>
  <c r="K181" i="4"/>
  <c r="L181" i="4" s="1"/>
  <c r="J182" i="4"/>
  <c r="K203" i="4"/>
  <c r="L67" i="4"/>
  <c r="O66" i="4"/>
  <c r="R251" i="13" l="1"/>
  <c r="K182" i="4"/>
  <c r="O198" i="4"/>
  <c r="L203" i="4"/>
  <c r="O67" i="4"/>
  <c r="P66" i="4"/>
  <c r="P67" i="4" s="1"/>
  <c r="J219" i="13"/>
  <c r="I219" i="13"/>
  <c r="J150" i="13"/>
  <c r="I150" i="13"/>
  <c r="J161" i="13"/>
  <c r="I161" i="13"/>
  <c r="I134" i="13"/>
  <c r="J46" i="13"/>
  <c r="I46" i="13"/>
  <c r="J38" i="13"/>
  <c r="I38" i="13"/>
  <c r="H15" i="4"/>
  <c r="J15" i="4" s="1"/>
  <c r="K15" i="4" s="1"/>
  <c r="H354" i="4"/>
  <c r="G354" i="4"/>
  <c r="L15" i="4" l="1"/>
  <c r="O15" i="4" s="1"/>
  <c r="L134" i="13"/>
  <c r="L219" i="13"/>
  <c r="L46" i="13"/>
  <c r="L161" i="13"/>
  <c r="L38" i="13"/>
  <c r="L150" i="13"/>
  <c r="J354" i="4"/>
  <c r="O181" i="4"/>
  <c r="L182" i="4"/>
  <c r="P198" i="4"/>
  <c r="P203" i="4" s="1"/>
  <c r="O203" i="4"/>
  <c r="G355" i="4"/>
  <c r="H355" i="4"/>
  <c r="P381" i="4"/>
  <c r="P379" i="4"/>
  <c r="P377" i="4"/>
  <c r="G282" i="4"/>
  <c r="H282" i="4"/>
  <c r="H284" i="4" s="1"/>
  <c r="G283" i="4"/>
  <c r="H211" i="4"/>
  <c r="G211" i="4"/>
  <c r="G262" i="4"/>
  <c r="H262" i="4"/>
  <c r="G267" i="4"/>
  <c r="H267" i="4"/>
  <c r="G268" i="4"/>
  <c r="H268" i="4"/>
  <c r="G263" i="4"/>
  <c r="H263" i="4"/>
  <c r="H11" i="4"/>
  <c r="H20" i="4" s="1"/>
  <c r="G253" i="4"/>
  <c r="H253" i="4"/>
  <c r="H249" i="4"/>
  <c r="G249" i="4"/>
  <c r="H247" i="4"/>
  <c r="G247" i="4"/>
  <c r="H233" i="4"/>
  <c r="H229" i="4"/>
  <c r="G229" i="4"/>
  <c r="H228" i="4"/>
  <c r="G228" i="4"/>
  <c r="H220" i="4"/>
  <c r="H221" i="4" s="1"/>
  <c r="G220" i="4"/>
  <c r="H185" i="4"/>
  <c r="H187" i="4" s="1"/>
  <c r="G185" i="4"/>
  <c r="G187" i="4" s="1"/>
  <c r="H215" i="4"/>
  <c r="G215" i="4"/>
  <c r="H214" i="4"/>
  <c r="G214" i="4"/>
  <c r="H216" i="4"/>
  <c r="G210" i="4"/>
  <c r="H193" i="4"/>
  <c r="H194" i="4" s="1"/>
  <c r="G193" i="4"/>
  <c r="G194" i="4" s="1"/>
  <c r="H176" i="4"/>
  <c r="G176" i="4"/>
  <c r="H141" i="4"/>
  <c r="G141" i="4"/>
  <c r="H152" i="4"/>
  <c r="G152" i="4"/>
  <c r="H126" i="4"/>
  <c r="G126" i="4"/>
  <c r="H142" i="4"/>
  <c r="G142" i="4"/>
  <c r="H155" i="4"/>
  <c r="H140" i="4"/>
  <c r="G140" i="4"/>
  <c r="H124" i="4"/>
  <c r="G124" i="4"/>
  <c r="H131" i="4"/>
  <c r="H146" i="4"/>
  <c r="H148" i="4" s="1"/>
  <c r="G146" i="4"/>
  <c r="G114" i="4"/>
  <c r="J114" i="4" s="1"/>
  <c r="K114" i="4" s="1"/>
  <c r="H95" i="4"/>
  <c r="G95" i="4"/>
  <c r="H46" i="4"/>
  <c r="G46" i="4"/>
  <c r="H113" i="4"/>
  <c r="J113" i="4" s="1"/>
  <c r="H74" i="4"/>
  <c r="G74" i="4"/>
  <c r="H153" i="4"/>
  <c r="G153" i="4"/>
  <c r="H168" i="4"/>
  <c r="H172" i="4" s="1"/>
  <c r="G168" i="4"/>
  <c r="G119" i="4"/>
  <c r="G32" i="4"/>
  <c r="G34" i="4" s="1"/>
  <c r="H32" i="4"/>
  <c r="H34" i="4" s="1"/>
  <c r="G56" i="4"/>
  <c r="H56" i="4"/>
  <c r="G90" i="4"/>
  <c r="H90" i="4"/>
  <c r="H92" i="4" s="1"/>
  <c r="G45" i="4"/>
  <c r="H45" i="4"/>
  <c r="G23" i="4"/>
  <c r="G25" i="4" s="1"/>
  <c r="G28" i="4"/>
  <c r="G83" i="4"/>
  <c r="H83" i="4"/>
  <c r="H86" i="4" s="1"/>
  <c r="G79" i="4"/>
  <c r="H79" i="4"/>
  <c r="H80" i="4" s="1"/>
  <c r="G48" i="4"/>
  <c r="H48" i="4"/>
  <c r="G39" i="4"/>
  <c r="H39" i="4"/>
  <c r="G67" i="4"/>
  <c r="H67" i="4"/>
  <c r="G71" i="4"/>
  <c r="H71" i="4"/>
  <c r="G102" i="4"/>
  <c r="H102" i="4"/>
  <c r="G169" i="4"/>
  <c r="H97" i="4"/>
  <c r="G97" i="4"/>
  <c r="H75" i="4"/>
  <c r="G75" i="4"/>
  <c r="H58" i="4"/>
  <c r="G58" i="4"/>
  <c r="H57" i="4"/>
  <c r="G57" i="4"/>
  <c r="J131" i="4" l="1"/>
  <c r="H134" i="4"/>
  <c r="G49" i="4"/>
  <c r="J119" i="4"/>
  <c r="J121" i="4" s="1"/>
  <c r="G121" i="4"/>
  <c r="H61" i="4"/>
  <c r="G61" i="4"/>
  <c r="H49" i="4"/>
  <c r="J28" i="4"/>
  <c r="G212" i="4"/>
  <c r="H212" i="4"/>
  <c r="M150" i="13"/>
  <c r="M219" i="13"/>
  <c r="M134" i="13"/>
  <c r="M161" i="13"/>
  <c r="L114" i="4"/>
  <c r="O114" i="4" s="1"/>
  <c r="P114" i="4" s="1"/>
  <c r="G217" i="4"/>
  <c r="G269" i="4"/>
  <c r="M46" i="13"/>
  <c r="N46" i="13" s="1"/>
  <c r="M38" i="13"/>
  <c r="K354" i="4"/>
  <c r="L354" i="4" s="1"/>
  <c r="J355" i="4"/>
  <c r="G284" i="4"/>
  <c r="H269" i="4"/>
  <c r="H217" i="4"/>
  <c r="J247" i="4"/>
  <c r="K247" i="4" s="1"/>
  <c r="J46" i="4"/>
  <c r="K46" i="4" s="1"/>
  <c r="L46" i="4" s="1"/>
  <c r="J249" i="4"/>
  <c r="K249" i="4" s="1"/>
  <c r="J263" i="4"/>
  <c r="K263" i="4" s="1"/>
  <c r="J58" i="4"/>
  <c r="K58" i="4" s="1"/>
  <c r="L58" i="4" s="1"/>
  <c r="J95" i="4"/>
  <c r="K95" i="4" s="1"/>
  <c r="L95" i="4" s="1"/>
  <c r="J140" i="4"/>
  <c r="K140" i="4" s="1"/>
  <c r="L140" i="4" s="1"/>
  <c r="J268" i="4"/>
  <c r="K268" i="4" s="1"/>
  <c r="J75" i="4"/>
  <c r="K75" i="4" s="1"/>
  <c r="O182" i="4"/>
  <c r="P181" i="4"/>
  <c r="P182" i="4" s="1"/>
  <c r="J153" i="4"/>
  <c r="K153" i="4" s="1"/>
  <c r="H128" i="4"/>
  <c r="J152" i="4"/>
  <c r="K152" i="4" s="1"/>
  <c r="J220" i="4"/>
  <c r="K220" i="4" s="1"/>
  <c r="K221" i="4" s="1"/>
  <c r="J124" i="4"/>
  <c r="G128" i="4"/>
  <c r="K113" i="4"/>
  <c r="L113" i="4" s="1"/>
  <c r="J115" i="4"/>
  <c r="J102" i="4"/>
  <c r="J48" i="4"/>
  <c r="K48" i="4" s="1"/>
  <c r="L48" i="4" s="1"/>
  <c r="J45" i="4"/>
  <c r="J168" i="4"/>
  <c r="K168" i="4" s="1"/>
  <c r="J126" i="4"/>
  <c r="K126" i="4" s="1"/>
  <c r="J193" i="4"/>
  <c r="J194" i="4" s="1"/>
  <c r="J185" i="4"/>
  <c r="J187" i="4" s="1"/>
  <c r="J229" i="4"/>
  <c r="K229" i="4" s="1"/>
  <c r="J283" i="4"/>
  <c r="J210" i="4"/>
  <c r="J233" i="4"/>
  <c r="K233" i="4" s="1"/>
  <c r="J253" i="4"/>
  <c r="J282" i="4"/>
  <c r="K282" i="4" s="1"/>
  <c r="H255" i="4"/>
  <c r="J71" i="4"/>
  <c r="J90" i="4"/>
  <c r="J216" i="4"/>
  <c r="K216" i="4" s="1"/>
  <c r="J267" i="4"/>
  <c r="J79" i="4"/>
  <c r="J97" i="4"/>
  <c r="K97" i="4" s="1"/>
  <c r="J83" i="4"/>
  <c r="J56" i="4"/>
  <c r="J74" i="4"/>
  <c r="K74" i="4" s="1"/>
  <c r="J141" i="4"/>
  <c r="K141" i="4" s="1"/>
  <c r="J214" i="4"/>
  <c r="H178" i="4"/>
  <c r="J155" i="4"/>
  <c r="J262" i="4"/>
  <c r="H41" i="4"/>
  <c r="J57" i="4"/>
  <c r="K57" i="4" s="1"/>
  <c r="L57" i="4" s="1"/>
  <c r="J169" i="4"/>
  <c r="K169" i="4" s="1"/>
  <c r="J39" i="4"/>
  <c r="J23" i="4"/>
  <c r="J32" i="4"/>
  <c r="J34" i="4" s="1"/>
  <c r="J146" i="4"/>
  <c r="J142" i="4"/>
  <c r="K142" i="4" s="1"/>
  <c r="J176" i="4"/>
  <c r="J215" i="4"/>
  <c r="K215" i="4" s="1"/>
  <c r="J228" i="4"/>
  <c r="J211" i="4"/>
  <c r="G80" i="4"/>
  <c r="G92" i="4"/>
  <c r="G221" i="4"/>
  <c r="G255" i="4"/>
  <c r="J11" i="4"/>
  <c r="J20" i="4" s="1"/>
  <c r="G86" i="4"/>
  <c r="G29" i="4"/>
  <c r="J29" i="4" s="1"/>
  <c r="K29" i="4" s="1"/>
  <c r="G115" i="4"/>
  <c r="G41" i="4"/>
  <c r="G148" i="4"/>
  <c r="G178" i="4"/>
  <c r="H143" i="4"/>
  <c r="H115" i="4"/>
  <c r="G143" i="4"/>
  <c r="G172" i="4"/>
  <c r="H103" i="4"/>
  <c r="H234" i="4"/>
  <c r="H230" i="4"/>
  <c r="G156" i="4"/>
  <c r="G76" i="4"/>
  <c r="H156" i="4"/>
  <c r="G103" i="4"/>
  <c r="H264" i="4"/>
  <c r="H76" i="4"/>
  <c r="G264" i="4"/>
  <c r="G99" i="4"/>
  <c r="G250" i="4"/>
  <c r="H99" i="4"/>
  <c r="G230" i="4"/>
  <c r="H250" i="4"/>
  <c r="P15" i="4"/>
  <c r="P290" i="4"/>
  <c r="P300" i="4"/>
  <c r="P301" i="4"/>
  <c r="P297" i="4"/>
  <c r="P291" i="4"/>
  <c r="P298" i="4"/>
  <c r="P296" i="4"/>
  <c r="P294" i="4"/>
  <c r="P295" i="4"/>
  <c r="P293" i="4"/>
  <c r="P292" i="4"/>
  <c r="P170" i="4"/>
  <c r="P380" i="4"/>
  <c r="P171" i="4"/>
  <c r="P105" i="4"/>
  <c r="P107" i="4" s="1"/>
  <c r="P382" i="4"/>
  <c r="P383" i="4"/>
  <c r="G12" i="14"/>
  <c r="H12" i="14"/>
  <c r="G9" i="14"/>
  <c r="K9" i="14" s="1"/>
  <c r="K131" i="4" l="1"/>
  <c r="J134" i="4"/>
  <c r="N150" i="13"/>
  <c r="K119" i="4"/>
  <c r="L119" i="4" s="1"/>
  <c r="L121" i="4" s="1"/>
  <c r="J61" i="4"/>
  <c r="J49" i="4"/>
  <c r="K28" i="4"/>
  <c r="L28" i="4" s="1"/>
  <c r="O28" i="4" s="1"/>
  <c r="P28" i="4" s="1"/>
  <c r="P29" i="4" s="1"/>
  <c r="N161" i="13"/>
  <c r="N38" i="13"/>
  <c r="J212" i="4"/>
  <c r="K23" i="4"/>
  <c r="K25" i="4" s="1"/>
  <c r="J25" i="4"/>
  <c r="P398" i="4"/>
  <c r="N134" i="13"/>
  <c r="N219" i="13"/>
  <c r="L282" i="4"/>
  <c r="O282" i="4" s="1"/>
  <c r="P282" i="4" s="1"/>
  <c r="L268" i="4"/>
  <c r="O268" i="4" s="1"/>
  <c r="P268" i="4" s="1"/>
  <c r="L247" i="4"/>
  <c r="O247" i="4" s="1"/>
  <c r="P247" i="4" s="1"/>
  <c r="L249" i="4"/>
  <c r="O249" i="4" s="1"/>
  <c r="P249" i="4" s="1"/>
  <c r="L169" i="4"/>
  <c r="O169" i="4" s="1"/>
  <c r="P169" i="4" s="1"/>
  <c r="L216" i="4"/>
  <c r="O216" i="4" s="1"/>
  <c r="P216" i="4" s="1"/>
  <c r="L215" i="4"/>
  <c r="O215" i="4" s="1"/>
  <c r="P215" i="4" s="1"/>
  <c r="L229" i="4"/>
  <c r="O229" i="4" s="1"/>
  <c r="P229" i="4" s="1"/>
  <c r="L263" i="4"/>
  <c r="O263" i="4" s="1"/>
  <c r="P263" i="4" s="1"/>
  <c r="L152" i="4"/>
  <c r="O152" i="4" s="1"/>
  <c r="P152" i="4" s="1"/>
  <c r="L141" i="4"/>
  <c r="O141" i="4" s="1"/>
  <c r="P141" i="4" s="1"/>
  <c r="L153" i="4"/>
  <c r="O153" i="4" s="1"/>
  <c r="P153" i="4" s="1"/>
  <c r="L142" i="4"/>
  <c r="O142" i="4" s="1"/>
  <c r="P142" i="4" s="1"/>
  <c r="L126" i="4"/>
  <c r="O126" i="4" s="1"/>
  <c r="P126" i="4" s="1"/>
  <c r="L74" i="4"/>
  <c r="O74" i="4" s="1"/>
  <c r="P74" i="4" s="1"/>
  <c r="O58" i="4"/>
  <c r="L97" i="4"/>
  <c r="O97" i="4" s="1"/>
  <c r="P97" i="4" s="1"/>
  <c r="L75" i="4"/>
  <c r="O75" i="4" s="1"/>
  <c r="P75" i="4" s="1"/>
  <c r="O57" i="4"/>
  <c r="P57" i="4" s="1"/>
  <c r="O46" i="4"/>
  <c r="P46" i="4" s="1"/>
  <c r="O48" i="4"/>
  <c r="P48" i="4" s="1"/>
  <c r="K355" i="4"/>
  <c r="K211" i="4"/>
  <c r="K283" i="4"/>
  <c r="L283" i="4" s="1"/>
  <c r="J284" i="4"/>
  <c r="K262" i="4"/>
  <c r="L262" i="4" s="1"/>
  <c r="J264" i="4"/>
  <c r="K253" i="4"/>
  <c r="L253" i="4" s="1"/>
  <c r="J255" i="4"/>
  <c r="K267" i="4"/>
  <c r="L267" i="4" s="1"/>
  <c r="J269" i="4"/>
  <c r="J250" i="4"/>
  <c r="K176" i="4"/>
  <c r="J178" i="4"/>
  <c r="K185" i="4"/>
  <c r="K187" i="4" s="1"/>
  <c r="K228" i="4"/>
  <c r="L228" i="4" s="1"/>
  <c r="J230" i="4"/>
  <c r="J221" i="4"/>
  <c r="K214" i="4"/>
  <c r="L214" i="4" s="1"/>
  <c r="J217" i="4"/>
  <c r="L233" i="4"/>
  <c r="J234" i="4"/>
  <c r="K210" i="4"/>
  <c r="K193" i="4"/>
  <c r="L168" i="4"/>
  <c r="J172" i="4"/>
  <c r="K155" i="4"/>
  <c r="L155" i="4" s="1"/>
  <c r="J156" i="4"/>
  <c r="K146" i="4"/>
  <c r="L146" i="4" s="1"/>
  <c r="J148" i="4"/>
  <c r="K124" i="4"/>
  <c r="L124" i="4" s="1"/>
  <c r="J128" i="4"/>
  <c r="J143" i="4"/>
  <c r="K143" i="4"/>
  <c r="K115" i="4"/>
  <c r="K71" i="4"/>
  <c r="L71" i="4" s="1"/>
  <c r="J76" i="4"/>
  <c r="K32" i="4"/>
  <c r="K39" i="4"/>
  <c r="J41" i="4"/>
  <c r="K56" i="4"/>
  <c r="J86" i="4"/>
  <c r="K83" i="4"/>
  <c r="L83" i="4" s="1"/>
  <c r="K45" i="4"/>
  <c r="K79" i="4"/>
  <c r="L79" i="4" s="1"/>
  <c r="J80" i="4"/>
  <c r="K90" i="4"/>
  <c r="L90" i="4" s="1"/>
  <c r="J92" i="4"/>
  <c r="J99" i="4"/>
  <c r="K11" i="4"/>
  <c r="K20" i="4" s="1"/>
  <c r="K99" i="4"/>
  <c r="J103" i="4"/>
  <c r="K102" i="4"/>
  <c r="L102" i="4" s="1"/>
  <c r="K12" i="14"/>
  <c r="P78" i="4"/>
  <c r="P159" i="4"/>
  <c r="P161" i="4" s="1"/>
  <c r="P304" i="4"/>
  <c r="P317" i="4" s="1"/>
  <c r="P289" i="4"/>
  <c r="L12" i="14"/>
  <c r="P60" i="4"/>
  <c r="P33" i="4"/>
  <c r="P138" i="4"/>
  <c r="P44" i="4"/>
  <c r="P151" i="4"/>
  <c r="P70" i="4"/>
  <c r="K134" i="4" l="1"/>
  <c r="L131" i="4"/>
  <c r="K121" i="4"/>
  <c r="L56" i="4"/>
  <c r="L61" i="4" s="1"/>
  <c r="K61" i="4"/>
  <c r="P58" i="4"/>
  <c r="L32" i="4"/>
  <c r="L34" i="4" s="1"/>
  <c r="K34" i="4"/>
  <c r="L45" i="4"/>
  <c r="L49" i="4" s="1"/>
  <c r="K49" i="4"/>
  <c r="L193" i="4"/>
  <c r="L194" i="4" s="1"/>
  <c r="K194" i="4"/>
  <c r="L39" i="4"/>
  <c r="K41" i="4"/>
  <c r="L176" i="4"/>
  <c r="K178" i="4"/>
  <c r="Q397" i="4"/>
  <c r="K212" i="4"/>
  <c r="L185" i="4"/>
  <c r="L187" i="4" s="1"/>
  <c r="L23" i="4"/>
  <c r="L25" i="4" s="1"/>
  <c r="L11" i="4"/>
  <c r="L20" i="4" s="1"/>
  <c r="Q134" i="13"/>
  <c r="Q150" i="13"/>
  <c r="Q161" i="13"/>
  <c r="Q219" i="13"/>
  <c r="L29" i="4"/>
  <c r="L211" i="4"/>
  <c r="Q46" i="13"/>
  <c r="Q38" i="13"/>
  <c r="L355" i="4"/>
  <c r="O354" i="4"/>
  <c r="K284" i="4"/>
  <c r="K255" i="4"/>
  <c r="K264" i="4"/>
  <c r="K269" i="4"/>
  <c r="K250" i="4"/>
  <c r="K234" i="4"/>
  <c r="K217" i="4"/>
  <c r="L220" i="4"/>
  <c r="L210" i="4"/>
  <c r="K230" i="4"/>
  <c r="K172" i="4"/>
  <c r="K156" i="4"/>
  <c r="K148" i="4"/>
  <c r="K128" i="4"/>
  <c r="L143" i="4"/>
  <c r="O140" i="4"/>
  <c r="O119" i="4"/>
  <c r="O121" i="4" s="1"/>
  <c r="O113" i="4"/>
  <c r="L115" i="4"/>
  <c r="K86" i="4"/>
  <c r="K103" i="4"/>
  <c r="K92" i="4"/>
  <c r="K76" i="4"/>
  <c r="O95" i="4"/>
  <c r="L99" i="4"/>
  <c r="K80" i="4"/>
  <c r="L9" i="14"/>
  <c r="O29" i="4" l="1"/>
  <c r="O131" i="4"/>
  <c r="L134" i="4"/>
  <c r="L212" i="4"/>
  <c r="R161" i="13"/>
  <c r="R219" i="13"/>
  <c r="R134" i="13"/>
  <c r="R38" i="13"/>
  <c r="R46" i="13"/>
  <c r="O355" i="4"/>
  <c r="P354" i="4"/>
  <c r="P355" i="4" s="1"/>
  <c r="O211" i="4"/>
  <c r="O283" i="4"/>
  <c r="L284" i="4"/>
  <c r="O262" i="4"/>
  <c r="L264" i="4"/>
  <c r="O253" i="4"/>
  <c r="L255" i="4"/>
  <c r="O267" i="4"/>
  <c r="L269" i="4"/>
  <c r="L250" i="4"/>
  <c r="O176" i="4"/>
  <c r="L178" i="4"/>
  <c r="O185" i="4"/>
  <c r="O187" i="4" s="1"/>
  <c r="O210" i="4"/>
  <c r="O214" i="4"/>
  <c r="L217" i="4"/>
  <c r="O220" i="4"/>
  <c r="L221" i="4"/>
  <c r="O228" i="4"/>
  <c r="L230" i="4"/>
  <c r="O233" i="4"/>
  <c r="O234" i="4" s="1"/>
  <c r="L234" i="4"/>
  <c r="O193" i="4"/>
  <c r="O194" i="4" s="1"/>
  <c r="O168" i="4"/>
  <c r="L172" i="4"/>
  <c r="O155" i="4"/>
  <c r="L156" i="4"/>
  <c r="O146" i="4"/>
  <c r="L148" i="4"/>
  <c r="O124" i="4"/>
  <c r="L128" i="4"/>
  <c r="O143" i="4"/>
  <c r="P140" i="4"/>
  <c r="P143" i="4" s="1"/>
  <c r="P119" i="4"/>
  <c r="P121" i="4" s="1"/>
  <c r="O115" i="4"/>
  <c r="P113" i="4"/>
  <c r="P115" i="4" s="1"/>
  <c r="O56" i="4"/>
  <c r="O61" i="4" s="1"/>
  <c r="L103" i="4"/>
  <c r="O102" i="4"/>
  <c r="O45" i="4"/>
  <c r="O49" i="4" s="1"/>
  <c r="O32" i="4"/>
  <c r="O34" i="4" s="1"/>
  <c r="O90" i="4"/>
  <c r="L92" i="4"/>
  <c r="O79" i="4"/>
  <c r="L80" i="4"/>
  <c r="O11" i="4"/>
  <c r="O20" i="4" s="1"/>
  <c r="O83" i="4"/>
  <c r="L86" i="4"/>
  <c r="L76" i="4"/>
  <c r="O71" i="4"/>
  <c r="O99" i="4"/>
  <c r="P95" i="4"/>
  <c r="P99" i="4" s="1"/>
  <c r="L41" i="4"/>
  <c r="O39" i="4"/>
  <c r="O23" i="4"/>
  <c r="O25" i="4" s="1"/>
  <c r="I110" i="13"/>
  <c r="O134" i="4" l="1"/>
  <c r="P131" i="4"/>
  <c r="P134" i="4" s="1"/>
  <c r="O212" i="4"/>
  <c r="L110" i="13"/>
  <c r="P211" i="4"/>
  <c r="P283" i="4"/>
  <c r="P284" i="4" s="1"/>
  <c r="O284" i="4"/>
  <c r="O255" i="4"/>
  <c r="P253" i="4"/>
  <c r="P255" i="4" s="1"/>
  <c r="O264" i="4"/>
  <c r="P262" i="4"/>
  <c r="P264" i="4" s="1"/>
  <c r="P267" i="4"/>
  <c r="P269" i="4" s="1"/>
  <c r="O269" i="4"/>
  <c r="O250" i="4"/>
  <c r="P250" i="4"/>
  <c r="P185" i="4"/>
  <c r="P187" i="4" s="1"/>
  <c r="O178" i="4"/>
  <c r="P176" i="4"/>
  <c r="P178" i="4" s="1"/>
  <c r="O221" i="4"/>
  <c r="P220" i="4"/>
  <c r="P221" i="4" s="1"/>
  <c r="O230" i="4"/>
  <c r="P228" i="4"/>
  <c r="P230" i="4" s="1"/>
  <c r="O217" i="4"/>
  <c r="P214" i="4"/>
  <c r="P217" i="4" s="1"/>
  <c r="P233" i="4"/>
  <c r="P234" i="4" s="1"/>
  <c r="P210" i="4"/>
  <c r="P193" i="4"/>
  <c r="P194" i="4" s="1"/>
  <c r="O172" i="4"/>
  <c r="P168" i="4"/>
  <c r="P172" i="4" s="1"/>
  <c r="P155" i="4"/>
  <c r="P156" i="4" s="1"/>
  <c r="O156" i="4"/>
  <c r="O148" i="4"/>
  <c r="P146" i="4"/>
  <c r="P148" i="4" s="1"/>
  <c r="P124" i="4"/>
  <c r="P128" i="4" s="1"/>
  <c r="O128" i="4"/>
  <c r="P32" i="4"/>
  <c r="P34" i="4" s="1"/>
  <c r="O41" i="4"/>
  <c r="P39" i="4"/>
  <c r="P41" i="4" s="1"/>
  <c r="O80" i="4"/>
  <c r="P79" i="4"/>
  <c r="P80" i="4" s="1"/>
  <c r="O86" i="4"/>
  <c r="P83" i="4"/>
  <c r="P86" i="4" s="1"/>
  <c r="P11" i="4"/>
  <c r="P20" i="4" s="1"/>
  <c r="P23" i="4"/>
  <c r="P25" i="4" s="1"/>
  <c r="P45" i="4"/>
  <c r="P49" i="4" s="1"/>
  <c r="O103" i="4"/>
  <c r="P102" i="4"/>
  <c r="P103" i="4" s="1"/>
  <c r="O76" i="4"/>
  <c r="P71" i="4"/>
  <c r="P76" i="4" s="1"/>
  <c r="P56" i="4"/>
  <c r="P61" i="4" s="1"/>
  <c r="O92" i="4"/>
  <c r="P90" i="4"/>
  <c r="P92" i="4" s="1"/>
  <c r="P212" i="4" l="1"/>
  <c r="M110" i="13"/>
  <c r="N110" i="13" s="1"/>
  <c r="Q1048203" i="13" l="1"/>
  <c r="B64875" i="13"/>
  <c r="B64877" i="13" s="1"/>
  <c r="Q110" i="13" l="1"/>
  <c r="R110" i="13" l="1"/>
  <c r="R162" i="13"/>
  <c r="B16923" i="4"/>
  <c r="B16925" i="4" s="1"/>
  <c r="H243" i="4"/>
  <c r="G243" i="4"/>
  <c r="J243" i="4" l="1"/>
  <c r="K243" i="4" s="1"/>
  <c r="L243" i="4" s="1"/>
  <c r="O243" i="4" s="1"/>
  <c r="P243" i="4" s="1"/>
  <c r="H244" i="4"/>
  <c r="G244" i="4"/>
  <c r="A32" i="13"/>
  <c r="A33" i="13" s="1"/>
  <c r="A34" i="13" l="1"/>
  <c r="A38" i="13" s="1"/>
  <c r="A39" i="13" s="1"/>
  <c r="J244" i="4"/>
  <c r="K244" i="4"/>
  <c r="A40" i="13" l="1"/>
  <c r="A41" i="13" s="1"/>
  <c r="A50" i="13" s="1"/>
  <c r="A51" i="13" s="1"/>
  <c r="L244" i="4"/>
  <c r="K877141" i="14"/>
  <c r="A56" i="13" l="1"/>
  <c r="A61" i="13" s="1"/>
  <c r="A65" i="13" s="1"/>
  <c r="A70" i="13" s="1"/>
  <c r="A71" i="13" s="1"/>
  <c r="A75" i="13" s="1"/>
  <c r="O244" i="4"/>
  <c r="P244" i="4"/>
  <c r="A76" i="13" l="1"/>
  <c r="A77" i="13" s="1"/>
  <c r="A82" i="13" l="1"/>
  <c r="A86" i="13" s="1"/>
  <c r="A90" i="13" s="1"/>
  <c r="A91" i="13" l="1"/>
  <c r="A92" i="13" s="1"/>
  <c r="A95" i="13" s="1"/>
  <c r="A99" i="13" s="1"/>
  <c r="A100" i="13" l="1"/>
  <c r="A104" i="13" s="1"/>
  <c r="A109" i="13" s="1"/>
  <c r="A110" i="13" s="1"/>
  <c r="A111" i="13" s="1"/>
  <c r="A115" i="13" s="1"/>
  <c r="A116" i="13" l="1"/>
  <c r="A120" i="13" s="1"/>
  <c r="A124" i="13" s="1"/>
  <c r="A128" i="13" s="1"/>
  <c r="A129" i="13" s="1"/>
  <c r="A130" i="13" l="1"/>
  <c r="A134" i="13" s="1"/>
  <c r="A135" i="13" s="1"/>
  <c r="A136" i="13" s="1"/>
  <c r="A140" i="13" l="1"/>
  <c r="A141" i="13" s="1"/>
  <c r="A145" i="13" s="1"/>
  <c r="A146" i="13" l="1"/>
  <c r="A150" i="13" s="1"/>
  <c r="A156" i="13" s="1"/>
  <c r="A160" i="13" s="1"/>
  <c r="B49" i="16" l="1"/>
  <c r="B53" i="16" l="1"/>
  <c r="B57" i="16" s="1"/>
  <c r="B60" i="16" l="1"/>
  <c r="B64" i="16" s="1"/>
  <c r="B68" i="16" s="1"/>
  <c r="B72" i="16" s="1"/>
  <c r="B76" i="16" s="1"/>
  <c r="B77" i="16" l="1"/>
  <c r="B81" i="16" s="1"/>
  <c r="B82" i="16" s="1"/>
  <c r="B86" i="16" s="1"/>
  <c r="B87" i="16" s="1"/>
  <c r="B91" i="16" s="1"/>
  <c r="B95" i="16" s="1"/>
  <c r="B99" i="16" s="1"/>
  <c r="B111" i="16" l="1"/>
  <c r="B115" i="16" s="1"/>
  <c r="B119" i="16" s="1"/>
  <c r="B123" i="16" s="1"/>
  <c r="B124" i="16" s="1"/>
  <c r="B128" i="16" s="1"/>
  <c r="B132" i="16" l="1"/>
  <c r="B137" i="16" s="1"/>
  <c r="B138" i="16" s="1"/>
  <c r="A161" i="13" l="1"/>
  <c r="A162" i="13" s="1"/>
  <c r="A163" i="13" s="1"/>
  <c r="A164" i="13" s="1"/>
  <c r="A165" i="13" s="1"/>
  <c r="A174" i="13" l="1"/>
  <c r="A175" i="13" s="1"/>
  <c r="A176" i="13" s="1"/>
  <c r="A180" i="13" s="1"/>
  <c r="A181" i="13" s="1"/>
  <c r="A185" i="13" s="1"/>
  <c r="A189" i="13" s="1"/>
  <c r="A190" i="13" s="1"/>
  <c r="A166" i="13"/>
  <c r="A191" i="13" l="1"/>
  <c r="A192" i="13" s="1"/>
  <c r="A193" i="13" l="1"/>
  <c r="A194" i="13" s="1"/>
  <c r="A198" i="13" s="1"/>
  <c r="A199" i="13" s="1"/>
  <c r="A200" i="13" s="1"/>
  <c r="A201" i="13" s="1"/>
  <c r="A205" i="13" s="1"/>
  <c r="A209" i="13" s="1"/>
  <c r="A210" i="13" s="1"/>
  <c r="A211" i="13" s="1"/>
  <c r="A215" i="13" s="1"/>
  <c r="A219" i="13" s="1"/>
  <c r="A223" i="13" s="1"/>
  <c r="A227" i="13" s="1"/>
  <c r="A228" i="13" l="1"/>
  <c r="A232" i="13" s="1"/>
  <c r="A233" i="13" s="1"/>
  <c r="A237" i="13" s="1"/>
  <c r="A238" i="13" s="1"/>
  <c r="A242" i="13" s="1"/>
  <c r="A247" i="13" l="1"/>
  <c r="A251" i="13" s="1"/>
  <c r="A255" i="13" l="1"/>
  <c r="A38" i="4"/>
  <c r="A39" i="4" s="1"/>
  <c r="A40" i="4" s="1"/>
  <c r="A43" i="4" s="1"/>
  <c r="A44" i="4" s="1"/>
  <c r="A45" i="4" s="1"/>
  <c r="A46" i="4" s="1"/>
  <c r="A47" i="4" s="1"/>
  <c r="A48" i="4" l="1"/>
  <c r="A56" i="4"/>
  <c r="A57" i="4" s="1"/>
  <c r="A58" i="4" s="1"/>
  <c r="A59" i="4" s="1"/>
  <c r="A60" i="4" l="1"/>
  <c r="A64" i="4" s="1"/>
  <c r="A65" i="4" s="1"/>
  <c r="A66" i="4" s="1"/>
  <c r="A70" i="4" s="1"/>
  <c r="A71" i="4" s="1"/>
  <c r="A72" i="4" s="1"/>
  <c r="A73" i="4" s="1"/>
  <c r="A74" i="4" s="1"/>
  <c r="A75" i="4" s="1"/>
  <c r="A78" i="4" s="1"/>
  <c r="A79" i="4" s="1"/>
  <c r="A83" i="4" s="1"/>
  <c r="A84" i="4" s="1"/>
  <c r="A85" i="4" s="1"/>
  <c r="A89" i="4" s="1"/>
  <c r="A90" i="4" s="1"/>
  <c r="A91" i="4" s="1"/>
  <c r="A95" i="4" s="1"/>
  <c r="A96" i="4" s="1"/>
  <c r="A97" i="4" s="1"/>
  <c r="A98" i="4" s="1"/>
  <c r="A102" i="4" s="1"/>
  <c r="A105" i="4" s="1"/>
  <c r="A106" i="4" s="1"/>
  <c r="A110" i="4" s="1"/>
  <c r="A111" i="4" s="1"/>
  <c r="A112" i="4" s="1"/>
  <c r="A113" i="4" s="1"/>
  <c r="A114" i="4" s="1"/>
  <c r="A118" i="4" l="1"/>
  <c r="A119" i="4" s="1"/>
  <c r="A120" i="4" s="1"/>
  <c r="A124" i="4" s="1"/>
  <c r="A125" i="4" s="1"/>
  <c r="A126" i="4" s="1"/>
  <c r="A127" i="4" s="1"/>
  <c r="A130" i="4" l="1"/>
  <c r="A131" i="4" s="1"/>
  <c r="A132" i="4" s="1"/>
  <c r="A133" i="4" l="1"/>
  <c r="A137" i="4" s="1"/>
  <c r="A138" i="4" s="1"/>
  <c r="A139" i="4" s="1"/>
  <c r="A140" i="4" s="1"/>
  <c r="A141" i="4" s="1"/>
  <c r="A142" i="4" s="1"/>
  <c r="A146" i="4" s="1"/>
  <c r="A147" i="4" s="1"/>
  <c r="A151" i="4" s="1"/>
  <c r="A152" i="4" s="1"/>
  <c r="A153" i="4" s="1"/>
  <c r="A154" i="4" s="1"/>
  <c r="A155" i="4" s="1"/>
  <c r="A159" i="4" s="1"/>
  <c r="A160" i="4" s="1"/>
  <c r="A164" i="4" s="1"/>
  <c r="A168" i="4" s="1"/>
  <c r="A169" i="4" s="1"/>
  <c r="A170" i="4" s="1"/>
  <c r="A171" i="4" s="1"/>
  <c r="A176" i="4" s="1"/>
  <c r="A177" i="4" s="1"/>
  <c r="A181" i="4" s="1"/>
  <c r="A184" i="4" s="1"/>
  <c r="A185" i="4" s="1"/>
  <c r="A186" i="4" s="1"/>
  <c r="A190" i="4" s="1"/>
  <c r="A191" i="4" s="1"/>
  <c r="A192" i="4" s="1"/>
  <c r="A193" i="4" s="1"/>
  <c r="A197" i="4" s="1"/>
  <c r="A198" i="4" s="1"/>
  <c r="A199" i="4" s="1"/>
  <c r="A200" i="4" s="1"/>
  <c r="A201" i="4" s="1"/>
  <c r="A202" i="4" l="1"/>
  <c r="A206" i="4" s="1"/>
  <c r="A210" i="4" s="1"/>
  <c r="A211" i="4" s="1"/>
  <c r="A214" i="4" s="1"/>
  <c r="A215" i="4" s="1"/>
  <c r="A216" i="4" s="1"/>
  <c r="A220" i="4" s="1"/>
  <c r="A224" i="4" s="1"/>
  <c r="A228" i="4" s="1"/>
  <c r="A229" i="4" s="1"/>
  <c r="A233" i="4" s="1"/>
  <c r="A237" i="4" s="1"/>
  <c r="A238" i="4" s="1"/>
  <c r="A239" i="4" l="1"/>
  <c r="A243" i="4" s="1"/>
  <c r="A247" i="4" s="1"/>
  <c r="A248" i="4" s="1"/>
  <c r="A249" i="4" s="1"/>
  <c r="A253" i="4" s="1"/>
  <c r="A254" i="4" s="1"/>
  <c r="A258" i="4" s="1"/>
  <c r="A262" i="4" s="1"/>
  <c r="A263" i="4" s="1"/>
  <c r="A267" i="4" s="1"/>
  <c r="A268" i="4" s="1"/>
  <c r="A272" i="4" s="1"/>
  <c r="A273" i="4" s="1"/>
  <c r="A274" i="4" s="1"/>
  <c r="A278" i="4" s="1"/>
  <c r="A282" i="4" s="1"/>
  <c r="A283" i="4" s="1"/>
  <c r="A286" i="4" s="1"/>
  <c r="A287" i="4" s="1"/>
  <c r="A288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2" i="4" s="1"/>
  <c r="A303" i="4" s="1"/>
  <c r="A304" i="4" s="1"/>
  <c r="A305" i="4" s="1"/>
  <c r="A306" i="4" s="1"/>
  <c r="A307" i="4" s="1"/>
  <c r="A308" i="4" s="1"/>
  <c r="A309" i="4" s="1"/>
  <c r="A310" i="4" s="1"/>
  <c r="A311" i="4" s="1"/>
  <c r="A312" i="4" s="1"/>
  <c r="A313" i="4" s="1"/>
  <c r="A314" i="4" s="1"/>
  <c r="A315" i="4" s="1"/>
  <c r="A316" i="4" s="1"/>
  <c r="A320" i="4" s="1"/>
  <c r="A321" i="4" s="1"/>
  <c r="A322" i="4" s="1"/>
  <c r="A323" i="4" s="1"/>
  <c r="A324" i="4" s="1"/>
  <c r="A325" i="4" s="1"/>
  <c r="A328" i="4" s="1"/>
  <c r="A329" i="4" s="1"/>
  <c r="A330" i="4" s="1"/>
  <c r="A331" i="4" s="1"/>
  <c r="A332" i="4" s="1"/>
  <c r="A333" i="4" s="1"/>
  <c r="A334" i="4" s="1"/>
  <c r="A335" i="4" s="1"/>
  <c r="A336" i="4" s="1"/>
  <c r="A337" i="4" s="1"/>
  <c r="A338" i="4" s="1"/>
  <c r="A339" i="4" s="1"/>
  <c r="A340" i="4" s="1"/>
  <c r="A341" i="4" s="1"/>
  <c r="A342" i="4" s="1"/>
  <c r="A343" i="4" s="1"/>
  <c r="A344" i="4" s="1"/>
  <c r="A345" i="4" l="1"/>
  <c r="A349" i="4" s="1"/>
  <c r="A350" i="4" s="1"/>
  <c r="A354" i="4" s="1"/>
  <c r="A358" i="4" s="1"/>
  <c r="A362" i="4" s="1"/>
  <c r="A366" i="4" s="1"/>
  <c r="A367" i="4" s="1"/>
  <c r="A368" i="4" s="1"/>
  <c r="A372" i="4" s="1"/>
  <c r="A373" i="4" s="1"/>
  <c r="A377" i="4" s="1"/>
  <c r="A378" i="4" s="1"/>
  <c r="A379" i="4" s="1"/>
  <c r="A380" i="4" s="1"/>
  <c r="A381" i="4" s="1"/>
  <c r="A382" i="4" s="1"/>
  <c r="A383" i="4" s="1"/>
  <c r="A384" i="4" s="1"/>
  <c r="A385" i="4" s="1"/>
  <c r="A386" i="4" s="1"/>
  <c r="A387" i="4" s="1"/>
  <c r="A388" i="4" s="1"/>
  <c r="A389" i="4" s="1"/>
  <c r="A390" i="4" s="1"/>
  <c r="A391" i="4" s="1"/>
  <c r="A392" i="4" s="1"/>
  <c r="A393" i="4" s="1"/>
  <c r="A394" i="4" s="1"/>
  <c r="A395" i="4" s="1"/>
  <c r="A396" i="4" s="1"/>
  <c r="A397" i="4" s="1"/>
  <c r="O151" i="13"/>
</calcChain>
</file>

<file path=xl/sharedStrings.xml><?xml version="1.0" encoding="utf-8"?>
<sst xmlns="http://schemas.openxmlformats.org/spreadsheetml/2006/main" count="2058" uniqueCount="721">
  <si>
    <t>NO.</t>
  </si>
  <si>
    <t>AFP (2.87)</t>
  </si>
  <si>
    <t>SFS ( 3.04)</t>
  </si>
  <si>
    <t xml:space="preserve">Total de Descuentos </t>
  </si>
  <si>
    <t xml:space="preserve">MANUEL ANTONIO MARTE SUAZO </t>
  </si>
  <si>
    <t xml:space="preserve">ALTAGRACIA JIMENEZ DE CASIMIRO </t>
  </si>
  <si>
    <t xml:space="preserve">PERIODISTA </t>
  </si>
  <si>
    <t>MILADY ALTAGRACIA CONTRERAS INFANTE</t>
  </si>
  <si>
    <t xml:space="preserve">ARELIS JOSELIN FIGUEREO HERRERA </t>
  </si>
  <si>
    <t xml:space="preserve">DISEÑADOR GRAFICO </t>
  </si>
  <si>
    <t xml:space="preserve">SORIBEL MEDINA LAGRANGE </t>
  </si>
  <si>
    <t xml:space="preserve">PATRICIA MARIEL CASTILLO CEDEÑO </t>
  </si>
  <si>
    <t>KARLA MARIEL UREÑA GIL</t>
  </si>
  <si>
    <t>CARLOS RAFAEL OVALLE OSORIO</t>
  </si>
  <si>
    <t>GELLMNS KEEMSIOLY GIL BISONO</t>
  </si>
  <si>
    <t>DAYANA ALEXANDRA CRESPO VARGAS</t>
  </si>
  <si>
    <t xml:space="preserve">MARIBEL DURAN SANTANA </t>
  </si>
  <si>
    <t xml:space="preserve">SKARLING HERRAND DE LA CRUZ </t>
  </si>
  <si>
    <t xml:space="preserve">ALBERTO MENDOZA MENA </t>
  </si>
  <si>
    <t xml:space="preserve">LEONARDO ANTONIO NUÑEZ FUNG </t>
  </si>
  <si>
    <t>SOPORTE TECNICO INFORMATICO</t>
  </si>
  <si>
    <t xml:space="preserve">DEPARTAMENTO ADMINISTRATIVO Y FINANCIERO </t>
  </si>
  <si>
    <t xml:space="preserve">AUXILIAR ADMINISTRATIVO </t>
  </si>
  <si>
    <t xml:space="preserve">MEIBY ESPERANZA GUILLEN BELTRE </t>
  </si>
  <si>
    <t xml:space="preserve">AQUILINA DEL SOCORRO RUIZ </t>
  </si>
  <si>
    <t xml:space="preserve">CRECENCIA BELLIARD MELENCIANO </t>
  </si>
  <si>
    <t>AUXILIAR ADMINISTRATIVO I</t>
  </si>
  <si>
    <t xml:space="preserve">ANTONIA ROA TAPIA </t>
  </si>
  <si>
    <t xml:space="preserve">TERESA HIDALGO DE PEQUERO </t>
  </si>
  <si>
    <t xml:space="preserve">DOMINGO ANTONIO RAMOS </t>
  </si>
  <si>
    <t>LIGIA SOBANI LUNA RAMIREZ</t>
  </si>
  <si>
    <t xml:space="preserve">YOSSE CASTILLO MINYETTY </t>
  </si>
  <si>
    <t xml:space="preserve">ROSAGNA ALTAGRACIA ADAMES CUELLO </t>
  </si>
  <si>
    <t>PATRICIO ROSARIO ADAMES</t>
  </si>
  <si>
    <t>CONSERJE</t>
  </si>
  <si>
    <t xml:space="preserve">ISIDRO FRUCTUOSO FROMETA </t>
  </si>
  <si>
    <t xml:space="preserve">BELKIS LUISA FIGUEROA BATISTA </t>
  </si>
  <si>
    <t xml:space="preserve">CHOFER II </t>
  </si>
  <si>
    <t xml:space="preserve">GUILLERMO ZAYAS BURGOS </t>
  </si>
  <si>
    <t xml:space="preserve">FRANCISCO ALBERTO BLANCO RAMOS </t>
  </si>
  <si>
    <t xml:space="preserve">YSAIAS MORILLO FERREIRA </t>
  </si>
  <si>
    <t>WENDY ALTAGRACIA MENDOZA SANTANA</t>
  </si>
  <si>
    <t xml:space="preserve">DELKIS ROSA TORIBIO </t>
  </si>
  <si>
    <t xml:space="preserve">NORMA MIGUELINA ESTRELLA PAULINO </t>
  </si>
  <si>
    <t xml:space="preserve">MERCEDES FLORENTINO </t>
  </si>
  <si>
    <t xml:space="preserve">ROBERTO SUERO </t>
  </si>
  <si>
    <t>ROSA YANIRIS MATEO MOJICA</t>
  </si>
  <si>
    <t xml:space="preserve">JULIO CESAR MORILLO </t>
  </si>
  <si>
    <t xml:space="preserve">NIURKA ALTAGRACIA TEJADA </t>
  </si>
  <si>
    <t xml:space="preserve">YDALISE MARMOLEJOS POLANCO </t>
  </si>
  <si>
    <t xml:space="preserve">JENNIFER DEL PILAR OVALLE SANTANA </t>
  </si>
  <si>
    <t xml:space="preserve">ANALISTA SECTORIAL DE PRESUPUESTO </t>
  </si>
  <si>
    <t xml:space="preserve">GILMA ALTAGRACIA OGANDO PAULINO </t>
  </si>
  <si>
    <t xml:space="preserve">ELIZABETH SOTO CORTORREAL </t>
  </si>
  <si>
    <t xml:space="preserve">ELISA MERCEDES DURAN JIMENEZ </t>
  </si>
  <si>
    <t xml:space="preserve">MERLIN REYES </t>
  </si>
  <si>
    <t xml:space="preserve">JHANNET TAVERAS BICHARA </t>
  </si>
  <si>
    <t xml:space="preserve">VANESSA YANET ALMONTE SANTOS </t>
  </si>
  <si>
    <t xml:space="preserve">ANDREA DOLORES CANDELARIO COLLADO </t>
  </si>
  <si>
    <t xml:space="preserve">ANGELICA ALMENGO ALMENGOT </t>
  </si>
  <si>
    <t xml:space="preserve">JOSE ISMAEL PEÑA PERALTA </t>
  </si>
  <si>
    <t xml:space="preserve">PATRICIA ACEVEDO ROSARIO </t>
  </si>
  <si>
    <t xml:space="preserve">LIDIA ALTAGRACIA CASTILLO ROJAS </t>
  </si>
  <si>
    <t xml:space="preserve">DANIEL ALBERTO BATISTA </t>
  </si>
  <si>
    <t xml:space="preserve">SAILEN QUIROZ </t>
  </si>
  <si>
    <t xml:space="preserve">ANA LUCIA BURGOS </t>
  </si>
  <si>
    <t>SECRETARIA</t>
  </si>
  <si>
    <t>MILDRED OVALLE RIVERA</t>
  </si>
  <si>
    <t xml:space="preserve">MARIANA VALDEZ </t>
  </si>
  <si>
    <t xml:space="preserve">WINDER REYES ARIAS </t>
  </si>
  <si>
    <t xml:space="preserve">MILAGROS PANIAGUA </t>
  </si>
  <si>
    <t xml:space="preserve">DELIO OMAR CESPEDES MEDINA </t>
  </si>
  <si>
    <t xml:space="preserve">JAQUELINE BELLO PUJOLS </t>
  </si>
  <si>
    <t>IRANNA LARITZA BRITO TAVAREZ</t>
  </si>
  <si>
    <t xml:space="preserve">ADRI HELEN MATEO BETANCES </t>
  </si>
  <si>
    <t xml:space="preserve">ALBERTO VILLANUEVA POLANCO </t>
  </si>
  <si>
    <t>SHEILA CAMILA TAVAREZ ESCAÑO</t>
  </si>
  <si>
    <t xml:space="preserve">SAMUEL ENRIQUE ESPINAL ALCANTARA </t>
  </si>
  <si>
    <t xml:space="preserve">LAURA VIRGINIA DE LA CRUZ DUVERGE </t>
  </si>
  <si>
    <t xml:space="preserve">GRISELDA COLLADO </t>
  </si>
  <si>
    <t>GILBERTO OLMEDO ACOSTA VICTORIO</t>
  </si>
  <si>
    <t xml:space="preserve">PASCUAL ALBERTO DE LOS SANTOS </t>
  </si>
  <si>
    <t xml:space="preserve">RAYNEL BRESNE SORIANO </t>
  </si>
  <si>
    <t>DESARROLLADOR DE SISTEMAS</t>
  </si>
  <si>
    <t xml:space="preserve">CARLOS PICHARDO </t>
  </si>
  <si>
    <t xml:space="preserve">DEPARTAMENTO DE COMUNICACIONES </t>
  </si>
  <si>
    <t xml:space="preserve">NICOLE MARIEL ESPAILLAT ACOSTA </t>
  </si>
  <si>
    <t xml:space="preserve">FRANCIS TOMAS PAULA LUNA </t>
  </si>
  <si>
    <t xml:space="preserve">RECEPCIONISTA </t>
  </si>
  <si>
    <t>DAMARIS SOLINDA MEDINA RAMIREZ</t>
  </si>
  <si>
    <t xml:space="preserve">DEPARTAMENTO DE  GESTIÓN FINANCIERA DE FORMULACIÓN Y EJECUCIÓN </t>
  </si>
  <si>
    <t xml:space="preserve">DIRECCIÓN DE CALIDAD Y EVALUACIÓN DE LA GESTIÓN PRESUPUESTARIA </t>
  </si>
  <si>
    <t>DEPARTAMENTO EVALUACIÓN DEL DESEMPEÑO PRESUPUESTARIO</t>
  </si>
  <si>
    <t>ANALISTA DE DESARROLLO INSTITUCIONAL II</t>
  </si>
  <si>
    <t xml:space="preserve">SECRETARIA </t>
  </si>
  <si>
    <t xml:space="preserve">ADMINISTRADOR DE BASE DE DATOS </t>
  </si>
  <si>
    <t xml:space="preserve">ADMINISTRADOR DE SISTEMAS </t>
  </si>
  <si>
    <t xml:space="preserve">CAMARERA </t>
  </si>
  <si>
    <t xml:space="preserve">PARQUEADOR </t>
  </si>
  <si>
    <t xml:space="preserve">MENSAJERO INTERNO </t>
  </si>
  <si>
    <t xml:space="preserve">ANALISTA DE SISTEMAS </t>
  </si>
  <si>
    <t xml:space="preserve">EDWIN ARMANDO COSS TERRERO </t>
  </si>
  <si>
    <t xml:space="preserve">JOHANNA FRANCHESCA SANTOS SANTOS </t>
  </si>
  <si>
    <t xml:space="preserve">JULISSA CASTILLO DE PERALTA </t>
  </si>
  <si>
    <t>COORDINADORA DE DESPACHO</t>
  </si>
  <si>
    <t xml:space="preserve">CONTADOR </t>
  </si>
  <si>
    <t xml:space="preserve">DIRECTORIA DE PRESUPUESTOS DE SERVICIOS GENERALES </t>
  </si>
  <si>
    <t>ENCARGADA</t>
  </si>
  <si>
    <t xml:space="preserve">ANALISTA </t>
  </si>
  <si>
    <t xml:space="preserve">GLENNY CONCEPCIÓN CRUZ </t>
  </si>
  <si>
    <t xml:space="preserve">ANALISTA DE NÓMINA </t>
  </si>
  <si>
    <t xml:space="preserve">ENCARGADA DEPARTAMENTO PLANIFICACIÓN Y DESARROLLO </t>
  </si>
  <si>
    <t xml:space="preserve">ENCARGADA DIVISIÓN DE FORMULACIÓN, MONITOREO Y EVALUACIÓN DE PLANES PROGRAMAS Y PROYECTOS </t>
  </si>
  <si>
    <t>ANALISTA DE PLANIFICACIÓN I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</si>
  <si>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</si>
  <si>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</si>
  <si>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</si>
  <si>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</si>
  <si>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</si>
  <si>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</si>
  <si>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</si>
  <si>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 xml:space="preserve">FIJO </t>
  </si>
  <si>
    <t xml:space="preserve">CARRERA ADMINISTRATIVA </t>
  </si>
  <si>
    <t xml:space="preserve">ANALISTA CENTRAL DE PRESUPUESTO </t>
  </si>
  <si>
    <t>Ingreso Bruto</t>
  </si>
  <si>
    <t xml:space="preserve">SUBTOTAL </t>
  </si>
  <si>
    <t xml:space="preserve">Lugar de Trabajo </t>
  </si>
  <si>
    <t xml:space="preserve">Funciones </t>
  </si>
  <si>
    <t>OMAR ENRIQUE POLANCO MOLINA</t>
  </si>
  <si>
    <t>ENCARGADO DEPARTAMENTO JURÍDICO</t>
  </si>
  <si>
    <t>EDDY ROBERT JONES LUCIANO</t>
  </si>
  <si>
    <t>YOHANNY ELIZABETH ESTRELLA DURAN</t>
  </si>
  <si>
    <t>TÉCNICO ADMINISTRATIVO</t>
  </si>
  <si>
    <t>RAFAEL ONERIS NOVA</t>
  </si>
  <si>
    <t>NELSON ANTONIO TODD KERY</t>
  </si>
  <si>
    <t>SUPERVISOR DE TRANSPORTACIÓN</t>
  </si>
  <si>
    <t>CHOFER II</t>
  </si>
  <si>
    <t>YOHNNY MANUEL CIPRIAN CASTILLO</t>
  </si>
  <si>
    <t xml:space="preserve">ESTHER YINET LACHAPEL CRUZ </t>
  </si>
  <si>
    <t>JENNY DEL CARMEN BATISTA FLORES</t>
  </si>
  <si>
    <t xml:space="preserve">BIANCA CAROLINA ALCANTARA YNOA </t>
  </si>
  <si>
    <t xml:space="preserve">ROSSMERY ALTAGRACIA TORIBIO </t>
  </si>
  <si>
    <t xml:space="preserve">CHOFER </t>
  </si>
  <si>
    <t>ANALISTA DE GESTIÓN FINANCIERA Y EJECUCIÓN PRESUPUESTARIA I</t>
  </si>
  <si>
    <t xml:space="preserve">AYUDANTE MANTENIMIENTO </t>
  </si>
  <si>
    <t>ALICIA FELIZ OGANDO</t>
  </si>
  <si>
    <t>ANALISTA DE DESARROLLO DE CAPACIDADES PRESUPUESTARIAS </t>
  </si>
  <si>
    <t>ANALISTA SECTORIAL DE PRESUPUESTO</t>
  </si>
  <si>
    <t>WENDY PATRICIA MONTERO FORTUNA </t>
  </si>
  <si>
    <t xml:space="preserve">COORDINADORA DE COMEDOR </t>
  </si>
  <si>
    <t>VLADIMIR RICHARD TEJEDA VILLAVICENCIO</t>
  </si>
  <si>
    <t>FAUSTO MIGUEL ESPAILLAT TAVAREZ</t>
  </si>
  <si>
    <t xml:space="preserve">ENCARGADO DE SERVICIOS GENERALES </t>
  </si>
  <si>
    <t>DIRECCIÓN DE SERVICIOS PRESUPUESTARIOS</t>
  </si>
  <si>
    <t>DIVISIÓN DE MINISTERIOS DE EDUCACIÓN Y EDUCACIÓN SUPERIOR, CIENCIA Y TECNOLOGÍA</t>
  </si>
  <si>
    <t>DIVISIÓN DE MINISTERIOS DE SALUD PÚBLICA Y ASISTENCIA SOCIAL Y TRABAJO</t>
  </si>
  <si>
    <t>DIVISIÓN DE MINISTERIOS DE LA MUJER, JUVENTUD, CULTURA, DEPORTES Y RECREACIÓN</t>
  </si>
  <si>
    <t>DIVISIÓN DE MINISTERIOS DE MEDIO AMBIENTE, AGRICULTURA Y ENERGÍA Y MINAS</t>
  </si>
  <si>
    <t>DIVISIÓN DE MINISTERIOS DE OBRAS PÚBLICAS Y VIVIENDA</t>
  </si>
  <si>
    <t>DEPARTAMENTO DE SERVICIOS GENERALES</t>
  </si>
  <si>
    <t>DIVISIÓN DE PRESIDENCIA DE LA REPÚBLICA Y MINISTERIO DE RELACIONES EXTERIORES</t>
  </si>
  <si>
    <t>DIVISIÓN DE MINISTERIOS DE HACIENDA, ADMINISTRACIÓN PÚBLICA, ECONOMÍA, PLANIFICACIÓN Y DESARROLLO</t>
  </si>
  <si>
    <t xml:space="preserve">WENDY YOCASTA MERCEDES PEGUERO </t>
  </si>
  <si>
    <t>DIVISIÓN DE MINISTERIO DE DEFENSA</t>
  </si>
  <si>
    <t>DIVISIÓN DE PROCURADURÍA GENERAL DE LA REPÚBLICA Y MINISTERIO DE INTERIOR Y POLICÍA</t>
  </si>
  <si>
    <t>DEPARTAMENTO DE SERVICIOS A LAS EMPRESAS PÚBLICAS</t>
  </si>
  <si>
    <t>DIVISIÓN DE EMPRESAS PÚBLICAS FINANCIERAS</t>
  </si>
  <si>
    <t>DIVISIÓN DE EMPRESAS PÚBLICAS NO FINANCIERAS</t>
  </si>
  <si>
    <t xml:space="preserve">DEPARTAMENTO DE  DE SERVICIOS A LOS GOBIERNOS LOCALES </t>
  </si>
  <si>
    <t>DIVISIÓN DE REGIÓN CIBAO NOROESTE</t>
  </si>
  <si>
    <t>DIVISIÓN DE REGIÓN CIBAO NORDESTE</t>
  </si>
  <si>
    <t xml:space="preserve">DIVISIÓN DE REGIÓN SUR CENTRAL </t>
  </si>
  <si>
    <t>DIVISIÓN DE REGIÓN ESTE</t>
  </si>
  <si>
    <t xml:space="preserve">DIVISIÓN DE LA REGION SUROESTE </t>
  </si>
  <si>
    <t>DEPARTAMENTO DE SERVICIOS A PODERES Y ÓRGANOS CONSTITUCIONALES</t>
  </si>
  <si>
    <t>DIVISIÓN DE JUNTA CENTRAL ELECTORAL, CÁMARA DE CUENTAS, TRIBUNAL CONSTITUCIONAL, DEFENSOR DEL PUEBLO Y TRIBUNAL SUPERIOR ELECTORAL</t>
  </si>
  <si>
    <t>DIVISIÓN DE COMUNICACIÓN INSTITUCIONAL</t>
  </si>
  <si>
    <t>DIVISIÓN DE PRODUCCIÓN GRÁFICA Y DIGITAL</t>
  </si>
  <si>
    <t>SECCIÓN DE DOCUMENTACIÓN</t>
  </si>
  <si>
    <t xml:space="preserve">DEPARTAMENTO DE SERVICIOS SOCIALES </t>
  </si>
  <si>
    <t>ENCARGADA DIVISIÓN DE MINISTERIOS DE SALUD PÚBLICA Y ASISTENCIA SOCIAL Y TRABAJO</t>
  </si>
  <si>
    <t>ENCARGADA DEPARTAMENTO DE SERVICIOS ECONÓMICOS</t>
  </si>
  <si>
    <t xml:space="preserve">JULIANA GUILLERMINA MORERA VILLALONA </t>
  </si>
  <si>
    <t xml:space="preserve">ODILYS YANIRIS HIDALGO SANTANA </t>
  </si>
  <si>
    <t>EGLIS ESTHER CEBALLOS MARTICH</t>
  </si>
  <si>
    <t>DIVISIÓN  DE MINISTERIOS DE TURISMO E INDUSTRIA, COMERCIO Y MIPYMES</t>
  </si>
  <si>
    <t>ENCARGADA DEPARTAMENTO DE SERVICIOS GENERALES</t>
  </si>
  <si>
    <t>ENCARGADA DIVISIÓN DE MINISTERIO DE DEFENSA</t>
  </si>
  <si>
    <t>ENCARGADA DEPARTAMENTO DE SERVICIOS A LAS EMPRESAS PÚBLICAS</t>
  </si>
  <si>
    <t xml:space="preserve">FRANCIS ERNESTO JUSTO HORTON </t>
  </si>
  <si>
    <t xml:space="preserve">LAURA RHINA TERRERO MOQUETE </t>
  </si>
  <si>
    <t>ENCARGADA DE SECCIÓN</t>
  </si>
  <si>
    <t xml:space="preserve">ROBERTO LEANDRO LAMARCHE LEONARDO </t>
  </si>
  <si>
    <t xml:space="preserve">ENCARGADA </t>
  </si>
  <si>
    <t xml:space="preserve">LUZ MINERVA RAMIREZ MONTAÑO </t>
  </si>
  <si>
    <t xml:space="preserve">DIVISIÓN DE PRESIDENCIA DE LA REPÚBLICA Y MINISTERIO DE RELACIONES EXTERIORES </t>
  </si>
  <si>
    <t xml:space="preserve">WASCAR RHADAMES VENTURA GUEVARA </t>
  </si>
  <si>
    <t>REALIZADOR AUDIOVISUAL</t>
  </si>
  <si>
    <t>FIJO</t>
  </si>
  <si>
    <t>LUIS MIGUEL HERRERA LAUREANO</t>
  </si>
  <si>
    <t xml:space="preserve">MENSAJERO EXTERNO </t>
  </si>
  <si>
    <t>ENCARGADA DEPARTAMENTO DE SERVICIOS A PODERES Y ÓRGANOS CONSTITUCIONALES</t>
  </si>
  <si>
    <t>ENCARGADO DIVISIÓN DE REGIÓN ESTE</t>
  </si>
  <si>
    <t>LAURA ROSA MORILLO SOCIAS</t>
  </si>
  <si>
    <t xml:space="preserve">GESTOR PROTOCOLO </t>
  </si>
  <si>
    <t>OFICINA DE LIBRE ACCESO A LA INFORMACIÓN</t>
  </si>
  <si>
    <t>DIVISIÓN DE BIENESTAR LABORAL</t>
  </si>
  <si>
    <t>SECCIÓN DE PRESUPUESTO Y TESORERÍA</t>
  </si>
  <si>
    <t>SECCIÓN DE ACTIVOS FIJOS Y CONTABILIDAD</t>
  </si>
  <si>
    <t>FERNANDO ALCÁNTARA CASTILLO</t>
  </si>
  <si>
    <t>SECCIÓN DE SEGURIDAD</t>
  </si>
  <si>
    <t xml:space="preserve">SEGURIDAD </t>
  </si>
  <si>
    <t>SANTA MARLENIS TIBURCIO</t>
  </si>
  <si>
    <t>NOHELIA ANAIS PÉREZ BATISTA</t>
  </si>
  <si>
    <t xml:space="preserve">NOMBRAMIENTO TEMPORAL </t>
  </si>
  <si>
    <t>ANALISTA DE ANÁLISIS Y ESTUDIOS ECONÓMICOS I</t>
  </si>
  <si>
    <t>BÉRGICA CORNELIO MENDOZA</t>
  </si>
  <si>
    <t>SHAMIR HASSAN BILLILO</t>
  </si>
  <si>
    <t xml:space="preserve">ANALISTA DE RECLUTAMIENTO </t>
  </si>
  <si>
    <t>DIVISIÓN DE ORGANIZACIÓN DEL TRABAJO Y COMPENSACIÓN</t>
  </si>
  <si>
    <t>ENCARGADA DIVISIÓN DE BIENESTAR LABORAL</t>
  </si>
  <si>
    <t>PAOLA IDALIA CHALJUB THEN</t>
  </si>
  <si>
    <t>MANEJADOR DE WEB Y REDES SOCIALES</t>
  </si>
  <si>
    <t>PABLO JOSÉ PÁEZ SOLANO</t>
  </si>
  <si>
    <t>DIVISIÓN DE SEGURIDAD Y MONITOREO TIC</t>
  </si>
  <si>
    <t>VICTOR ENMANUEL VARGAS ROSARIO</t>
  </si>
  <si>
    <t>ANALISTA COMPRAS Y CONTRATACIONES</t>
  </si>
  <si>
    <t>SECCIÓN DE CONTABILIDAD Y ACTIVOS FIJOS</t>
  </si>
  <si>
    <t xml:space="preserve">ANALISTA DE SERVICIOS Y BENEFICIOS </t>
  </si>
  <si>
    <t xml:space="preserve">ESTATUTO SIMPLIFICADO </t>
  </si>
  <si>
    <t>DIVISIÓN DE ADMINISTRACIÓN DE SERVICIOS TIC</t>
  </si>
  <si>
    <t>DOMINGO DE LOS SANTOS REYES</t>
  </si>
  <si>
    <t>ENCARGADO (A)</t>
  </si>
  <si>
    <t xml:space="preserve">SUBDIRECTOR GENERAL </t>
  </si>
  <si>
    <t>MARGARET YOVEIRI GARCÍA TAVERAZ</t>
  </si>
  <si>
    <t xml:space="preserve">SONIA ORTIZ REYES </t>
  </si>
  <si>
    <t xml:space="preserve">MARIANELA MONTILLA </t>
  </si>
  <si>
    <t>IVAN JOSÉ RAMIREZ VARGAS</t>
  </si>
  <si>
    <t>DIRECCIÓN GENERAL</t>
  </si>
  <si>
    <t>ISABEL MARTÍNEZ ALONZO</t>
  </si>
  <si>
    <t xml:space="preserve">MARIEL ALTAGRACIA MUÑOZ ÁLVAREZ </t>
  </si>
  <si>
    <t>ROSA IRIS PICHARDO PÉREZ</t>
  </si>
  <si>
    <t xml:space="preserve">TERESA MILAGROS DE LEÓN PÉREZ </t>
  </si>
  <si>
    <t xml:space="preserve">TAMAR ESTHER PEÑA RODRÍGUEZ </t>
  </si>
  <si>
    <t xml:space="preserve">DIRECCIÓN DE PRESUPUESTOS DE SERVICIOS ECONÓMICOS </t>
  </si>
  <si>
    <t xml:space="preserve">ANA MARÍA BIERD DE JESÚS </t>
  </si>
  <si>
    <t xml:space="preserve">PATRICIA ALTAGRACIA FERNÁNDEZ DEL ROSARIO  </t>
  </si>
  <si>
    <t>ANDOLI MARTÍNEZ DECENA</t>
  </si>
  <si>
    <t xml:space="preserve">MARCIA SUAREZ LÓPEZ </t>
  </si>
  <si>
    <t>ENCARGADA DIVISIÓN DE MINISTERIOS DE TURISMO E INDUSTRIA, COMERCIO Y MIPYMES</t>
  </si>
  <si>
    <t xml:space="preserve">YADEL CORNELIA ALICIA HERRERA DE JESÚS </t>
  </si>
  <si>
    <t>BELKIS ADALGISA MAÑÓN HIDALGO</t>
  </si>
  <si>
    <t xml:space="preserve">MARÍA VICTORIA ORTIZ SÁNCHEZ </t>
  </si>
  <si>
    <t>PATRICIA CAROLINA PERDOMO GARCÍA</t>
  </si>
  <si>
    <t xml:space="preserve">JOSEFINA GONZÁLEZ SILFA </t>
  </si>
  <si>
    <t xml:space="preserve">SANTA ROSA BAEZ RODRÍGUEZ </t>
  </si>
  <si>
    <t xml:space="preserve">CESAR FÉLIX BUENO RODRÍGUEZ </t>
  </si>
  <si>
    <t>ROSA LOURDES SÁNCHEZ</t>
  </si>
  <si>
    <t xml:space="preserve">PATRIA SENCIÓN SANTANA </t>
  </si>
  <si>
    <t xml:space="preserve">ENCARGADA DE DIVISIÓN PRESUPUESTOS EMPRESAS PÚBLICAS NO FINANCIERAS </t>
  </si>
  <si>
    <t>MARÍA SOLEDAD MIRANDA AHUMADA</t>
  </si>
  <si>
    <t>ANA MIGUELINA ALTAGRACIA TERRERO DE LEÓN</t>
  </si>
  <si>
    <t xml:space="preserve">YURIDYS ALTAGRACIA RODRÍGUEZ DILONE </t>
  </si>
  <si>
    <t xml:space="preserve">JOEL ANTONIO MARTÍNEZ BARREIRO </t>
  </si>
  <si>
    <t>ENCARGADO DIVISIÓN DE REGIÓN CIBAO NORDESTE</t>
  </si>
  <si>
    <t xml:space="preserve">JESÚS SANTANA PEPEN </t>
  </si>
  <si>
    <t xml:space="preserve">MARÍA MAGDALENA CABRERA FRANCO </t>
  </si>
  <si>
    <t xml:space="preserve">NIVIS LETICIA LEÓN VILLEGAS </t>
  </si>
  <si>
    <t>LUIS LEONARDO AMIAMA GÓMEZ</t>
  </si>
  <si>
    <t xml:space="preserve">ALEJANDRINA RODRÍGUEZ DUVAL </t>
  </si>
  <si>
    <t xml:space="preserve">LAURA CID SÁNCHEZ </t>
  </si>
  <si>
    <t>ARNOLD FRANCISCO ALMÁNZAR JOSEPH</t>
  </si>
  <si>
    <t xml:space="preserve">MANUEL DE JESÚS BURGOS </t>
  </si>
  <si>
    <t xml:space="preserve">ENCARGADO DIVISIÓN DE LA REGIÓN SUROESTE  </t>
  </si>
  <si>
    <t xml:space="preserve">ERELY MARTÍNEZ PÉREZ </t>
  </si>
  <si>
    <t xml:space="preserve">SAGRARIO ELENA DOMÍNGUEZ DOMÍNGUEZ </t>
  </si>
  <si>
    <t>ÁMBAR CHANEL PERALTA GEORGE</t>
  </si>
  <si>
    <t xml:space="preserve">CARMEN ROSAURA REGALADO </t>
  </si>
  <si>
    <t xml:space="preserve">FÉLIX ANTONIO FABIÁN MERCEDES </t>
  </si>
  <si>
    <t>ANALISTA DE ANÁLISIS DE ESTUDIOS ECONÓMICOS II</t>
  </si>
  <si>
    <t>KATHERINE MERCEDES PEGUERO FERMÍN</t>
  </si>
  <si>
    <t>GRISELDA GÓMEZ</t>
  </si>
  <si>
    <t xml:space="preserve">DIRECTORA DE CALIDAD Y EVALUACIÓN DE GESTIÓN PRESUPUESTARIA </t>
  </si>
  <si>
    <t>DANIA ALCANTARA GUTIÉRREZ</t>
  </si>
  <si>
    <t xml:space="preserve">BENNY GALÁN RODRÍGUEZ </t>
  </si>
  <si>
    <t xml:space="preserve">ANALISTA DE NORMAS Y METODOLOGÍAS PRESUPUESTARIAS </t>
  </si>
  <si>
    <t>SAMANDA MARIELY VELÁSQUEZ DÍAZ</t>
  </si>
  <si>
    <t>ANALISTA DE EVALUACIÓN DEL DESEMPEÑO DE GESTIÓN PRESUPUESTARIA I</t>
  </si>
  <si>
    <t>BETHANIA DEL CARMEN FERNÁNDEZ PICHARDO</t>
  </si>
  <si>
    <t xml:space="preserve">TÉCNICO DE ACCESO A LA INFORMACIÓN </t>
  </si>
  <si>
    <t>DEPARTAMENTO NORMAS Y METODOLOGÍAS</t>
  </si>
  <si>
    <t>DIRECCIÓN ESTUDIOS ECONÓMICOS Y SEGUIMIENTO FINANCIERO</t>
  </si>
  <si>
    <t>DEPARTAMENTO DE ANÁLISIS Y ESTUDIOS ECONÓMICOS</t>
  </si>
  <si>
    <t>DEPARTAMENTO DE PLANIFICACIÓN Y DESARROLLO</t>
  </si>
  <si>
    <t>DIVISIÓN FORMULACIÓN, MONITOREO Y EVALUACIÓN DE PLANES DE PROGRAMAS Y PROYECTOS</t>
  </si>
  <si>
    <t xml:space="preserve">JESÚS MANUEL PAYANO REYES </t>
  </si>
  <si>
    <t>DIVISIÓN DESARROLLO INSTITUCIONAL</t>
  </si>
  <si>
    <t>JEREMY ELIAM BISONO SENA</t>
  </si>
  <si>
    <t>DEPARTAMENTO JURÍDICO</t>
  </si>
  <si>
    <t>DIVISIÓN DE EVALUACIÓN DEL DESEMPEÑO Y CAPACITACIÓN</t>
  </si>
  <si>
    <t>AWILDA POLANCO HERNÁNDEZ</t>
  </si>
  <si>
    <t xml:space="preserve">ENCARGADA DIVISIÓN EVALUACIÓN DEL DESEMPEÑO Y CAPACITACIÓN </t>
  </si>
  <si>
    <t xml:space="preserve">ANALISTA DE CAPACITACIÓN </t>
  </si>
  <si>
    <t>DIVISIÓN DE REGISTRO, CONTROL Y NÓMINA</t>
  </si>
  <si>
    <t>BIENVENIDO DÍAZ COLLADO</t>
  </si>
  <si>
    <t xml:space="preserve">JUAN JOSÉ SÁNCHEZ </t>
  </si>
  <si>
    <t>LUISA MANUELA VÁSQUEZ GONZÁLEZ DE MELLA</t>
  </si>
  <si>
    <t>DEPARTAMENTO TECNOLOGÍA DE LA INFORMACIÓN Y COMUNICACIÓN</t>
  </si>
  <si>
    <t>DIVISIÓN DESARROLLO E IMPLEMENTACIÓN DE SISTEMAS</t>
  </si>
  <si>
    <t xml:space="preserve">WILKIN ALEXANDER VÁSQUEZ MATOS </t>
  </si>
  <si>
    <t>SOPORTE TÉCNICO DE PRUEBA Y DOCUMENTACIÓN</t>
  </si>
  <si>
    <t xml:space="preserve">RAMÓN ANTONIO TEJEDA LUGO </t>
  </si>
  <si>
    <t>DIVISIÓN OPERACIONES TIC</t>
  </si>
  <si>
    <t>DIVISIÓN SERVICIOS GENERALES</t>
  </si>
  <si>
    <t>SECCIÓN MAYORDOMÍA</t>
  </si>
  <si>
    <t>SUPERVISOR DE MAYORDOMÍA</t>
  </si>
  <si>
    <t>ROSA IVELISSE DURAN SÁNCHEZ</t>
  </si>
  <si>
    <t xml:space="preserve">MARÍA ALTAGRACIA POLANCO FLORENTINO </t>
  </si>
  <si>
    <t>JUANA RODRÍGUEZ DE LOS SANTOS</t>
  </si>
  <si>
    <t>VICTOR MANUEL DÍAZ CASTILLO</t>
  </si>
  <si>
    <t xml:space="preserve">ALAM DARWIN MARTÍNEZ GARCÍA </t>
  </si>
  <si>
    <t>ALEJANDRINA JIMENEZ ENCARNACIÓN</t>
  </si>
  <si>
    <t>WANNY ALTAGRACIA RODRÍGUEZ LIBERATO</t>
  </si>
  <si>
    <t>MARÍA ELIZABETH MEJIA</t>
  </si>
  <si>
    <t>SECCIÓN DE MANTENIMIENTO</t>
  </si>
  <si>
    <t xml:space="preserve">CARLOS JOSÉ HEREDIA MEDINA </t>
  </si>
  <si>
    <t xml:space="preserve">TÉCNICO ELECTRICISTA </t>
  </si>
  <si>
    <t>CLAUDIO RAMÓN MATEO MORA</t>
  </si>
  <si>
    <t>SECCIÓN TRANSPORTACIÓN</t>
  </si>
  <si>
    <t>DINO LÓPEZ MATEO</t>
  </si>
  <si>
    <t xml:space="preserve">RAMÓN ANTONIO FLORENTINO JIMÉNEZ </t>
  </si>
  <si>
    <t xml:space="preserve">ARIEL BENJAMÍN MARTÍNEZ ZABALA </t>
  </si>
  <si>
    <t>MIGUEL ÁNGEL MATOS DE LA PAZ</t>
  </si>
  <si>
    <t xml:space="preserve">CESAR AUGUSTO PÉREZ FELIZ </t>
  </si>
  <si>
    <t>JUAN CLEMENTE RAMÍREZ RINCÓN</t>
  </si>
  <si>
    <t>MANUEL EMILIO PION BERROA</t>
  </si>
  <si>
    <t xml:space="preserve">DOMINGO ANTONIO MOREL MARTÍNEZ </t>
  </si>
  <si>
    <t xml:space="preserve">MÁXIMO FLORIÁN MERCEDES CORDERO </t>
  </si>
  <si>
    <t xml:space="preserve">JOAQUÍN ENRIQUE DÍAZ FLORIÁN </t>
  </si>
  <si>
    <t>DIVISIÓN FINANCIERA</t>
  </si>
  <si>
    <t xml:space="preserve">MARÍA EUGENIA MONTERO SORIANO </t>
  </si>
  <si>
    <t xml:space="preserve">ENCARGADA DIVISIÓN FINANCIERA </t>
  </si>
  <si>
    <t xml:space="preserve">EDWIN AMADO MEJÍA </t>
  </si>
  <si>
    <t>SECCIÓN ALMACÉN Y SUMINISTRO</t>
  </si>
  <si>
    <t>AUXILIAR DE ALMACÉN Y SUMINISTRO</t>
  </si>
  <si>
    <t>RAFAEL JULIO MADERA MARTÍNEZ</t>
  </si>
  <si>
    <t>GERSON ANTONIO LIZARDO PÉREZ </t>
  </si>
  <si>
    <t xml:space="preserve">MARÍA LUISA MENDEZ FELIZ </t>
  </si>
  <si>
    <t>TAIRY IVENNY RAMÍREZ RAMÍREZ</t>
  </si>
  <si>
    <t xml:space="preserve">BIAGIO FELIPE DI FRANCO RODRÍGUEZ </t>
  </si>
  <si>
    <t xml:space="preserve">TÉCNICO ARCHIVISTA </t>
  </si>
  <si>
    <t xml:space="preserve">ÁNGEL MAGDIEL VILORIO ALBUERME </t>
  </si>
  <si>
    <t xml:space="preserve">TÉCNICO BIBLIOTECARIO </t>
  </si>
  <si>
    <t xml:space="preserve">CECILIO LÓPEZ </t>
  </si>
  <si>
    <t xml:space="preserve">AUXILIAR DE DOCUMENTACIÓN </t>
  </si>
  <si>
    <t>LUCRECIA SÁNCHEZ BIVIECA</t>
  </si>
  <si>
    <t xml:space="preserve">ANGELA BALENTINA PORTORREAL CAPELLÁN </t>
  </si>
  <si>
    <t xml:space="preserve">ANGELA ROSA SÁNCHEZ GONZÁLEZ </t>
  </si>
  <si>
    <t xml:space="preserve">ELENA AUDORA RAMÍREZ </t>
  </si>
  <si>
    <t>DANIRDA JACQUELINE PATRICIO RAMÍREZ</t>
  </si>
  <si>
    <t xml:space="preserve">FRANCISCO MORETA GARCÍA </t>
  </si>
  <si>
    <t xml:space="preserve">ZACARÍAS SANTANA </t>
  </si>
  <si>
    <t xml:space="preserve">Nombres y Apellidos </t>
  </si>
  <si>
    <t>YEIMI ELIZABETH BROWN MENDIETA</t>
  </si>
  <si>
    <t>MICHELLE NADIN TIBURCIO</t>
  </si>
  <si>
    <t xml:space="preserve"> SECCIÓN DE PRESUPUESTO Y TESORERIA</t>
  </si>
  <si>
    <t>ANALISTA FINANCIERO</t>
  </si>
  <si>
    <t>ENCARGADO SECCIÓN DE PRESUPUESTO Y TESORERIA</t>
  </si>
  <si>
    <t>DIRECCIÓN DE ESTUDIOS ECONÓMICOS Y SEGUIMIENTO FINANCIERO</t>
  </si>
  <si>
    <t xml:space="preserve">RAFAEL FRANCISCO JOVINE ZORRILLA </t>
  </si>
  <si>
    <t xml:space="preserve"> AIRÓN DE JESÚS FERNÁNDEZ GIL </t>
  </si>
  <si>
    <t xml:space="preserve"> JUAN ELÍAS PORTALATÍN GARCÍA  </t>
  </si>
  <si>
    <t xml:space="preserve"> MARIÁNGEL MONERÓ SAMUEL </t>
  </si>
  <si>
    <t xml:space="preserve">MELVIN MIGUEL RODRÍGUEZ JIMÉNEZ </t>
  </si>
  <si>
    <t xml:space="preserve"> LUIS ANTONIO RODRÍGUEZ GUTIÉRREZ </t>
  </si>
  <si>
    <t xml:space="preserve">DEPARTAMENTO NORMAS Y METODOLOGÍAS </t>
  </si>
  <si>
    <t xml:space="preserve">JENNYFER LÓPEZ BATISTA  </t>
  </si>
  <si>
    <t xml:space="preserve">GISELLE LISELOTTE BERAS VÁSQUEZ </t>
  </si>
  <si>
    <t xml:space="preserve"> ALBA DOMINICANA REYES REYES </t>
  </si>
  <si>
    <t xml:space="preserve"> SASHA ESTEFANY SOTO SÁNCHEZ </t>
  </si>
  <si>
    <t xml:space="preserve"> DAURIS OSCAR FAMILIA HERNÁNDEZ </t>
  </si>
  <si>
    <t xml:space="preserve">DIVISIÓN FORMULACIÓN, MONITOREO Y EVALUACIÓN DE PLANES, PROGRAMAS Y PROYECTOS </t>
  </si>
  <si>
    <t xml:space="preserve">JULIO CESAR GÓMEZ GARCÍA </t>
  </si>
  <si>
    <t xml:space="preserve">DIVISION REGISTRO, CONTROL Y NÓMINA </t>
  </si>
  <si>
    <t xml:space="preserve">NANCY JOSEFINA OVALLE GÓMEZ </t>
  </si>
  <si>
    <t xml:space="preserve"> SINAD DE LOS MILAGROS ESTEVEZ SANTANA </t>
  </si>
  <si>
    <t>IDALIA MARÍA MERCEDES ESCOTO</t>
  </si>
  <si>
    <t xml:space="preserve"> NIURVIS YALIZA ABREU JIMÉNEZ </t>
  </si>
  <si>
    <t xml:space="preserve"> CAROLINA MATEO TERRERO DE VIDAL </t>
  </si>
  <si>
    <t xml:space="preserve"> NICOL ISABEL BATISTA VALERA </t>
  </si>
  <si>
    <t xml:space="preserve">TÉCNICO DE SERVICIOS Y BENEFICIOS </t>
  </si>
  <si>
    <t>TÉCNICO DE COMUNICACIÓN INSTITUCIONAL</t>
  </si>
  <si>
    <t>FÉLIX ENRIQUE TERRERO REYES</t>
  </si>
  <si>
    <t>ENC. DEPTO. TECNOLOGÍA DE LA INFORMACIÓN Y COMUNICACIÓN</t>
  </si>
  <si>
    <t xml:space="preserve">DIVISIÓN DESARROLLO E IMPLEMENTACIÓN DE SISTEMAS </t>
  </si>
  <si>
    <t xml:space="preserve">SOPORTE TÉCNICO INFORMÁTICO </t>
  </si>
  <si>
    <t>DIVISIÓN DE SERVICIOS GENERALES</t>
  </si>
  <si>
    <t>VICTOR FRANCISCO JOSÉ RODRÍGUEZ GARCÍA</t>
  </si>
  <si>
    <t xml:space="preserve">DAMASO RAMÍREZ MATEO </t>
  </si>
  <si>
    <t xml:space="preserve"> VICTOR JOSÉ EFRES FÉLIX </t>
  </si>
  <si>
    <t xml:space="preserve"> LUIS MIGUEL SANTO CONTRERAS </t>
  </si>
  <si>
    <t xml:space="preserve"> LIOMAR DANIEL JON BREA </t>
  </si>
  <si>
    <t xml:space="preserve"> LIBER MORILLO MORILLO  </t>
  </si>
  <si>
    <t xml:space="preserve">JULIÁN JOSÉ ACOSTA ACOSTA </t>
  </si>
  <si>
    <t>BRIAN FRANCISCO ROSARIO QUIROZ</t>
  </si>
  <si>
    <t xml:space="preserve">VERENICE CAPELLÁN </t>
  </si>
  <si>
    <t xml:space="preserve"> TÉCNICO DE CONTABILIDAD </t>
  </si>
  <si>
    <t xml:space="preserve"> CHANAY CASTILLO CORCINO </t>
  </si>
  <si>
    <t xml:space="preserve">ENC. SECCIÓN ALMACÉN Y SUMINISTRO </t>
  </si>
  <si>
    <t>TOTAL GENERAL  NÓMINA PERSONAL TEMPORAL</t>
  </si>
  <si>
    <t>DIRECCIÓN GENERAL DE PRESUPUESTO</t>
  </si>
  <si>
    <t>NÓMINA DE SUELDOS: EMPLEADOS EN TRÁMITE DE PENSIÓN</t>
  </si>
  <si>
    <t>TOTAL GENERAL NÓMINA TRÁMITE DE PENSIÓN</t>
  </si>
  <si>
    <t>NÓMINA DE SUELDOS: PERSONAL TEMPORAL</t>
  </si>
  <si>
    <t xml:space="preserve">NÓMINA DE SUELDOS: EMPLEADOS FIJOS </t>
  </si>
  <si>
    <t xml:space="preserve">TOTAL GENERAL NÓMINA PERSONAL FIJO </t>
  </si>
  <si>
    <t xml:space="preserve">ESTANISLAO MERCEDES RODRÍGUEZ </t>
  </si>
  <si>
    <t xml:space="preserve">TÉCNICO DE COMPRAS </t>
  </si>
  <si>
    <t xml:space="preserve">BIBLIOTECA Y DOCUMENTACIÓN </t>
  </si>
  <si>
    <t>Nombres y Apellidos</t>
  </si>
  <si>
    <t>ESPECIALISTA DE ESTUDIOS ECONÓMICOS Y SEGUIMIENTO FINANCIERO</t>
  </si>
  <si>
    <t>M</t>
  </si>
  <si>
    <t>F</t>
  </si>
  <si>
    <t>Género</t>
  </si>
  <si>
    <t>JOSÉ ROBERTO MORETA DE LEÓN</t>
  </si>
  <si>
    <t>ENCARGADO SECCIÓN DE MAYORDOMÍA</t>
  </si>
  <si>
    <t xml:space="preserve">TÉCNICO DE CONTROL DE BIENES </t>
  </si>
  <si>
    <t>NÓMINA DE SUELDOS: TEMPORAL A PERSONAL FIJO EN CARGOS DE CARRERA</t>
  </si>
  <si>
    <t xml:space="preserve">ENCARGADO DIVISIÓN DE CALIDAD EN LA GESTION </t>
  </si>
  <si>
    <t>TOTAL GENERAL NÓMINA TEMPORAL A PERSONAL FIJO EN CARGOS DE CARRERA</t>
  </si>
  <si>
    <t xml:space="preserve">DIVISIÓN DE COMPRAS  Y CONTRATACIONES  </t>
  </si>
  <si>
    <t>DIRECCIÓN DE CALIDAD Y EVALUACIÓN DE LA GESTIÓN PRESUPUESTARIA</t>
  </si>
  <si>
    <t>MARIA JOSÉ CASTRO SUERO</t>
  </si>
  <si>
    <t>ESPECIALISTA DE CALIDAD Y EVALUACIÓN DE LA GESTIÓN PRESUPUESTARIA</t>
  </si>
  <si>
    <t>KIMBERLY JANELIS BERTRAND ROSA</t>
  </si>
  <si>
    <t>MARLEN ROBLES CORTORREAL</t>
  </si>
  <si>
    <t>MARIEL YUDELKA SOLANO</t>
  </si>
  <si>
    <t>DISEÑADOR GRÁFICO</t>
  </si>
  <si>
    <t>DAIHAN FERNÁNDEZ DE LA CRUZ</t>
  </si>
  <si>
    <t>GELHPIZ RAMÓN HERNÁNDEZ REYES</t>
  </si>
  <si>
    <t>ANALISTA DE SEGURIDAD TIC I</t>
  </si>
  <si>
    <t>ERIC DAVID ACOSTA BADIA</t>
  </si>
  <si>
    <t>ENCARGADO SECCIÓN DE TRANSPORTACIÓN</t>
  </si>
  <si>
    <t>Funcion</t>
  </si>
  <si>
    <t>DE LIBRE NOMBRAMIENTO Y REMOCIÓN</t>
  </si>
  <si>
    <t>NELSON OREIBI MARTÍNEZ SOLER</t>
  </si>
  <si>
    <t xml:space="preserve">SECCIÓN DE TRANSPORTACIÓN </t>
  </si>
  <si>
    <t>DIVISIÓN DE COMPRAS Y CONTRATACIONES</t>
  </si>
  <si>
    <t>SECCIÓN DE ALMACÉN Y SUMINISTRO</t>
  </si>
  <si>
    <t xml:space="preserve">ENCARGADO </t>
  </si>
  <si>
    <t xml:space="preserve">DIVISIÓN DE CALIDAD EN LA GESTION </t>
  </si>
  <si>
    <t>NATALIA IRENE VÉLEZ MOLINA</t>
  </si>
  <si>
    <t>FRANCISCO ANTONIO GÓMEZ DE JESÚS</t>
  </si>
  <si>
    <t>COORDINADORA DE EVALUACION DEL DESEMPEÑO DE GESTION PRESUPUESTARIA I</t>
  </si>
  <si>
    <t>ERIC MANUEL PINALES CEPEDA</t>
  </si>
  <si>
    <t>ENCARGADO DIVISIÓN DE OPERACIONES TIC</t>
  </si>
  <si>
    <t>ANGEL EMILIO ORTEGA MATOS</t>
  </si>
  <si>
    <t>ENCARGADO DIVISIÓN DE SEGURIDAD Y MONITOREO DE TIC</t>
  </si>
  <si>
    <t xml:space="preserve">REYMUNDO SANTANA SAVIÑON </t>
  </si>
  <si>
    <t>ENCARGADA DIVISIÓN DE MINISTERIOS DE OBRAS PÚBLICAS Y VIVIENDA</t>
  </si>
  <si>
    <t>YUDERKIS SANTA MEDINA REYES</t>
  </si>
  <si>
    <t>YEURY RAMON ORTIZ PEÑA</t>
  </si>
  <si>
    <t xml:space="preserve">FEDERICO JONAS REYES VARGAS </t>
  </si>
  <si>
    <t>ENCARGADA DEPARTAMENTO DE SERVICIOS SOCIALES</t>
  </si>
  <si>
    <t>DEPARTAMENTO DE SERVICIOS ECONÓMICOS</t>
  </si>
  <si>
    <t xml:space="preserve">DIRECTORA DIRECCIÓN DE CALIDAD Y EVALUACIÓN DE LA GESTIÓN PRESUPUESTARIA </t>
  </si>
  <si>
    <t>DEPARTAMENTO DE COMUNICACIONES</t>
  </si>
  <si>
    <t>ENCARGADA DEPARTAMENTO DE COMUNICACIONES</t>
  </si>
  <si>
    <t xml:space="preserve">ESPECIALISTA DE PROYECTOS ESPECIALES </t>
  </si>
  <si>
    <t xml:space="preserve">DIRECCION GENERAL </t>
  </si>
  <si>
    <t>COMITÉ CONSULTIVO Y PROYECTOS ESPECIALES</t>
  </si>
  <si>
    <t>CHEILA LEONOR CHIVILLI DE JESÚS</t>
  </si>
  <si>
    <t>ANALISTA DE CALIDAD EN LA GESTIÓN I</t>
  </si>
  <si>
    <t>MANUEL EMILIO LINARES GUERRERO</t>
  </si>
  <si>
    <t>CLARA EMILIA JIMÉNEZ GODFREY</t>
  </si>
  <si>
    <t>ALEXANDER CASTILLO ASENCIO</t>
  </si>
  <si>
    <t>CHOFER I</t>
  </si>
  <si>
    <t>ADRIÁN DE FRIAS CARMONA</t>
  </si>
  <si>
    <t>ELIZABETH NICOLE TORRES DE LEÓN</t>
  </si>
  <si>
    <t>DOMINGO CUEVAS</t>
  </si>
  <si>
    <t>JOSÉ ISRAEL ESPINOSA GARCIA</t>
  </si>
  <si>
    <t>RAMÓN CECILIO MEREJO</t>
  </si>
  <si>
    <t>ARNOLD FRANCISCO ALMANZAR JOSEPH</t>
  </si>
  <si>
    <t>ENCARGADO DIVISIÓN DE REGIÓN CIBAO NOROESTE</t>
  </si>
  <si>
    <t>BIENVENIDO DIAZ COLLADO</t>
  </si>
  <si>
    <t xml:space="preserve">ENCARGADO DIVISIÓN DE PRODUCCIÓN GRÁFICA Y DIGITAL </t>
  </si>
  <si>
    <t>ANA MIGUELINA ALTAGRACIA TERRERO DE LEON</t>
  </si>
  <si>
    <t xml:space="preserve"> ENCARGADO DEPARTAMENTO EVALUACIÓN DEL DESEMPEÑO PRESUPUESTARIO</t>
  </si>
  <si>
    <t xml:space="preserve">FRANCISCO M. ABREU PÁEZ </t>
  </si>
  <si>
    <t>ENCARGADA DIVISION DE REGISTRO, CONTROL Y NÓMINA</t>
  </si>
  <si>
    <t xml:space="preserve">ENCARGADO DEPARTAMENTO DE RECURSOS HUMANOS </t>
  </si>
  <si>
    <t>ELVIS RAMÓN RICARDO DE JESÚS EUSEBIO ABREU</t>
  </si>
  <si>
    <t>MILOSSIS DEL MILAGRO LIRIANO RODRÍGUEZ</t>
  </si>
  <si>
    <t>ENCARGADA DIVISIÓN DE COMUNICACIÓN INSTITUCIONAL</t>
  </si>
  <si>
    <t>ENCARGADA DIVISIÓN DE MINISTERIOS DE EDUCACIÓN Y EDUCACIÓN SUPERIOR, CIENCIA Y TECNOLOGÍA</t>
  </si>
  <si>
    <t xml:space="preserve">ANGEL MAGDIEL VILORIO ALBUERME </t>
  </si>
  <si>
    <t>TAIRY IVENNY RAMIREZ RAMIREZ</t>
  </si>
  <si>
    <t xml:space="preserve">DIVISION FORMULACION, MONITOREO Y EVALUACION DE PLANES DE PROGRAMAS Y PROYECTOS </t>
  </si>
  <si>
    <t>JASMIN ALTAGRACIA MARMOLEJOS PAULINO</t>
  </si>
  <si>
    <t>DIVISIÓN DE MINISTERIOS DE TURISMO E INDUSTRIA, COMERCIO Y MIPYMES</t>
  </si>
  <si>
    <t>ANA ELY COMAS GALVÁ</t>
  </si>
  <si>
    <t xml:space="preserve">DIVISION DESARROLLO INSTITUCIONAL </t>
  </si>
  <si>
    <t>KARINA SUERO RUIZ</t>
  </si>
  <si>
    <t>LEISLY LORAINE LÓPEZ LEVI</t>
  </si>
  <si>
    <t>FRANCISCO MANUEL ABREU PÁEZ</t>
  </si>
  <si>
    <t>ENCARGADO DEL DEPARTAMENTO DE RECURSOS HUMANOS</t>
  </si>
  <si>
    <t xml:space="preserve"> DEPARTAMENTO DE RECURSOS HUMANOS</t>
  </si>
  <si>
    <t>HÉCTOR PLINIO PÉREZ POLANCO</t>
  </si>
  <si>
    <t>ADMINISTRADOR DE SISTEMAS</t>
  </si>
  <si>
    <t>HECTOR JOSÉ MANCEBO RODRIGUEZ</t>
  </si>
  <si>
    <t xml:space="preserve">TÉCNICO </t>
  </si>
  <si>
    <t>ENCARGADA DIVISIÓN ADMINISTRATIVA</t>
  </si>
  <si>
    <t xml:space="preserve">COORDINADOR DE COMITÉ CONSULTIVO Y PROYECTOS ESPECIALES </t>
  </si>
  <si>
    <t>MICKEY JOEL COHÉN SIMÓ</t>
  </si>
  <si>
    <t>JOHNSY IRDEMARO BÁEZ MARTINEZ</t>
  </si>
  <si>
    <t>PATRIA TERESA CROUSSET MATA</t>
  </si>
  <si>
    <t>AMANDA HILARIO ABREU</t>
  </si>
  <si>
    <t>ESPECIALISTA DIRECCIÓN DE CALIDAD Y EVALUACIÓN DE LA GESTIÓN PRESUPUESTARIA</t>
  </si>
  <si>
    <t xml:space="preserve">ANA YISEL CUEVAS MATOS </t>
  </si>
  <si>
    <t>BRYAN ALEXIS THOMPSON PÉREZ</t>
  </si>
  <si>
    <t xml:space="preserve">HAMLET ALFONSO JIMÉNEZ RIVERA </t>
  </si>
  <si>
    <t xml:space="preserve">PARALEGAL </t>
  </si>
  <si>
    <t>ENCARGADA DIVISIÓN DE MINISTERIOS DE LA MUJER, JUVENTUD, CULTURA, DEPORTES Y RECREACIÓN</t>
  </si>
  <si>
    <t>ANALISTA DE ANÁLISIS Y ESTUDIOS ECONÓMICOS II</t>
  </si>
  <si>
    <t xml:space="preserve">ANALISTA DE RELACIONES LABORALES </t>
  </si>
  <si>
    <t xml:space="preserve">MÉDICO </t>
  </si>
  <si>
    <t xml:space="preserve">ENCARGADA  DE DIVISION REGISTRO, CONTROL Y NÓMINA </t>
  </si>
  <si>
    <t>IVÁN GÁLVEZ DE LA CRUZ</t>
  </si>
  <si>
    <t>SANTA DIGNA RIVERA DE ALEJO</t>
  </si>
  <si>
    <t xml:space="preserve">SOCORRO HERNANDEZ VALDEZ </t>
  </si>
  <si>
    <t>AMBAR CHANEL PERALTA GEORGE</t>
  </si>
  <si>
    <t>ENCARGADA DIVISIÓN DE PRESIDENCIA DE LA REPÚBLICA Y MINISTERIO DE RELACIONES EXTERIORES</t>
  </si>
  <si>
    <t>DIVISIÓN DE REGIÓN SUR CENTRAL</t>
  </si>
  <si>
    <t>ENCARGADA DIVISIÓN DE REGIÓN SUR CENTRAL</t>
  </si>
  <si>
    <t>DEPARTAMENTO DE  NORMAS Y METODOLOGÍAS</t>
  </si>
  <si>
    <t xml:space="preserve">MARÍA VICTORIA ORTÍZ SÁNCHEZ </t>
  </si>
  <si>
    <t xml:space="preserve"> ENCARGADA DEPARTAMENTO DE  NORMAS Y METODOLOGÍAS</t>
  </si>
  <si>
    <t>SECCIÓN DE TRANSPORTACIÓN</t>
  </si>
  <si>
    <t>COORDINADOR DE DESARROLLO DE CAPACIDADES PRESUPUESTARIA</t>
  </si>
  <si>
    <t>21 DE FEBRERO DEL 2023</t>
  </si>
  <si>
    <t>COORDINADOR DE ENLACE SIGEF</t>
  </si>
  <si>
    <t>ENCARGADO  DIVISIÓN DE MINISTERIOS DE HACIENDA, ADMINISTRACIÓN PÚBLICA, ECONOMÍA, PLANIFICACIÓN Y DESARROLLO</t>
  </si>
  <si>
    <t xml:space="preserve">ESPECIALISTA DE CALIDAD Y EVALUACIÓN DE LA GESTIÓN PRESUPUESTARIA </t>
  </si>
  <si>
    <t>FRANCIS ISRAEL SALDAÑA SANTANA</t>
  </si>
  <si>
    <t>PATRICIA CAROLINA PERDOMO GARCIA</t>
  </si>
  <si>
    <t>RICARDO JOSÉ SANTANA DÍAZ</t>
  </si>
  <si>
    <t>01 DE MARZO DEL 2023</t>
  </si>
  <si>
    <t>KEVIN JOSÉ RODRÍGUEZ ACOSTA</t>
  </si>
  <si>
    <t>02 DE MARZO DEL 2023</t>
  </si>
  <si>
    <t>FERNANDO LUIS SAN MIGUEL ÁLVAREZ</t>
  </si>
  <si>
    <t>15 DE MARZO DEL 2023</t>
  </si>
  <si>
    <t>03 DE MARZO DEL 2023</t>
  </si>
  <si>
    <t>JOERAH EDMÉE ALFAU LARACUENTE</t>
  </si>
  <si>
    <t>ANALISTA SECTORIAL DE PRESUPUESTO I</t>
  </si>
  <si>
    <t>VIRMARYS ANDREINA CANELA TORRES</t>
  </si>
  <si>
    <t>TÉCNICO DE COMUNICACIONES</t>
  </si>
  <si>
    <t>ERICK RAMÓN SANTANA REYES</t>
  </si>
  <si>
    <t>RAFAEL VITERBO DE LA ROSA CABA</t>
  </si>
  <si>
    <t>18 DE ABRIL DEL 2023</t>
  </si>
  <si>
    <t>01 DE ABRIL DEL 2023</t>
  </si>
  <si>
    <t>5 DE ABRIL DEL 2023</t>
  </si>
  <si>
    <t xml:space="preserve">JUAN ALFONSO PAULINO RODRIGUEZ </t>
  </si>
  <si>
    <t>15 DE ABRIL DEL 2023</t>
  </si>
  <si>
    <t>ANALISTA DE ANÁLISIS DE ESTUDIOS ECONÓMICOS I</t>
  </si>
  <si>
    <t>01 DE MAYO DE 2023</t>
  </si>
  <si>
    <t xml:space="preserve">JEREMY ELIAM BISONO SENA </t>
  </si>
  <si>
    <t xml:space="preserve">EDWIN AMADO MEJIA </t>
  </si>
  <si>
    <t>DANIA ALCANTARA GUTIERREZ</t>
  </si>
  <si>
    <t xml:space="preserve">ANALISTA DE NORMAS Y METODOLOGIA </t>
  </si>
  <si>
    <t>ANALISTA DE EVALUACION DEL DESEMPEÑO PRESUPUESTARIO</t>
  </si>
  <si>
    <t xml:space="preserve">ALINA RODRIGUEZ CORDERO </t>
  </si>
  <si>
    <t xml:space="preserve">FABIO MIGUEL CABRERA GOMEZ </t>
  </si>
  <si>
    <t xml:space="preserve">COORDINADOR SECTORIAL DE PRESUPUESTO </t>
  </si>
  <si>
    <t xml:space="preserve">ANA ELIZABETH RODRIGUEZ PEREZ </t>
  </si>
  <si>
    <t>COORDINADORA DE ANÁLISIS DE ESTUDIOS ECONÓMICOS II</t>
  </si>
  <si>
    <t xml:space="preserve">COORDINADOR DE GESTIÓN FINANCIERA DE FORMULACIÓN Y EJECUCIÓN </t>
  </si>
  <si>
    <t>COORDINADORA DE EVALUACIÓN DEL DESEMPEÑO DE GESTIÓN PRESUPUESTARIA I</t>
  </si>
  <si>
    <t xml:space="preserve"> </t>
  </si>
  <si>
    <t>DDIVISIÓN DE MINISTERIO DE DEFENSA</t>
  </si>
  <si>
    <t xml:space="preserve"> 01 DE JUNIO DEL 2023</t>
  </si>
  <si>
    <t xml:space="preserve">PATRICIA CAROLINA DILONE GIL </t>
  </si>
  <si>
    <t xml:space="preserve">SORANGEL GONZALEZ DIAZ </t>
  </si>
  <si>
    <t>NICKOL RODRÍGUEZ FERNÁNDEZ</t>
  </si>
  <si>
    <t>01 DE JUNIO DE 2023</t>
  </si>
  <si>
    <t xml:space="preserve">EUSEBIA PEREZ AGRAMONTE </t>
  </si>
  <si>
    <t xml:space="preserve">EMPRESAS PUBLICAS NO FINANCIERAS </t>
  </si>
  <si>
    <t xml:space="preserve">RAYDAN DE JESUS DIA DE LA ROSA </t>
  </si>
  <si>
    <t xml:space="preserve">ENCARGADO ADMINISTRATIVO Y FINANCIERO </t>
  </si>
  <si>
    <t>04 DE JUNIO DE 2023</t>
  </si>
  <si>
    <t xml:space="preserve">SFS DEPENDIENTES </t>
  </si>
  <si>
    <t>TOTAL TSS</t>
  </si>
  <si>
    <t>MONTO PARA ISR</t>
  </si>
  <si>
    <t xml:space="preserve">EDIGEN MANUEL FLORIAN FLORIAN </t>
  </si>
  <si>
    <t>SFS DEPENDIENTES</t>
  </si>
  <si>
    <t xml:space="preserve">Saldo a favor </t>
  </si>
  <si>
    <t xml:space="preserve">LIANNY ROJAS DE AZA </t>
  </si>
  <si>
    <t xml:space="preserve">MARTA FELICIA DIAZ CASTILLO </t>
  </si>
  <si>
    <t xml:space="preserve">MARIA VENTURA BONILLA </t>
  </si>
  <si>
    <t>DEPARTAMENTO ADMINISTRATIVO Y FINANCIERO</t>
  </si>
  <si>
    <t xml:space="preserve">YONY AGUSTIN DEAZA </t>
  </si>
  <si>
    <t xml:space="preserve">CARMEN MILAGROS CUEVAS GUZMAN </t>
  </si>
  <si>
    <t>JOHANDER NOLASCO MAGALLANES</t>
  </si>
  <si>
    <t xml:space="preserve">GENARO PASCASIO CANELA </t>
  </si>
  <si>
    <t xml:space="preserve">LUBEANA MONTERO MORILLO </t>
  </si>
  <si>
    <t xml:space="preserve">VERONICA VALDEZ </t>
  </si>
  <si>
    <t xml:space="preserve">JOSE MANUEL RODRIGUEZ ABREU </t>
  </si>
  <si>
    <t xml:space="preserve">JOSE FRANCISCO PLACENCIA </t>
  </si>
  <si>
    <t>02 DE JULIO DEL 2023</t>
  </si>
  <si>
    <t>15 DE OCTUBRDE DEL 2023</t>
  </si>
  <si>
    <t>26 DE JULIO DEL 2023</t>
  </si>
  <si>
    <t>15 DE OCTUBRE DEL 2023</t>
  </si>
  <si>
    <t>01 DE SEPTIEMBRE DEL 2023</t>
  </si>
  <si>
    <t>26 DE JULIO DE 2023</t>
  </si>
  <si>
    <t>01 DE JULIO DEL 2023</t>
  </si>
  <si>
    <t>15 DE SEPTIEMBRE DEL 2023</t>
  </si>
  <si>
    <t>02 DE AGOSTO DEL 2023</t>
  </si>
  <si>
    <t>01 DE AGOSTO DEL 2023</t>
  </si>
  <si>
    <t>02 DE SEPTIEMBRE DEL 2023</t>
  </si>
  <si>
    <t>5  DE OCTUBRE DEL 2023</t>
  </si>
  <si>
    <t>01 DE NOVIEMBRE DE 2023</t>
  </si>
  <si>
    <t>18 DE OCTUBRE DEL 2023</t>
  </si>
  <si>
    <t>25 DE AGOSTO DEL 2023</t>
  </si>
  <si>
    <t>01 DE OCTUBRE DEL 2023</t>
  </si>
  <si>
    <t>18 DE AGOSTO DEL 2023</t>
  </si>
  <si>
    <t>21 DE AGOSTO DEL 2023</t>
  </si>
  <si>
    <t>14 DE AGOSTO DEL 2023</t>
  </si>
  <si>
    <t>10 DE AGOSTO DEL 2023</t>
  </si>
  <si>
    <t>22 DE AGOSTO DEL 2023</t>
  </si>
  <si>
    <t>03 DE SEPTIEMBRE DEL 2023</t>
  </si>
  <si>
    <t xml:space="preserve">Saldo a Fvaor </t>
  </si>
  <si>
    <t>f</t>
  </si>
  <si>
    <t xml:space="preserve">ANGELLI FRANCHESKA ECHAVARRIA ZABALA </t>
  </si>
  <si>
    <t>01 DE OCTUBRE DE 2023</t>
  </si>
  <si>
    <t xml:space="preserve">CAMILA YAMEL GUZMAN RAPOZO </t>
  </si>
  <si>
    <t xml:space="preserve">LYANNA MICHELLE FERNANDEZ MARTINEZ </t>
  </si>
  <si>
    <t xml:space="preserve">YULISSA MILAGROS BURGOS MEDINA </t>
  </si>
  <si>
    <t>ANALISTA DE EVALUACION DESEMPEÑO Y CAPACITACION</t>
  </si>
  <si>
    <t xml:space="preserve">DIVISION DE EVALUACION DEL DESEMPEÑO Y CAPACITACION </t>
  </si>
  <si>
    <t xml:space="preserve">MIGUEL ELIAS SARRAF CARABALLO </t>
  </si>
  <si>
    <t>ROMA DELFINA TAVERAS PIÑA</t>
  </si>
  <si>
    <t>FRANCISCO ANTONIO MENDEZ VELAZQUEZ</t>
  </si>
  <si>
    <t>CRISTAL THALIA MARTES PAULINO</t>
  </si>
  <si>
    <t>NICOLE ARISLEYDI RODRIGUEZ SANTANA</t>
  </si>
  <si>
    <t>DIVISIÓN DE  DE PODER JUDICIAL, CÁMARA DE DIPUTADOS Y SENADO DE LA REPÚBLICA</t>
  </si>
  <si>
    <t xml:space="preserve">TECNICO ADMINISTRATIVO </t>
  </si>
  <si>
    <t xml:space="preserve">YAN LI SUAREZ </t>
  </si>
  <si>
    <t xml:space="preserve">VIRMANIA MANZUETA DE PEREZ </t>
  </si>
  <si>
    <t>ANALISTA DE CAPACITACION Y DESARROLLO</t>
  </si>
  <si>
    <t xml:space="preserve">WENDY ABREU DILONE </t>
  </si>
  <si>
    <t xml:space="preserve">GABRIEL BERNARDO PAREDES ABREU </t>
  </si>
  <si>
    <t xml:space="preserve">ADMINITRADOR DE BASE DE DATOS </t>
  </si>
  <si>
    <t>DIVISIÓN ADMINISTRATIV</t>
  </si>
  <si>
    <t>ALCY LOPEZ SEGURA</t>
  </si>
  <si>
    <t>ENCARGADO ADMINISTRATIVO</t>
  </si>
  <si>
    <t>SECCION DE DOCUMENTACION</t>
  </si>
  <si>
    <t xml:space="preserve">DIVISION DE PODER JUDICIAL, CAMARA DE DIPUTADOS Y SENADO DE LA REPUBLICA </t>
  </si>
  <si>
    <t>JENNIFER DEL PILAR OVALLE SANTANA</t>
  </si>
  <si>
    <t xml:space="preserve">ENC. DIVISION DE PODER JUDICIAL, CAMARA DE DIPUTADOS Y SENADO DE LA REPUBLICA </t>
  </si>
  <si>
    <t>FIJA</t>
  </si>
  <si>
    <t>ENCARGADO SECCIÓN DE MANTENIMIENTO</t>
  </si>
  <si>
    <t>SECCIÓN MANTENIMIENTO</t>
  </si>
  <si>
    <t>SECCIÓN DE ALMACEN Y SUMINISTRO</t>
  </si>
  <si>
    <t xml:space="preserve">JOSE ROBERTO MORTEA DE LEON  </t>
  </si>
  <si>
    <t xml:space="preserve">NORVIN DARINEL BERGES SANCHEZ </t>
  </si>
  <si>
    <t xml:space="preserve">ENCARCADO SERVICIOS A LOS GOBIERNOS LOCALES </t>
  </si>
  <si>
    <t xml:space="preserve">JULIO JEREZ ADAMES </t>
  </si>
  <si>
    <t>01 DE JUNIO DEL 2023</t>
  </si>
  <si>
    <t>01 DE DICIEMBRE DEL 2023</t>
  </si>
  <si>
    <t xml:space="preserve"> 01 DE DICIEMBRE DEL 2023</t>
  </si>
  <si>
    <t>04 DE DICIEMBRE DEL 2023</t>
  </si>
  <si>
    <t>01 DE DICIEMBRE DE 2023</t>
  </si>
  <si>
    <t>JULIANA GILLERMINA MORERA VILLALON</t>
  </si>
  <si>
    <t>DIVISIÓN DE MINISTERIOS DE MEDIO AMBIENTE, AGRICULTURA, ENERGIA Y MINAS</t>
  </si>
  <si>
    <t xml:space="preserve">JHOSELYN POLANCO BRITO </t>
  </si>
  <si>
    <t>JOALDO ERNESTO LOPEZ ESPINOSA</t>
  </si>
  <si>
    <t>AUXILIAR ADMINISTRATIVO</t>
  </si>
  <si>
    <t>CARRERA ADMINISTRATIVA</t>
  </si>
  <si>
    <t>JOSE JAVIER SANTANA UREÑA</t>
  </si>
  <si>
    <t>PAOLA GELMANIA SIDO DIAZ</t>
  </si>
  <si>
    <t xml:space="preserve">LORENNA YISSEL DOMINGUEZ AYBAR </t>
  </si>
  <si>
    <t>LOWENSKI TEUDIS MATOS BENCOSME</t>
  </si>
  <si>
    <t xml:space="preserve">JUAN EDILVER ROSARIO MOTA </t>
  </si>
  <si>
    <t xml:space="preserve">ENCARGADO DE DIVISION DESARROLLO EIMPLEMENTACION DE SISTEMAS </t>
  </si>
  <si>
    <t>01 DE JULIO DE 2023</t>
  </si>
  <si>
    <t>NURY DE LA ALTAGRACIA MADURO ISAGUEZ DE GONZALEZ</t>
  </si>
  <si>
    <t xml:space="preserve">VIRGINIA MASSIEL BETANCOURT MOJICA </t>
  </si>
  <si>
    <t>Correspondiente al mes de agosto del año 2023</t>
  </si>
  <si>
    <t>MARIA ERCILIA JIMENEZ MARTINEZ</t>
  </si>
  <si>
    <t>MILDRED STERLING SANTANA</t>
  </si>
  <si>
    <t xml:space="preserve">AUXILIAR DE ENFERMERIA </t>
  </si>
  <si>
    <t>EMILY ROSEILY MONTERO OGANDO</t>
  </si>
  <si>
    <t>TÉCNICO REGISTRO, CONTROL Y NÓMINA</t>
  </si>
  <si>
    <t>01 DE FEBRERO DEL 2024</t>
  </si>
  <si>
    <t xml:space="preserve">GLENNY CONCEPCION CRUZ  </t>
  </si>
  <si>
    <t>ENCARGADO DIVISIÓN DE ORGANIZACIÓN DEL TRABAJO Y COMPENSACIÓN</t>
  </si>
  <si>
    <t xml:space="preserve">ANALISTA DE NORMAS Y METODOLOGÍAS </t>
  </si>
  <si>
    <t xml:space="preserve"> TÉCNICO DE PRESUPUESTO </t>
  </si>
  <si>
    <t xml:space="preserve">ENCARGADA DE DOCUMENTACIÓN </t>
  </si>
  <si>
    <t xml:space="preserve">RESPONSABLE DE OFICINA DE LIBRE ACCESO A LA INFORMACIÓN </t>
  </si>
  <si>
    <t>02 DE FEBRERO DEL 2024</t>
  </si>
  <si>
    <t>02 DE ENERO DEL 2024</t>
  </si>
  <si>
    <t>03 DE JULIO DEL 2023</t>
  </si>
  <si>
    <t>03 DE ENERO DEL 2024</t>
  </si>
  <si>
    <t>TÉCNICO DE TESORERIA</t>
  </si>
  <si>
    <t xml:space="preserve">TÉCNICO EN PRESUPUESTO Y TESORERIA </t>
  </si>
  <si>
    <t xml:space="preserve">AUXILIAR DE ALMACÉN Y SUMINISTRO </t>
  </si>
  <si>
    <t>26 DE ENERO DEL 2024</t>
  </si>
  <si>
    <t xml:space="preserve">ENCARGADA DE ANÁLISIS Y ESTUDIOS ECONOMICOS </t>
  </si>
  <si>
    <t>26 DE ENERO DE 2024</t>
  </si>
  <si>
    <t>01 DE ENERO  DEL 2024</t>
  </si>
  <si>
    <t>01 DE ENERO DEL 2024</t>
  </si>
  <si>
    <t>21 DE FEBRERO DEL 2024</t>
  </si>
  <si>
    <t>25 DE FEBRERO DEL 2024</t>
  </si>
  <si>
    <t>25 DE FEBRERO  DEL 2024</t>
  </si>
  <si>
    <t>18 DE FEBRERO DEL 2024</t>
  </si>
  <si>
    <t>14 DE FEBRERO DEL 2024</t>
  </si>
  <si>
    <t>10 DE FEBRERO DEL 2024</t>
  </si>
  <si>
    <t>22 DE FEBRERO DEL 2024</t>
  </si>
  <si>
    <t>21 DE SEPTIEMBRE DEL 2023</t>
  </si>
  <si>
    <t>DESARROLLADOR DE SISTEMA</t>
  </si>
  <si>
    <t xml:space="preserve">ANALISTA DE CLASIFICACIÓN, VALORACIÓN Y REMUNERACIÓN DE CARGOS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</si>
</sst>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25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8"/>
      <name val="Arial"/>
      <family val="2"/>
    </font>
    <font>
      <sz val="10"/>
      <name val="Calibri"/>
      <family val="2"/>
    </font>
    <font>
      <sz val="10"/>
      <color theme="1"/>
      <name val="Century Gothic"/>
      <family val="2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name val="Arial"/>
      <family val="2"/>
    </font>
    <font>
      <b/>
      <sz val="16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0" fontId="1" fillId="0" borderId="0"/>
    <xf numFmtId="0" fontId="2" fillId="0" borderId="0"/>
  </cellStyleXfs>
  <cellXfs count="322">
    <xf numFmtId="0" fontId="0" fillId="0" borderId="0" xfId="0"/>
    <xf numFmtId="0" fontId="3" fillId="2" borderId="0" xfId="0" applyFont="1" applyFill="1"/>
    <xf numFmtId="43" fontId="3" fillId="2" borderId="0" xfId="1" applyFont="1" applyFill="1" applyBorder="1"/>
    <xf numFmtId="0" fontId="6" fillId="2" borderId="0" xfId="0" applyFont="1" applyFill="1"/>
    <xf numFmtId="0" fontId="3" fillId="2" borderId="0" xfId="0" applyFont="1" applyFill="1" applyAlignment="1">
      <alignment horizontal="center"/>
    </xf>
    <xf numFmtId="43" fontId="3" fillId="2" borderId="1" xfId="1" applyFont="1" applyFill="1" applyBorder="1"/>
    <xf numFmtId="43" fontId="6" fillId="2" borderId="0" xfId="1" applyFont="1" applyFill="1" applyBorder="1"/>
    <xf numFmtId="43" fontId="3" fillId="2" borderId="0" xfId="0" applyNumberFormat="1" applyFont="1" applyFill="1"/>
    <xf numFmtId="43" fontId="3" fillId="2" borderId="2" xfId="1" applyFont="1" applyFill="1" applyBorder="1"/>
    <xf numFmtId="43" fontId="3" fillId="2" borderId="2" xfId="0" applyNumberFormat="1" applyFont="1" applyFill="1" applyBorder="1"/>
    <xf numFmtId="164" fontId="3" fillId="2" borderId="1" xfId="0" applyNumberFormat="1" applyFont="1" applyFill="1" applyBorder="1"/>
    <xf numFmtId="164" fontId="3" fillId="2" borderId="0" xfId="0" applyNumberFormat="1" applyFont="1" applyFill="1"/>
    <xf numFmtId="0" fontId="3" fillId="2" borderId="2" xfId="0" applyFont="1" applyFill="1" applyBorder="1" applyAlignment="1">
      <alignment horizontal="center"/>
    </xf>
    <xf numFmtId="43" fontId="6" fillId="3" borderId="6" xfId="0" applyNumberFormat="1" applyFont="1" applyFill="1" applyBorder="1"/>
    <xf numFmtId="43" fontId="6" fillId="4" borderId="1" xfId="1" applyFont="1" applyFill="1" applyBorder="1"/>
    <xf numFmtId="0" fontId="4" fillId="2" borderId="0" xfId="0" applyFont="1" applyFill="1" applyAlignment="1">
      <alignment horizontal="center"/>
    </xf>
    <xf numFmtId="43" fontId="10" fillId="2" borderId="0" xfId="1" applyFont="1" applyFill="1" applyBorder="1"/>
    <xf numFmtId="0" fontId="10" fillId="2" borderId="0" xfId="0" applyFont="1" applyFill="1"/>
    <xf numFmtId="0" fontId="11" fillId="0" borderId="0" xfId="0" applyFont="1" applyAlignment="1">
      <alignment horizontal="right"/>
    </xf>
    <xf numFmtId="0" fontId="12" fillId="0" borderId="13" xfId="0" applyFont="1" applyBorder="1"/>
    <xf numFmtId="0" fontId="12" fillId="0" borderId="0" xfId="0" applyFont="1"/>
    <xf numFmtId="0" fontId="11" fillId="0" borderId="0" xfId="0" applyFont="1"/>
    <xf numFmtId="0" fontId="0" fillId="0" borderId="0" xfId="0" applyAlignment="1">
      <alignment horizontal="left"/>
    </xf>
    <xf numFmtId="0" fontId="3" fillId="2" borderId="0" xfId="0" applyFont="1" applyFill="1" applyAlignment="1">
      <alignment horizontal="left"/>
    </xf>
    <xf numFmtId="0" fontId="3" fillId="2" borderId="2" xfId="0" applyFont="1" applyFill="1" applyBorder="1" applyAlignment="1">
      <alignment horizontal="left"/>
    </xf>
    <xf numFmtId="165" fontId="8" fillId="2" borderId="0" xfId="0" applyNumberFormat="1" applyFont="1" applyFill="1" applyAlignment="1">
      <alignment horizontal="left" wrapText="1"/>
    </xf>
    <xf numFmtId="43" fontId="3" fillId="2" borderId="0" xfId="1" applyFont="1" applyFill="1" applyBorder="1" applyAlignment="1">
      <alignment horizontal="left"/>
    </xf>
    <xf numFmtId="0" fontId="10" fillId="2" borderId="0" xfId="0" applyFont="1" applyFill="1" applyAlignment="1">
      <alignment horizontal="left"/>
    </xf>
    <xf numFmtId="0" fontId="10" fillId="2" borderId="0" xfId="0" applyFont="1" applyFill="1" applyAlignment="1">
      <alignment horizontal="center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0" fontId="13" fillId="0" borderId="0" xfId="0" applyFont="1"/>
    <xf numFmtId="0" fontId="15" fillId="2" borderId="0" xfId="0" applyFont="1" applyFill="1"/>
    <xf numFmtId="0" fontId="14" fillId="3" borderId="8" xfId="0" applyFont="1" applyFill="1" applyBorder="1" applyAlignment="1">
      <alignment horizontal="center" vertical="center"/>
    </xf>
    <xf numFmtId="0" fontId="14" fillId="3" borderId="9" xfId="0" applyFont="1" applyFill="1" applyBorder="1" applyAlignment="1">
      <alignment horizontal="center" vertical="center"/>
    </xf>
    <xf numFmtId="0" fontId="14" fillId="3" borderId="8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/>
    </xf>
    <xf numFmtId="43" fontId="16" fillId="4" borderId="1" xfId="1" applyFont="1" applyFill="1" applyBorder="1"/>
    <xf numFmtId="43" fontId="15" fillId="2" borderId="0" xfId="0" applyNumberFormat="1" applyFont="1" applyFill="1"/>
    <xf numFmtId="43" fontId="15" fillId="2" borderId="0" xfId="1" applyFont="1" applyFill="1" applyBorder="1"/>
    <xf numFmtId="43" fontId="16" fillId="2" borderId="0" xfId="1" applyFont="1" applyFill="1" applyBorder="1"/>
    <xf numFmtId="43" fontId="15" fillId="2" borderId="0" xfId="1" applyFont="1" applyFill="1" applyBorder="1" applyAlignment="1">
      <alignment horizontal="center"/>
    </xf>
    <xf numFmtId="0" fontId="15" fillId="2" borderId="0" xfId="0" applyFont="1" applyFill="1" applyAlignment="1">
      <alignment horizontal="left"/>
    </xf>
    <xf numFmtId="165" fontId="12" fillId="2" borderId="0" xfId="0" applyNumberFormat="1" applyFont="1" applyFill="1" applyAlignment="1">
      <alignment horizontal="left" wrapText="1"/>
    </xf>
    <xf numFmtId="0" fontId="15" fillId="2" borderId="0" xfId="0" applyFont="1" applyFill="1" applyAlignment="1">
      <alignment horizontal="center"/>
    </xf>
    <xf numFmtId="0" fontId="16" fillId="2" borderId="0" xfId="0" applyFont="1" applyFill="1" applyAlignment="1">
      <alignment horizontal="left"/>
    </xf>
    <xf numFmtId="0" fontId="14" fillId="2" borderId="1" xfId="0" applyFont="1" applyFill="1" applyBorder="1" applyAlignment="1">
      <alignment horizontal="left"/>
    </xf>
    <xf numFmtId="43" fontId="15" fillId="2" borderId="0" xfId="1" applyFont="1" applyFill="1" applyBorder="1" applyAlignment="1">
      <alignment horizontal="left"/>
    </xf>
    <xf numFmtId="0" fontId="14" fillId="2" borderId="0" xfId="0" applyFont="1" applyFill="1" applyAlignment="1">
      <alignment horizontal="left"/>
    </xf>
    <xf numFmtId="43" fontId="14" fillId="2" borderId="0" xfId="1" applyFont="1" applyFill="1" applyBorder="1" applyAlignment="1">
      <alignment horizontal="center"/>
    </xf>
    <xf numFmtId="0" fontId="16" fillId="2" borderId="0" xfId="0" applyFont="1" applyFill="1" applyAlignment="1">
      <alignment horizontal="center"/>
    </xf>
    <xf numFmtId="43" fontId="16" fillId="2" borderId="0" xfId="1" applyFont="1" applyFill="1" applyBorder="1" applyAlignment="1">
      <alignment horizontal="center"/>
    </xf>
    <xf numFmtId="165" fontId="11" fillId="2" borderId="0" xfId="0" applyNumberFormat="1" applyFont="1" applyFill="1" applyAlignment="1">
      <alignment horizontal="left" wrapText="1"/>
    </xf>
    <xf numFmtId="43" fontId="15" fillId="0" borderId="0" xfId="1" applyFont="1" applyFill="1" applyBorder="1"/>
    <xf numFmtId="43" fontId="15" fillId="0" borderId="0" xfId="1" applyFont="1" applyFill="1" applyBorder="1" applyAlignment="1">
      <alignment horizontal="center"/>
    </xf>
    <xf numFmtId="0" fontId="16" fillId="0" borderId="4" xfId="0" applyFont="1" applyBorder="1" applyAlignment="1">
      <alignment horizontal="left"/>
    </xf>
    <xf numFmtId="0" fontId="16" fillId="0" borderId="3" xfId="0" applyFont="1" applyBorder="1" applyAlignment="1">
      <alignment horizontal="left"/>
    </xf>
    <xf numFmtId="0" fontId="16" fillId="0" borderId="5" xfId="0" applyFont="1" applyBorder="1" applyAlignment="1">
      <alignment horizontal="left"/>
    </xf>
    <xf numFmtId="43" fontId="16" fillId="3" borderId="6" xfId="0" applyNumberFormat="1" applyFont="1" applyFill="1" applyBorder="1"/>
    <xf numFmtId="43" fontId="3" fillId="2" borderId="2" xfId="1" applyFont="1" applyFill="1" applyBorder="1" applyAlignment="1">
      <alignment horizontal="left"/>
    </xf>
    <xf numFmtId="0" fontId="3" fillId="2" borderId="3" xfId="0" applyFont="1" applyFill="1" applyBorder="1" applyAlignment="1">
      <alignment horizontal="left"/>
    </xf>
    <xf numFmtId="43" fontId="3" fillId="0" borderId="1" xfId="1" applyFont="1" applyFill="1" applyBorder="1"/>
    <xf numFmtId="0" fontId="6" fillId="2" borderId="0" xfId="0" applyFont="1" applyFill="1" applyAlignment="1">
      <alignment horizontal="center" wrapText="1"/>
    </xf>
    <xf numFmtId="43" fontId="6" fillId="4" borderId="6" xfId="1" applyFont="1" applyFill="1" applyBorder="1"/>
    <xf numFmtId="43" fontId="0" fillId="0" borderId="0" xfId="0" applyNumberFormat="1"/>
    <xf numFmtId="43" fontId="3" fillId="0" borderId="0" xfId="0" applyNumberFormat="1" applyFont="1"/>
    <xf numFmtId="0" fontId="3" fillId="0" borderId="1" xfId="0" applyFont="1" applyBorder="1" applyAlignment="1">
      <alignment horizontal="center"/>
    </xf>
    <xf numFmtId="43" fontId="3" fillId="0" borderId="1" xfId="0" applyNumberFormat="1" applyFont="1" applyBorder="1"/>
    <xf numFmtId="43" fontId="3" fillId="0" borderId="0" xfId="1" applyFont="1" applyFill="1" applyBorder="1"/>
    <xf numFmtId="0" fontId="14" fillId="2" borderId="0" xfId="0" applyFont="1" applyFill="1" applyAlignment="1">
      <alignment horizontal="left" wrapText="1"/>
    </xf>
    <xf numFmtId="0" fontId="13" fillId="2" borderId="0" xfId="0" applyFont="1" applyFill="1" applyAlignment="1">
      <alignment horizontal="left"/>
    </xf>
    <xf numFmtId="43" fontId="6" fillId="2" borderId="3" xfId="1" applyFont="1" applyFill="1" applyBorder="1"/>
    <xf numFmtId="43" fontId="6" fillId="4" borderId="15" xfId="1" applyFont="1" applyFill="1" applyBorder="1"/>
    <xf numFmtId="43" fontId="3" fillId="0" borderId="0" xfId="1" applyFont="1" applyFill="1" applyBorder="1" applyAlignment="1">
      <alignment horizontal="left"/>
    </xf>
    <xf numFmtId="43" fontId="6" fillId="0" borderId="0" xfId="1" applyFont="1" applyFill="1" applyBorder="1"/>
    <xf numFmtId="0" fontId="15" fillId="0" borderId="2" xfId="0" applyFont="1" applyBorder="1" applyAlignment="1">
      <alignment horizontal="center"/>
    </xf>
    <xf numFmtId="0" fontId="15" fillId="0" borderId="2" xfId="0" applyFont="1" applyBorder="1" applyAlignment="1">
      <alignment horizontal="left"/>
    </xf>
    <xf numFmtId="43" fontId="15" fillId="0" borderId="2" xfId="1" applyFont="1" applyFill="1" applyBorder="1"/>
    <xf numFmtId="43" fontId="15" fillId="0" borderId="2" xfId="0" applyNumberFormat="1" applyFont="1" applyBorder="1"/>
    <xf numFmtId="0" fontId="15" fillId="0" borderId="0" xfId="0" applyFont="1"/>
    <xf numFmtId="0" fontId="15" fillId="0" borderId="1" xfId="0" applyFont="1" applyBorder="1" applyAlignment="1">
      <alignment horizontal="center"/>
    </xf>
    <xf numFmtId="0" fontId="15" fillId="0" borderId="1" xfId="0" applyFont="1" applyBorder="1" applyAlignment="1">
      <alignment horizontal="left"/>
    </xf>
    <xf numFmtId="43" fontId="15" fillId="0" borderId="1" xfId="1" applyFont="1" applyFill="1" applyBorder="1"/>
    <xf numFmtId="165" fontId="12" fillId="0" borderId="2" xfId="0" applyNumberFormat="1" applyFont="1" applyBorder="1" applyAlignment="1">
      <alignment horizontal="left" wrapText="1"/>
    </xf>
    <xf numFmtId="43" fontId="15" fillId="0" borderId="1" xfId="0" applyNumberFormat="1" applyFont="1" applyBorder="1"/>
    <xf numFmtId="165" fontId="12" fillId="0" borderId="1" xfId="0" applyNumberFormat="1" applyFont="1" applyBorder="1" applyAlignment="1">
      <alignment horizontal="left" wrapText="1"/>
    </xf>
    <xf numFmtId="43" fontId="16" fillId="0" borderId="0" xfId="1" applyFont="1" applyFill="1" applyBorder="1"/>
    <xf numFmtId="43" fontId="15" fillId="0" borderId="0" xfId="1" applyFont="1" applyFill="1" applyBorder="1" applyAlignment="1">
      <alignment horizontal="left"/>
    </xf>
    <xf numFmtId="165" fontId="12" fillId="0" borderId="1" xfId="0" applyNumberFormat="1" applyFont="1" applyBorder="1" applyAlignment="1">
      <alignment wrapText="1"/>
    </xf>
    <xf numFmtId="43" fontId="15" fillId="0" borderId="2" xfId="1" applyFont="1" applyFill="1" applyBorder="1" applyAlignment="1"/>
    <xf numFmtId="43" fontId="15" fillId="0" borderId="0" xfId="1" applyFont="1" applyFill="1" applyBorder="1" applyAlignment="1"/>
    <xf numFmtId="43" fontId="16" fillId="0" borderId="0" xfId="1" applyFont="1" applyFill="1" applyBorder="1" applyAlignment="1">
      <alignment horizontal="left"/>
    </xf>
    <xf numFmtId="43" fontId="10" fillId="0" borderId="1" xfId="1" applyFont="1" applyFill="1" applyBorder="1"/>
    <xf numFmtId="43" fontId="10" fillId="0" borderId="0" xfId="1" applyFont="1" applyFill="1" applyBorder="1"/>
    <xf numFmtId="0" fontId="10" fillId="0" borderId="0" xfId="0" applyFont="1"/>
    <xf numFmtId="43" fontId="5" fillId="0" borderId="0" xfId="1" applyFont="1" applyFill="1" applyBorder="1"/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horizontal="left" wrapText="1"/>
    </xf>
    <xf numFmtId="0" fontId="3" fillId="0" borderId="2" xfId="0" applyFont="1" applyBorder="1" applyAlignment="1">
      <alignment horizontal="left"/>
    </xf>
    <xf numFmtId="43" fontId="3" fillId="0" borderId="2" xfId="0" applyNumberFormat="1" applyFont="1" applyBorder="1"/>
    <xf numFmtId="43" fontId="3" fillId="0" borderId="2" xfId="1" applyFont="1" applyFill="1" applyBorder="1"/>
    <xf numFmtId="0" fontId="3" fillId="0" borderId="14" xfId="0" applyFont="1" applyBorder="1" applyAlignment="1">
      <alignment horizontal="center"/>
    </xf>
    <xf numFmtId="0" fontId="3" fillId="0" borderId="0" xfId="0" applyFont="1"/>
    <xf numFmtId="0" fontId="3" fillId="0" borderId="1" xfId="0" applyFont="1" applyBorder="1" applyAlignment="1">
      <alignment horizontal="left" wrapText="1"/>
    </xf>
    <xf numFmtId="164" fontId="3" fillId="0" borderId="1" xfId="0" applyNumberFormat="1" applyFont="1" applyBorder="1"/>
    <xf numFmtId="0" fontId="3" fillId="0" borderId="1" xfId="0" applyFont="1" applyBorder="1" applyAlignment="1">
      <alignment horizontal="center" wrapText="1"/>
    </xf>
    <xf numFmtId="43" fontId="10" fillId="2" borderId="1" xfId="1" applyFont="1" applyFill="1" applyBorder="1"/>
    <xf numFmtId="43" fontId="15" fillId="2" borderId="2" xfId="1" applyFont="1" applyFill="1" applyBorder="1"/>
    <xf numFmtId="0" fontId="15" fillId="2" borderId="1" xfId="0" applyFont="1" applyFill="1" applyBorder="1" applyAlignment="1">
      <alignment horizontal="left"/>
    </xf>
    <xf numFmtId="165" fontId="12" fillId="2" borderId="1" xfId="0" applyNumberFormat="1" applyFont="1" applyFill="1" applyBorder="1" applyAlignment="1">
      <alignment horizontal="left" wrapText="1"/>
    </xf>
    <xf numFmtId="43" fontId="15" fillId="2" borderId="1" xfId="1" applyFont="1" applyFill="1" applyBorder="1"/>
    <xf numFmtId="43" fontId="15" fillId="2" borderId="2" xfId="0" applyNumberFormat="1" applyFont="1" applyFill="1" applyBorder="1"/>
    <xf numFmtId="0" fontId="15" fillId="2" borderId="2" xfId="0" applyFont="1" applyFill="1" applyBorder="1" applyAlignment="1">
      <alignment horizontal="left"/>
    </xf>
    <xf numFmtId="0" fontId="15" fillId="2" borderId="12" xfId="0" applyFont="1" applyFill="1" applyBorder="1" applyAlignment="1">
      <alignment horizontal="left"/>
    </xf>
    <xf numFmtId="43" fontId="3" fillId="2" borderId="1" xfId="0" applyNumberFormat="1" applyFont="1" applyFill="1" applyBorder="1"/>
    <xf numFmtId="0" fontId="3" fillId="2" borderId="2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wrapText="1"/>
    </xf>
    <xf numFmtId="0" fontId="3" fillId="2" borderId="1" xfId="0" applyFont="1" applyFill="1" applyBorder="1"/>
    <xf numFmtId="0" fontId="3" fillId="2" borderId="1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/>
    </xf>
    <xf numFmtId="0" fontId="6" fillId="2" borderId="3" xfId="0" applyFont="1" applyFill="1" applyBorder="1" applyAlignment="1">
      <alignment horizontal="center"/>
    </xf>
    <xf numFmtId="0" fontId="15" fillId="2" borderId="2" xfId="0" applyFont="1" applyFill="1" applyBorder="1" applyAlignment="1">
      <alignment horizontal="center"/>
    </xf>
    <xf numFmtId="165" fontId="12" fillId="2" borderId="2" xfId="0" applyNumberFormat="1" applyFont="1" applyFill="1" applyBorder="1" applyAlignment="1">
      <alignment horizontal="left" wrapText="1"/>
    </xf>
    <xf numFmtId="0" fontId="13" fillId="2" borderId="0" xfId="0" applyFont="1" applyFill="1"/>
    <xf numFmtId="43" fontId="15" fillId="2" borderId="7" xfId="1" applyFont="1" applyFill="1" applyBorder="1"/>
    <xf numFmtId="0" fontId="15" fillId="2" borderId="1" xfId="0" applyFont="1" applyFill="1" applyBorder="1" applyAlignment="1">
      <alignment horizontal="left" wrapText="1"/>
    </xf>
    <xf numFmtId="43" fontId="15" fillId="2" borderId="1" xfId="1" applyFont="1" applyFill="1" applyBorder="1" applyAlignment="1"/>
    <xf numFmtId="0" fontId="3" fillId="0" borderId="0" xfId="0" applyFont="1" applyAlignment="1">
      <alignment horizontal="center"/>
    </xf>
    <xf numFmtId="0" fontId="3" fillId="2" borderId="0" xfId="0" applyFont="1" applyFill="1" applyAlignment="1">
      <alignment wrapText="1"/>
    </xf>
    <xf numFmtId="0" fontId="3" fillId="0" borderId="0" xfId="0" applyFont="1" applyAlignment="1">
      <alignment horizontal="left" wrapText="1"/>
    </xf>
    <xf numFmtId="164" fontId="3" fillId="0" borderId="0" xfId="0" applyNumberFormat="1" applyFont="1"/>
    <xf numFmtId="43" fontId="6" fillId="2" borderId="19" xfId="1" applyFont="1" applyFill="1" applyBorder="1"/>
    <xf numFmtId="0" fontId="3" fillId="2" borderId="2" xfId="0" applyFont="1" applyFill="1" applyBorder="1"/>
    <xf numFmtId="43" fontId="15" fillId="2" borderId="14" xfId="1" applyFont="1" applyFill="1" applyBorder="1"/>
    <xf numFmtId="43" fontId="15" fillId="0" borderId="14" xfId="1" applyFont="1" applyFill="1" applyBorder="1"/>
    <xf numFmtId="0" fontId="0" fillId="0" borderId="0" xfId="0" applyAlignment="1">
      <alignment horizontal="center"/>
    </xf>
    <xf numFmtId="0" fontId="14" fillId="2" borderId="0" xfId="0" applyFont="1" applyFill="1" applyAlignment="1">
      <alignment horizontal="center" wrapText="1"/>
    </xf>
    <xf numFmtId="0" fontId="14" fillId="2" borderId="10" xfId="0" applyFont="1" applyFill="1" applyBorder="1" applyAlignment="1">
      <alignment horizontal="center"/>
    </xf>
    <xf numFmtId="0" fontId="14" fillId="2" borderId="0" xfId="0" applyFont="1" applyFill="1" applyAlignment="1">
      <alignment horizontal="center"/>
    </xf>
    <xf numFmtId="0" fontId="16" fillId="0" borderId="3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6" fillId="2" borderId="0" xfId="0" applyFont="1" applyFill="1" applyAlignment="1">
      <alignment horizontal="center"/>
    </xf>
    <xf numFmtId="43" fontId="3" fillId="2" borderId="1" xfId="1" applyFont="1" applyFill="1" applyBorder="1" applyAlignment="1">
      <alignment horizontal="center"/>
    </xf>
    <xf numFmtId="43" fontId="3" fillId="2" borderId="2" xfId="1" applyFont="1" applyFill="1" applyBorder="1" applyAlignment="1">
      <alignment horizontal="center"/>
    </xf>
    <xf numFmtId="43" fontId="3" fillId="2" borderId="0" xfId="1" applyFont="1" applyFill="1" applyBorder="1" applyAlignment="1">
      <alignment horizontal="center"/>
    </xf>
    <xf numFmtId="0" fontId="15" fillId="2" borderId="2" xfId="0" applyFont="1" applyFill="1" applyBorder="1" applyAlignment="1">
      <alignment horizontal="left" wrapText="1"/>
    </xf>
    <xf numFmtId="43" fontId="6" fillId="4" borderId="22" xfId="1" applyFont="1" applyFill="1" applyBorder="1"/>
    <xf numFmtId="0" fontId="3" fillId="0" borderId="20" xfId="0" applyFont="1" applyBorder="1" applyAlignment="1">
      <alignment horizontal="center"/>
    </xf>
    <xf numFmtId="0" fontId="19" fillId="0" borderId="2" xfId="0" applyFont="1" applyBorder="1" applyAlignment="1">
      <alignment vertical="center" wrapText="1"/>
    </xf>
    <xf numFmtId="0" fontId="19" fillId="0" borderId="2" xfId="0" applyFont="1" applyBorder="1" applyAlignment="1">
      <alignment horizontal="center" vertical="center" wrapText="1"/>
    </xf>
    <xf numFmtId="43" fontId="15" fillId="2" borderId="1" xfId="1" applyFont="1" applyFill="1" applyBorder="1" applyAlignment="1">
      <alignment horizontal="center"/>
    </xf>
    <xf numFmtId="0" fontId="15" fillId="2" borderId="1" xfId="0" applyFont="1" applyFill="1" applyBorder="1"/>
    <xf numFmtId="43" fontId="15" fillId="0" borderId="1" xfId="1" applyFont="1" applyFill="1" applyBorder="1" applyAlignment="1">
      <alignment vertical="center"/>
    </xf>
    <xf numFmtId="43" fontId="15" fillId="0" borderId="2" xfId="1" applyFont="1" applyFill="1" applyBorder="1" applyAlignment="1">
      <alignment vertical="center"/>
    </xf>
    <xf numFmtId="43" fontId="6" fillId="2" borderId="0" xfId="0" applyNumberFormat="1" applyFont="1" applyFill="1"/>
    <xf numFmtId="0" fontId="15" fillId="0" borderId="10" xfId="0" applyFont="1" applyBorder="1" applyAlignment="1">
      <alignment horizontal="center"/>
    </xf>
    <xf numFmtId="43" fontId="7" fillId="2" borderId="0" xfId="1" applyFont="1" applyFill="1" applyBorder="1" applyAlignment="1">
      <alignment horizontal="center"/>
    </xf>
    <xf numFmtId="43" fontId="20" fillId="2" borderId="1" xfId="1" applyFont="1" applyFill="1" applyBorder="1"/>
    <xf numFmtId="43" fontId="20" fillId="2" borderId="2" xfId="1" applyFont="1" applyFill="1" applyBorder="1"/>
    <xf numFmtId="0" fontId="17" fillId="2" borderId="2" xfId="0" applyFont="1" applyFill="1" applyBorder="1" applyAlignment="1">
      <alignment horizontal="left"/>
    </xf>
    <xf numFmtId="0" fontId="17" fillId="2" borderId="2" xfId="0" applyFont="1" applyFill="1" applyBorder="1" applyAlignment="1">
      <alignment horizontal="center"/>
    </xf>
    <xf numFmtId="0" fontId="17" fillId="2" borderId="2" xfId="0" applyFont="1" applyFill="1" applyBorder="1" applyAlignment="1">
      <alignment horizontal="left" wrapText="1"/>
    </xf>
    <xf numFmtId="164" fontId="3" fillId="2" borderId="2" xfId="0" applyNumberFormat="1" applyFont="1" applyFill="1" applyBorder="1"/>
    <xf numFmtId="0" fontId="15" fillId="2" borderId="2" xfId="0" applyFont="1" applyFill="1" applyBorder="1"/>
    <xf numFmtId="0" fontId="17" fillId="2" borderId="1" xfId="0" applyFont="1" applyFill="1" applyBorder="1" applyAlignment="1">
      <alignment horizontal="left"/>
    </xf>
    <xf numFmtId="0" fontId="17" fillId="2" borderId="1" xfId="0" applyFont="1" applyFill="1" applyBorder="1" applyAlignment="1">
      <alignment horizontal="center"/>
    </xf>
    <xf numFmtId="43" fontId="17" fillId="2" borderId="1" xfId="1" applyFont="1" applyFill="1" applyBorder="1" applyAlignment="1">
      <alignment horizontal="center"/>
    </xf>
    <xf numFmtId="0" fontId="12" fillId="2" borderId="1" xfId="0" applyFont="1" applyFill="1" applyBorder="1" applyAlignment="1">
      <alignment horizontal="left"/>
    </xf>
    <xf numFmtId="0" fontId="12" fillId="2" borderId="1" xfId="0" applyFont="1" applyFill="1" applyBorder="1" applyAlignment="1">
      <alignment horizontal="center"/>
    </xf>
    <xf numFmtId="0" fontId="12" fillId="2" borderId="12" xfId="0" applyFont="1" applyFill="1" applyBorder="1" applyAlignment="1">
      <alignment horizontal="center"/>
    </xf>
    <xf numFmtId="0" fontId="15" fillId="2" borderId="11" xfId="0" applyFont="1" applyFill="1" applyBorder="1" applyAlignment="1">
      <alignment horizontal="left"/>
    </xf>
    <xf numFmtId="43" fontId="15" fillId="2" borderId="2" xfId="1" applyFont="1" applyFill="1" applyBorder="1" applyAlignment="1"/>
    <xf numFmtId="0" fontId="15" fillId="2" borderId="12" xfId="0" applyFont="1" applyFill="1" applyBorder="1" applyAlignment="1">
      <alignment horizontal="center"/>
    </xf>
    <xf numFmtId="0" fontId="15" fillId="2" borderId="10" xfId="0" applyFont="1" applyFill="1" applyBorder="1" applyAlignment="1">
      <alignment horizontal="center"/>
    </xf>
    <xf numFmtId="0" fontId="15" fillId="2" borderId="1" xfId="0" applyFont="1" applyFill="1" applyBorder="1" applyAlignment="1">
      <alignment horizontal="left" vertical="center"/>
    </xf>
    <xf numFmtId="0" fontId="15" fillId="2" borderId="1" xfId="0" applyFont="1" applyFill="1" applyBorder="1" applyAlignment="1">
      <alignment horizontal="center" vertical="center"/>
    </xf>
    <xf numFmtId="43" fontId="15" fillId="2" borderId="1" xfId="1" applyFont="1" applyFill="1" applyBorder="1" applyAlignment="1">
      <alignment vertical="center"/>
    </xf>
    <xf numFmtId="165" fontId="12" fillId="2" borderId="1" xfId="0" applyNumberFormat="1" applyFont="1" applyFill="1" applyBorder="1" applyAlignment="1">
      <alignment wrapText="1"/>
    </xf>
    <xf numFmtId="0" fontId="3" fillId="2" borderId="14" xfId="0" applyFont="1" applyFill="1" applyBorder="1" applyAlignment="1">
      <alignment horizontal="left"/>
    </xf>
    <xf numFmtId="0" fontId="3" fillId="2" borderId="14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left" wrapText="1"/>
    </xf>
    <xf numFmtId="43" fontId="9" fillId="2" borderId="1" xfId="1" applyFont="1" applyFill="1" applyBorder="1" applyAlignment="1">
      <alignment horizontal="center"/>
    </xf>
    <xf numFmtId="0" fontId="15" fillId="0" borderId="1" xfId="0" applyFont="1" applyBorder="1" applyAlignment="1">
      <alignment horizontal="left" wrapText="1"/>
    </xf>
    <xf numFmtId="0" fontId="3" fillId="0" borderId="1" xfId="0" applyFont="1" applyBorder="1"/>
    <xf numFmtId="0" fontId="3" fillId="0" borderId="1" xfId="0" applyFont="1" applyBorder="1" applyAlignment="1">
      <alignment horizontal="left"/>
    </xf>
    <xf numFmtId="43" fontId="3" fillId="0" borderId="2" xfId="1" applyFont="1" applyFill="1" applyBorder="1" applyAlignment="1">
      <alignment wrapText="1"/>
    </xf>
    <xf numFmtId="43" fontId="3" fillId="0" borderId="2" xfId="1" applyFont="1" applyFill="1" applyBorder="1" applyAlignment="1">
      <alignment horizontal="center"/>
    </xf>
    <xf numFmtId="43" fontId="3" fillId="2" borderId="1" xfId="1" applyFont="1" applyFill="1" applyBorder="1" applyAlignment="1">
      <alignment horizontal="left"/>
    </xf>
    <xf numFmtId="43" fontId="12" fillId="2" borderId="1" xfId="1" applyFont="1" applyFill="1" applyBorder="1"/>
    <xf numFmtId="0" fontId="6" fillId="2" borderId="23" xfId="0" applyFont="1" applyFill="1" applyBorder="1" applyAlignment="1">
      <alignment horizontal="center" wrapText="1"/>
    </xf>
    <xf numFmtId="0" fontId="3" fillId="0" borderId="2" xfId="0" applyFont="1" applyBorder="1"/>
    <xf numFmtId="43" fontId="3" fillId="2" borderId="14" xfId="1" applyFont="1" applyFill="1" applyBorder="1" applyAlignment="1">
      <alignment horizontal="center"/>
    </xf>
    <xf numFmtId="43" fontId="3" fillId="0" borderId="14" xfId="1" applyFont="1" applyFill="1" applyBorder="1"/>
    <xf numFmtId="43" fontId="3" fillId="0" borderId="14" xfId="0" applyNumberFormat="1" applyFont="1" applyBorder="1"/>
    <xf numFmtId="43" fontId="3" fillId="2" borderId="14" xfId="1" applyFont="1" applyFill="1" applyBorder="1"/>
    <xf numFmtId="0" fontId="6" fillId="0" borderId="0" xfId="0" applyFont="1" applyAlignment="1">
      <alignment horizontal="center" wrapText="1"/>
    </xf>
    <xf numFmtId="43" fontId="6" fillId="0" borderId="19" xfId="1" applyFont="1" applyFill="1" applyBorder="1"/>
    <xf numFmtId="0" fontId="4" fillId="0" borderId="0" xfId="0" applyFont="1"/>
    <xf numFmtId="0" fontId="4" fillId="2" borderId="0" xfId="0" applyFont="1" applyFill="1"/>
    <xf numFmtId="0" fontId="0" fillId="2" borderId="0" xfId="0" applyFill="1"/>
    <xf numFmtId="165" fontId="12" fillId="2" borderId="12" xfId="0" applyNumberFormat="1" applyFont="1" applyFill="1" applyBorder="1" applyAlignment="1">
      <alignment horizontal="left" wrapText="1"/>
    </xf>
    <xf numFmtId="43" fontId="6" fillId="2" borderId="4" xfId="1" applyFont="1" applyFill="1" applyBorder="1" applyAlignment="1"/>
    <xf numFmtId="43" fontId="6" fillId="2" borderId="3" xfId="1" applyFont="1" applyFill="1" applyBorder="1" applyAlignment="1"/>
    <xf numFmtId="0" fontId="14" fillId="3" borderId="16" xfId="0" applyFont="1" applyFill="1" applyBorder="1" applyAlignment="1">
      <alignment horizontal="center" vertical="center"/>
    </xf>
    <xf numFmtId="0" fontId="14" fillId="3" borderId="24" xfId="0" applyFont="1" applyFill="1" applyBorder="1" applyAlignment="1">
      <alignment horizontal="center" vertical="center"/>
    </xf>
    <xf numFmtId="0" fontId="14" fillId="3" borderId="25" xfId="0" applyFont="1" applyFill="1" applyBorder="1" applyAlignment="1">
      <alignment horizontal="center" vertical="center"/>
    </xf>
    <xf numFmtId="0" fontId="16" fillId="2" borderId="10" xfId="0" applyFont="1" applyFill="1" applyBorder="1"/>
    <xf numFmtId="0" fontId="16" fillId="2" borderId="12" xfId="0" applyFont="1" applyFill="1" applyBorder="1"/>
    <xf numFmtId="0" fontId="16" fillId="2" borderId="11" xfId="0" applyFont="1" applyFill="1" applyBorder="1"/>
    <xf numFmtId="0" fontId="14" fillId="2" borderId="4" xfId="0" applyFont="1" applyFill="1" applyBorder="1"/>
    <xf numFmtId="0" fontId="14" fillId="2" borderId="3" xfId="0" applyFont="1" applyFill="1" applyBorder="1"/>
    <xf numFmtId="0" fontId="14" fillId="2" borderId="5" xfId="0" applyFont="1" applyFill="1" applyBorder="1"/>
    <xf numFmtId="0" fontId="14" fillId="2" borderId="3" xfId="0" applyFont="1" applyFill="1" applyBorder="1" applyAlignment="1">
      <alignment wrapText="1"/>
    </xf>
    <xf numFmtId="0" fontId="14" fillId="2" borderId="5" xfId="0" applyFont="1" applyFill="1" applyBorder="1" applyAlignment="1">
      <alignment wrapText="1"/>
    </xf>
    <xf numFmtId="0" fontId="16" fillId="2" borderId="4" xfId="0" applyFont="1" applyFill="1" applyBorder="1"/>
    <xf numFmtId="0" fontId="16" fillId="2" borderId="3" xfId="0" applyFont="1" applyFill="1" applyBorder="1"/>
    <xf numFmtId="0" fontId="16" fillId="2" borderId="5" xfId="0" applyFont="1" applyFill="1" applyBorder="1"/>
    <xf numFmtId="0" fontId="16" fillId="2" borderId="19" xfId="0" applyFont="1" applyFill="1" applyBorder="1"/>
    <xf numFmtId="0" fontId="14" fillId="2" borderId="17" xfId="0" applyFont="1" applyFill="1" applyBorder="1"/>
    <xf numFmtId="0" fontId="14" fillId="2" borderId="18" xfId="0" applyFont="1" applyFill="1" applyBorder="1"/>
    <xf numFmtId="0" fontId="16" fillId="2" borderId="0" xfId="0" applyFont="1" applyFill="1"/>
    <xf numFmtId="0" fontId="6" fillId="2" borderId="4" xfId="0" applyFont="1" applyFill="1" applyBorder="1"/>
    <xf numFmtId="0" fontId="6" fillId="2" borderId="3" xfId="0" applyFont="1" applyFill="1" applyBorder="1"/>
    <xf numFmtId="0" fontId="6" fillId="2" borderId="1" xfId="0" applyFont="1" applyFill="1" applyBorder="1" applyAlignment="1">
      <alignment wrapText="1"/>
    </xf>
    <xf numFmtId="0" fontId="6" fillId="2" borderId="2" xfId="0" applyFont="1" applyFill="1" applyBorder="1" applyAlignment="1">
      <alignment wrapText="1"/>
    </xf>
    <xf numFmtId="0" fontId="6" fillId="2" borderId="10" xfId="0" applyFont="1" applyFill="1" applyBorder="1" applyAlignment="1">
      <alignment wrapText="1"/>
    </xf>
    <xf numFmtId="0" fontId="6" fillId="2" borderId="12" xfId="0" applyFont="1" applyFill="1" applyBorder="1" applyAlignment="1">
      <alignment wrapText="1"/>
    </xf>
    <xf numFmtId="0" fontId="6" fillId="2" borderId="11" xfId="0" applyFont="1" applyFill="1" applyBorder="1" applyAlignment="1">
      <alignment wrapText="1"/>
    </xf>
    <xf numFmtId="0" fontId="6" fillId="2" borderId="20" xfId="0" applyFont="1" applyFill="1" applyBorder="1" applyAlignment="1">
      <alignment wrapText="1"/>
    </xf>
    <xf numFmtId="0" fontId="7" fillId="2" borderId="4" xfId="0" applyFont="1" applyFill="1" applyBorder="1"/>
    <xf numFmtId="0" fontId="7" fillId="2" borderId="3" xfId="0" applyFont="1" applyFill="1" applyBorder="1"/>
    <xf numFmtId="0" fontId="6" fillId="2" borderId="16" xfId="0" applyFont="1" applyFill="1" applyBorder="1"/>
    <xf numFmtId="0" fontId="6" fillId="2" borderId="21" xfId="0" applyFont="1" applyFill="1" applyBorder="1"/>
    <xf numFmtId="0" fontId="6" fillId="2" borderId="0" xfId="0" applyFont="1" applyFill="1" applyAlignment="1">
      <alignment wrapText="1"/>
    </xf>
    <xf numFmtId="0" fontId="14" fillId="3" borderId="5" xfId="0" applyFont="1" applyFill="1" applyBorder="1" applyAlignment="1">
      <alignment horizontal="center" vertical="center"/>
    </xf>
    <xf numFmtId="43" fontId="10" fillId="2" borderId="0" xfId="0" applyNumberFormat="1" applyFont="1" applyFill="1"/>
    <xf numFmtId="0" fontId="14" fillId="3" borderId="26" xfId="0" applyFont="1" applyFill="1" applyBorder="1" applyAlignment="1">
      <alignment horizontal="center" vertical="center" wrapText="1"/>
    </xf>
    <xf numFmtId="0" fontId="14" fillId="3" borderId="28" xfId="0" applyFont="1" applyFill="1" applyBorder="1" applyAlignment="1">
      <alignment horizontal="center" vertical="center"/>
    </xf>
    <xf numFmtId="0" fontId="3" fillId="2" borderId="1" xfId="3" applyFont="1" applyFill="1" applyBorder="1" applyAlignment="1">
      <alignment wrapText="1"/>
    </xf>
    <xf numFmtId="0" fontId="23" fillId="2" borderId="0" xfId="0" applyFont="1" applyFill="1"/>
    <xf numFmtId="43" fontId="15" fillId="2" borderId="0" xfId="1" applyFont="1" applyFill="1" applyBorder="1" applyAlignment="1"/>
    <xf numFmtId="43" fontId="16" fillId="2" borderId="0" xfId="1" applyFont="1" applyFill="1" applyBorder="1" applyAlignment="1">
      <alignment horizontal="left"/>
    </xf>
    <xf numFmtId="0" fontId="3" fillId="0" borderId="10" xfId="0" applyFont="1" applyBorder="1" applyAlignment="1">
      <alignment horizontal="center"/>
    </xf>
    <xf numFmtId="43" fontId="15" fillId="2" borderId="1" xfId="0" applyNumberFormat="1" applyFont="1" applyFill="1" applyBorder="1"/>
    <xf numFmtId="0" fontId="12" fillId="2" borderId="12" xfId="0" applyFont="1" applyFill="1" applyBorder="1" applyAlignment="1">
      <alignment horizontal="left"/>
    </xf>
    <xf numFmtId="0" fontId="14" fillId="0" borderId="3" xfId="0" applyFont="1" applyBorder="1" applyAlignment="1">
      <alignment wrapText="1"/>
    </xf>
    <xf numFmtId="43" fontId="16" fillId="0" borderId="1" xfId="1" applyFont="1" applyFill="1" applyBorder="1"/>
    <xf numFmtId="0" fontId="3" fillId="2" borderId="1" xfId="0" applyFont="1" applyFill="1" applyBorder="1" applyAlignment="1">
      <alignment horizontal="center" wrapText="1"/>
    </xf>
    <xf numFmtId="43" fontId="10" fillId="0" borderId="1" xfId="0" applyNumberFormat="1" applyFont="1" applyBorder="1"/>
    <xf numFmtId="43" fontId="5" fillId="0" borderId="2" xfId="1" applyFont="1" applyFill="1" applyBorder="1"/>
    <xf numFmtId="0" fontId="16" fillId="0" borderId="2" xfId="0" applyFont="1" applyBorder="1"/>
    <xf numFmtId="0" fontId="5" fillId="0" borderId="2" xfId="0" applyFont="1" applyBorder="1" applyAlignment="1">
      <alignment horizontal="center"/>
    </xf>
    <xf numFmtId="0" fontId="5" fillId="0" borderId="2" xfId="0" applyFont="1" applyBorder="1"/>
    <xf numFmtId="0" fontId="10" fillId="0" borderId="30" xfId="0" applyFont="1" applyBorder="1" applyAlignment="1">
      <alignment horizontal="center"/>
    </xf>
    <xf numFmtId="43" fontId="15" fillId="0" borderId="31" xfId="0" applyNumberFormat="1" applyFont="1" applyBorder="1"/>
    <xf numFmtId="43" fontId="10" fillId="0" borderId="32" xfId="0" applyNumberFormat="1" applyFont="1" applyBorder="1"/>
    <xf numFmtId="43" fontId="15" fillId="0" borderId="32" xfId="0" applyNumberFormat="1" applyFont="1" applyBorder="1"/>
    <xf numFmtId="0" fontId="10" fillId="0" borderId="24" xfId="0" applyFont="1" applyBorder="1" applyAlignment="1">
      <alignment horizontal="center"/>
    </xf>
    <xf numFmtId="0" fontId="15" fillId="2" borderId="25" xfId="0" applyFont="1" applyFill="1" applyBorder="1" applyAlignment="1">
      <alignment horizontal="left"/>
    </xf>
    <xf numFmtId="0" fontId="15" fillId="2" borderId="25" xfId="0" applyFont="1" applyFill="1" applyBorder="1" applyAlignment="1">
      <alignment horizontal="center"/>
    </xf>
    <xf numFmtId="165" fontId="12" fillId="2" borderId="25" xfId="0" applyNumberFormat="1" applyFont="1" applyFill="1" applyBorder="1" applyAlignment="1">
      <alignment horizontal="left" wrapText="1"/>
    </xf>
    <xf numFmtId="43" fontId="10" fillId="0" borderId="25" xfId="1" applyFont="1" applyFill="1" applyBorder="1"/>
    <xf numFmtId="43" fontId="10" fillId="0" borderId="25" xfId="0" applyNumberFormat="1" applyFont="1" applyBorder="1"/>
    <xf numFmtId="43" fontId="10" fillId="2" borderId="25" xfId="1" applyFont="1" applyFill="1" applyBorder="1"/>
    <xf numFmtId="43" fontId="10" fillId="0" borderId="33" xfId="0" applyNumberFormat="1" applyFont="1" applyBorder="1"/>
    <xf numFmtId="0" fontId="5" fillId="0" borderId="20" xfId="0" applyFont="1" applyBorder="1" applyAlignment="1">
      <alignment horizontal="center"/>
    </xf>
    <xf numFmtId="43" fontId="5" fillId="3" borderId="6" xfId="0" applyNumberFormat="1" applyFont="1" applyFill="1" applyBorder="1"/>
    <xf numFmtId="43" fontId="5" fillId="3" borderId="34" xfId="0" applyNumberFormat="1" applyFont="1" applyFill="1" applyBorder="1"/>
    <xf numFmtId="43" fontId="5" fillId="3" borderId="35" xfId="0" applyNumberFormat="1" applyFont="1" applyFill="1" applyBorder="1"/>
    <xf numFmtId="0" fontId="10" fillId="0" borderId="36" xfId="0" applyFont="1" applyBorder="1" applyAlignment="1">
      <alignment horizontal="center"/>
    </xf>
    <xf numFmtId="0" fontId="7" fillId="3" borderId="28" xfId="0" applyFont="1" applyFill="1" applyBorder="1" applyAlignment="1">
      <alignment horizontal="center" vertical="center" wrapText="1"/>
    </xf>
    <xf numFmtId="43" fontId="15" fillId="0" borderId="2" xfId="0" applyNumberFormat="1" applyFont="1" applyBorder="1" applyAlignment="1">
      <alignment vertical="center"/>
    </xf>
    <xf numFmtId="0" fontId="3" fillId="0" borderId="1" xfId="0" applyFont="1" applyBorder="1" applyAlignment="1">
      <alignment wrapText="1"/>
    </xf>
    <xf numFmtId="0" fontId="0" fillId="0" borderId="0" xfId="0" applyAlignment="1">
      <alignment horizontal="left" wrapText="1"/>
    </xf>
    <xf numFmtId="0" fontId="13" fillId="0" borderId="0" xfId="0" applyFont="1" applyAlignment="1">
      <alignment horizontal="left" wrapText="1"/>
    </xf>
    <xf numFmtId="0" fontId="15" fillId="2" borderId="0" xfId="0" applyFont="1" applyFill="1" applyAlignment="1">
      <alignment horizontal="left" wrapText="1"/>
    </xf>
    <xf numFmtId="0" fontId="15" fillId="2" borderId="1" xfId="0" applyFont="1" applyFill="1" applyBorder="1" applyAlignment="1">
      <alignment horizontal="left" vertical="center" wrapText="1"/>
    </xf>
    <xf numFmtId="0" fontId="3" fillId="2" borderId="0" xfId="0" applyFont="1" applyFill="1" applyAlignment="1">
      <alignment horizontal="left" wrapText="1"/>
    </xf>
    <xf numFmtId="0" fontId="16" fillId="0" borderId="5" xfId="0" applyFont="1" applyBorder="1" applyAlignment="1">
      <alignment horizontal="left" wrapText="1"/>
    </xf>
    <xf numFmtId="0" fontId="10" fillId="2" borderId="0" xfId="0" applyFont="1" applyFill="1" applyAlignment="1">
      <alignment horizontal="left" wrapText="1"/>
    </xf>
    <xf numFmtId="0" fontId="14" fillId="3" borderId="8" xfId="0" applyFont="1" applyFill="1" applyBorder="1" applyAlignment="1">
      <alignment horizontal="left" vertical="center" wrapText="1"/>
    </xf>
    <xf numFmtId="0" fontId="16" fillId="2" borderId="0" xfId="0" applyFont="1" applyFill="1" applyAlignment="1">
      <alignment horizontal="left" wrapText="1"/>
    </xf>
    <xf numFmtId="0" fontId="11" fillId="0" borderId="0" xfId="0" applyFont="1" applyAlignment="1">
      <alignment horizontal="left" wrapText="1"/>
    </xf>
    <xf numFmtId="0" fontId="12" fillId="0" borderId="13" xfId="0" applyFont="1" applyBorder="1" applyAlignment="1">
      <alignment horizontal="left" wrapText="1"/>
    </xf>
    <xf numFmtId="0" fontId="14" fillId="0" borderId="0" xfId="0" applyFont="1" applyAlignment="1">
      <alignment horizontal="center" vertical="center"/>
    </xf>
    <xf numFmtId="0" fontId="14" fillId="2" borderId="4" xfId="0" applyFont="1" applyFill="1" applyBorder="1" applyAlignment="1">
      <alignment horizontal="center" wrapText="1"/>
    </xf>
    <xf numFmtId="0" fontId="14" fillId="2" borderId="3" xfId="0" applyFont="1" applyFill="1" applyBorder="1" applyAlignment="1">
      <alignment horizontal="center" wrapText="1"/>
    </xf>
    <xf numFmtId="0" fontId="22" fillId="2" borderId="0" xfId="0" applyFont="1" applyFill="1" applyAlignment="1">
      <alignment horizontal="center"/>
    </xf>
    <xf numFmtId="0" fontId="21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14" fillId="3" borderId="17" xfId="0" applyFont="1" applyFill="1" applyBorder="1" applyAlignment="1">
      <alignment horizontal="center" vertical="center"/>
    </xf>
    <xf numFmtId="0" fontId="14" fillId="3" borderId="18" xfId="0" applyFont="1" applyFill="1" applyBorder="1" applyAlignment="1">
      <alignment horizontal="center" vertical="center"/>
    </xf>
    <xf numFmtId="0" fontId="14" fillId="3" borderId="29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wrapText="1"/>
    </xf>
    <xf numFmtId="0" fontId="6" fillId="2" borderId="11" xfId="0" applyFont="1" applyFill="1" applyBorder="1" applyAlignment="1">
      <alignment horizontal="center" wrapText="1"/>
    </xf>
    <xf numFmtId="0" fontId="6" fillId="2" borderId="26" xfId="0" applyFont="1" applyFill="1" applyBorder="1" applyAlignment="1">
      <alignment horizontal="center" wrapText="1"/>
    </xf>
    <xf numFmtId="0" fontId="6" fillId="2" borderId="27" xfId="0" applyFont="1" applyFill="1" applyBorder="1" applyAlignment="1">
      <alignment horizontal="center" wrapText="1"/>
    </xf>
    <xf numFmtId="0" fontId="4" fillId="0" borderId="0" xfId="0" applyFont="1" applyAlignment="1">
      <alignment horizontal="center"/>
    </xf>
    <xf numFmtId="0" fontId="14" fillId="3" borderId="4" xfId="0" applyFont="1" applyFill="1" applyBorder="1" applyAlignment="1">
      <alignment horizontal="center" vertical="center"/>
    </xf>
    <xf numFmtId="0" fontId="14" fillId="3" borderId="3" xfId="0" applyFont="1" applyFill="1" applyBorder="1" applyAlignment="1">
      <alignment horizontal="center" vertical="center"/>
    </xf>
    <xf numFmtId="0" fontId="14" fillId="3" borderId="5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wrapText="1"/>
    </xf>
    <xf numFmtId="0" fontId="16" fillId="2" borderId="4" xfId="0" applyFont="1" applyFill="1" applyBorder="1" applyAlignment="1">
      <alignment horizontal="left"/>
    </xf>
    <xf numFmtId="0" fontId="16" fillId="2" borderId="3" xfId="0" applyFont="1" applyFill="1" applyBorder="1" applyAlignment="1">
      <alignment horizontal="left"/>
    </xf>
    <xf numFmtId="0" fontId="16" fillId="2" borderId="5" xfId="0" applyFont="1" applyFill="1" applyBorder="1" applyAlignment="1">
      <alignment horizontal="left"/>
    </xf>
    <xf numFmtId="0" fontId="16" fillId="2" borderId="10" xfId="0" applyFont="1" applyFill="1" applyBorder="1" applyAlignment="1">
      <alignment horizontal="center"/>
    </xf>
    <xf numFmtId="0" fontId="16" fillId="2" borderId="12" xfId="0" applyFont="1" applyFill="1" applyBorder="1" applyAlignment="1">
      <alignment horizontal="center"/>
    </xf>
    <xf numFmtId="0" fontId="16" fillId="2" borderId="11" xfId="0" applyFont="1" applyFill="1" applyBorder="1" applyAlignment="1">
      <alignment horizontal="center"/>
    </xf>
    <xf numFmtId="0" fontId="14" fillId="2" borderId="4" xfId="0" applyFont="1" applyFill="1" applyBorder="1" applyAlignment="1">
      <alignment horizontal="left"/>
    </xf>
    <xf numFmtId="0" fontId="14" fillId="2" borderId="3" xfId="0" applyFont="1" applyFill="1" applyBorder="1" applyAlignment="1">
      <alignment horizontal="left"/>
    </xf>
    <xf numFmtId="0" fontId="14" fillId="2" borderId="5" xfId="0" applyFont="1" applyFill="1" applyBorder="1" applyAlignment="1">
      <alignment horizontal="left"/>
    </xf>
    <xf numFmtId="0" fontId="14" fillId="2" borderId="4" xfId="0" applyFont="1" applyFill="1" applyBorder="1" applyAlignment="1">
      <alignment horizontal="left" wrapText="1"/>
    </xf>
    <xf numFmtId="0" fontId="14" fillId="2" borderId="3" xfId="0" applyFont="1" applyFill="1" applyBorder="1" applyAlignment="1">
      <alignment horizontal="left" wrapText="1"/>
    </xf>
    <xf numFmtId="0" fontId="14" fillId="2" borderId="5" xfId="0" applyFont="1" applyFill="1" applyBorder="1" applyAlignment="1">
      <alignment horizontal="left" wrapText="1"/>
    </xf>
    <xf numFmtId="0" fontId="14" fillId="0" borderId="4" xfId="0" applyFont="1" applyBorder="1" applyAlignment="1">
      <alignment horizontal="left"/>
    </xf>
    <xf numFmtId="0" fontId="14" fillId="0" borderId="3" xfId="0" applyFont="1" applyBorder="1" applyAlignment="1">
      <alignment horizontal="left"/>
    </xf>
    <xf numFmtId="0" fontId="14" fillId="0" borderId="5" xfId="0" applyFont="1" applyBorder="1" applyAlignment="1">
      <alignment horizontal="left"/>
    </xf>
    <xf numFmtId="0" fontId="7" fillId="3" borderId="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43" fontId="24" fillId="2" borderId="0" xfId="0" applyNumberFormat="1" applyFont="1" applyFill="1"/>
  </cellXfs>
  <cellStyles count="4">
    <cellStyle name="Millares 2" xfId="1" xr:uid="{00000000-0005-0000-0000-000000000000}"/>
    <cellStyle name="Normal" xfId="0" builtinId="0"/>
    <cellStyle name="Normal 2" xfId="2" xr:uid="{00000000-0005-0000-0000-000002000000}"/>
    <cellStyle name="Normal 2 4" xfId="3" xr:uid="{49F575B4-BF73-497E-8529-01B56A6E4F8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305237</xdr:colOff>
      <xdr:row>0</xdr:row>
      <xdr:rowOff>0</xdr:rowOff>
    </xdr:from>
    <xdr:to>
      <xdr:col>1</xdr:col>
      <xdr:colOff>1898623</xdr:colOff>
      <xdr:row>4</xdr:row>
      <xdr:rowOff>314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5237" y="0"/>
          <a:ext cx="2047024" cy="105220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102578</xdr:colOff>
      <xdr:row>0</xdr:row>
      <xdr:rowOff>21982</xdr:rowOff>
    </xdr:from>
    <xdr:to>
      <xdr:col>1</xdr:col>
      <xdr:colOff>2039631</xdr:colOff>
      <xdr:row>4</xdr:row>
      <xdr:rowOff>79768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4866" y="21982"/>
          <a:ext cx="1937053" cy="101761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316442</xdr:colOff>
      <xdr:row>0</xdr:row>
      <xdr:rowOff>0</xdr:rowOff>
    </xdr:from>
    <xdr:to>
      <xdr:col>2</xdr:col>
      <xdr:colOff>1698585</xdr:colOff>
      <xdr:row>4</xdr:row>
      <xdr:rowOff>96308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FF8435-D002-4DC5-8F87-B78B272B7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2" y="0"/>
          <a:ext cx="1814578" cy="112289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632990</xdr:colOff>
      <xdr:row>0</xdr:row>
      <xdr:rowOff>152400</xdr:rowOff>
    </xdr:from>
    <xdr:to>
      <xdr:col>1</xdr:col>
      <xdr:colOff>2516861</xdr:colOff>
      <xdr:row>5</xdr:row>
      <xdr:rowOff>75181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0030" y="152400"/>
          <a:ext cx="1883871" cy="1121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1000248"/>
  <sheetViews>
    <sheetView showGridLines="0" tabSelected="1" zoomScale="82" zoomScaleNormal="82" zoomScaleSheetLayoutView="40" workbookViewId="0">
      <pane xSplit="2" ySplit="7" topLeftCell="E390" activePane="bottomRight" state="frozen"/>
      <selection pane="topRight" activeCell="C1" sqref="C1"/>
      <selection pane="bottomLeft" activeCell="A9" sqref="A9"/>
      <selection pane="bottomRight" activeCell="G401" sqref="G401"/>
    </sheetView>
  </sheetViews>
  <sheetFormatPr baseColWidth="10" defaultColWidth="11.42578125" defaultRowHeight="12.75" x14ac:dyDescent="0.2"/>
  <cols>
    <col min="1" max="1" width="6.85546875" style="4" customWidth="1"/>
    <col min="2" max="2" width="41.140625" style="23" customWidth="1"/>
    <col min="3" max="3" width="9.140625" style="4" customWidth="1"/>
    <col min="4" max="4" width="37.7109375" style="23" customWidth="1"/>
    <col min="5" max="5" width="29.28515625" style="23" customWidth="1"/>
    <col min="6" max="6" width="21" style="2" customWidth="1"/>
    <col min="7" max="7" width="20.28515625" style="1" customWidth="1"/>
    <col min="8" max="8" width="24" style="1" customWidth="1"/>
    <col min="9" max="9" width="13.42578125" style="1" customWidth="1"/>
    <col min="10" max="10" width="16" style="1" customWidth="1"/>
    <col min="11" max="11" width="24" style="1" customWidth="1"/>
    <col min="12" max="12" width="22.28515625" style="1" customWidth="1"/>
    <col min="13" max="13" width="22.28515625" style="1" hidden="1" customWidth="1"/>
    <col min="14" max="14" width="19" style="1" customWidth="1"/>
    <col min="15" max="16" width="22.85546875" style="1" customWidth="1"/>
    <col min="17" max="17" width="17" style="1" customWidth="1"/>
    <col min="18" max="16384" width="11.42578125" style="1"/>
  </cols>
  <sheetData>
    <row r="1" spans="1:17" ht="23.25" x14ac:dyDescent="0.35">
      <c r="A1" s="289" t="s">
        <v>410</v>
      </c>
      <c r="B1" s="289"/>
      <c r="C1" s="289"/>
      <c r="D1" s="289"/>
      <c r="E1" s="289"/>
      <c r="F1" s="289"/>
      <c r="G1" s="289"/>
      <c r="H1" s="289"/>
      <c r="I1" s="289"/>
      <c r="J1" s="289"/>
      <c r="K1" s="289"/>
      <c r="L1" s="289"/>
      <c r="M1" s="289"/>
      <c r="N1" s="289"/>
      <c r="O1" s="289"/>
      <c r="P1" s="289"/>
    </row>
    <row r="2" spans="1:17" ht="21" customHeight="1" x14ac:dyDescent="0.35">
      <c r="A2" s="290" t="s">
        <v>414</v>
      </c>
      <c r="B2" s="290"/>
      <c r="C2" s="290"/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  <c r="O2" s="290"/>
      <c r="P2" s="290"/>
    </row>
    <row r="3" spans="1:17" ht="18.75" customHeight="1" x14ac:dyDescent="0.3">
      <c r="A3" s="291" t="s">
        <v>686</v>
      </c>
      <c r="B3" s="291"/>
      <c r="C3" s="291"/>
      <c r="D3" s="291"/>
      <c r="E3" s="291"/>
      <c r="F3" s="291"/>
      <c r="G3" s="291"/>
      <c r="H3" s="291"/>
      <c r="I3" s="291"/>
      <c r="J3" s="291"/>
      <c r="K3" s="291"/>
      <c r="L3" s="291"/>
      <c r="M3" s="291"/>
      <c r="N3" s="291"/>
      <c r="O3" s="291"/>
      <c r="P3" s="291"/>
    </row>
    <row r="4" spans="1:17" ht="19.5" customHeight="1" thickBot="1" x14ac:dyDescent="0.35">
      <c r="A4" s="200"/>
      <c r="B4" s="200"/>
      <c r="C4" s="15"/>
      <c r="D4" s="22"/>
      <c r="E4" s="22"/>
      <c r="F4" s="15"/>
    </row>
    <row r="5" spans="1:17" ht="25.5" customHeight="1" thickBot="1" x14ac:dyDescent="0.3">
      <c r="A5" s="29" t="s">
        <v>577</v>
      </c>
      <c r="B5" s="30"/>
      <c r="C5" s="29"/>
      <c r="D5" s="30"/>
      <c r="E5" s="30"/>
      <c r="F5" s="31"/>
      <c r="G5" s="292" t="s">
        <v>120</v>
      </c>
      <c r="H5" s="293"/>
      <c r="I5" s="293"/>
      <c r="J5" s="294"/>
      <c r="K5" s="286"/>
      <c r="L5" s="32"/>
      <c r="M5" s="32"/>
      <c r="N5" s="32"/>
      <c r="O5" s="32"/>
      <c r="P5" s="32"/>
    </row>
    <row r="6" spans="1:17" s="16" customFormat="1" ht="30" customHeight="1" thickBot="1" x14ac:dyDescent="0.3">
      <c r="A6" s="33" t="s">
        <v>0</v>
      </c>
      <c r="B6" s="33" t="s">
        <v>362</v>
      </c>
      <c r="C6" s="33" t="s">
        <v>423</v>
      </c>
      <c r="D6" s="33" t="s">
        <v>443</v>
      </c>
      <c r="E6" s="33" t="s">
        <v>114</v>
      </c>
      <c r="F6" s="205" t="s">
        <v>124</v>
      </c>
      <c r="G6" s="206" t="s">
        <v>1</v>
      </c>
      <c r="H6" s="207" t="s">
        <v>2</v>
      </c>
      <c r="I6" s="238" t="s">
        <v>589</v>
      </c>
      <c r="J6" s="239" t="s">
        <v>590</v>
      </c>
      <c r="K6" s="236" t="s">
        <v>591</v>
      </c>
      <c r="L6" s="35" t="s">
        <v>115</v>
      </c>
      <c r="M6" s="35" t="s">
        <v>594</v>
      </c>
      <c r="N6" s="35" t="s">
        <v>117</v>
      </c>
      <c r="O6" s="35" t="s">
        <v>3</v>
      </c>
      <c r="P6" s="35" t="s">
        <v>116</v>
      </c>
    </row>
    <row r="7" spans="1:17" s="30" customFormat="1" ht="30" customHeight="1" thickBot="1" x14ac:dyDescent="0.3">
      <c r="A7" s="216" t="s">
        <v>238</v>
      </c>
      <c r="B7" s="217"/>
      <c r="C7" s="217"/>
      <c r="D7" s="217"/>
      <c r="E7" s="217"/>
      <c r="F7" s="217"/>
      <c r="G7" s="219"/>
      <c r="H7" s="219"/>
      <c r="I7" s="219"/>
      <c r="J7" s="219"/>
      <c r="K7" s="217"/>
      <c r="L7" s="217"/>
      <c r="M7" s="217"/>
      <c r="N7" s="217"/>
      <c r="O7" s="217"/>
      <c r="P7" s="218"/>
      <c r="Q7" s="70"/>
    </row>
    <row r="8" spans="1:17" s="32" customFormat="1" ht="30" customHeight="1" x14ac:dyDescent="0.25">
      <c r="A8" s="122">
        <v>1</v>
      </c>
      <c r="B8" s="112" t="s">
        <v>237</v>
      </c>
      <c r="C8" s="122" t="s">
        <v>421</v>
      </c>
      <c r="D8" s="112" t="s">
        <v>233</v>
      </c>
      <c r="E8" s="126" t="s">
        <v>444</v>
      </c>
      <c r="F8" s="107">
        <v>245000</v>
      </c>
      <c r="G8" s="107">
        <f t="shared" ref="G8:G14" si="0">F8*2.87%</f>
        <v>7031.5</v>
      </c>
      <c r="H8" s="110">
        <f>187020*3.04%</f>
        <v>5685.4080000000004</v>
      </c>
      <c r="I8" s="107"/>
      <c r="J8" s="77">
        <f t="shared" ref="J8:J75" si="1">+G8+H8+I8</f>
        <v>12716.907999999999</v>
      </c>
      <c r="K8" s="77">
        <f t="shared" ref="K8:K9" si="2">+F8-J8</f>
        <v>232283.092</v>
      </c>
      <c r="L8" s="77">
        <f>+IF(K8*12&lt;=416220.01,0,IF(K8*12&lt;=624329.01,(((K8*12-416220.01)*0.15)/12),IF((K8*12&lt;=867123.01),(31216+0.2*(K8*12-624329.01))/12,((79776+0.25*(K8*12-867123.01))/12))))</f>
        <v>46653.710291666677</v>
      </c>
      <c r="M8" s="77"/>
      <c r="N8" s="111">
        <v>25</v>
      </c>
      <c r="O8" s="107">
        <f>+N8+I8+H8+G8+L8</f>
        <v>59395.618291666673</v>
      </c>
      <c r="P8" s="111">
        <f>+F8-O8</f>
        <v>185604.38170833333</v>
      </c>
    </row>
    <row r="9" spans="1:17" s="39" customFormat="1" ht="30" customHeight="1" x14ac:dyDescent="0.25">
      <c r="A9" s="36">
        <v>2</v>
      </c>
      <c r="B9" s="81" t="s">
        <v>234</v>
      </c>
      <c r="C9" s="80" t="s">
        <v>422</v>
      </c>
      <c r="D9" s="81" t="s">
        <v>104</v>
      </c>
      <c r="E9" s="184" t="s">
        <v>122</v>
      </c>
      <c r="F9" s="82">
        <v>140000</v>
      </c>
      <c r="G9" s="110">
        <f t="shared" si="0"/>
        <v>4018</v>
      </c>
      <c r="H9" s="110">
        <f t="shared" ref="H9:H14" si="3">+F9*3.04%</f>
        <v>4256</v>
      </c>
      <c r="I9" s="110"/>
      <c r="J9" s="77">
        <f t="shared" si="1"/>
        <v>8274</v>
      </c>
      <c r="K9" s="77">
        <f t="shared" si="2"/>
        <v>131726</v>
      </c>
      <c r="L9" s="77">
        <f t="shared" ref="L9:L19" si="4">+IF(K9*12&lt;=416220.01,0,IF(K9*12&lt;=624329.01,(((K9*12-416220.01)*0.15)/12),IF((K9*12&lt;=867123.01),(31216+0.2*(K9*12-624329.01))/12,((79776+0.25*(K9*12-867123.01))/12))))</f>
        <v>21514.437291666665</v>
      </c>
      <c r="M9" s="77"/>
      <c r="N9" s="111">
        <v>25</v>
      </c>
      <c r="O9" s="107">
        <f t="shared" ref="O9:O75" si="5">+N9+I9+H9+G9+L9</f>
        <v>29813.437291666665</v>
      </c>
      <c r="P9" s="111">
        <f t="shared" ref="P9:P14" si="6">+F9-O9</f>
        <v>110186.56270833334</v>
      </c>
    </row>
    <row r="10" spans="1:17" s="39" customFormat="1" ht="33" customHeight="1" x14ac:dyDescent="0.25">
      <c r="A10" s="36">
        <v>3</v>
      </c>
      <c r="B10" s="165" t="s">
        <v>203</v>
      </c>
      <c r="C10" s="122" t="s">
        <v>422</v>
      </c>
      <c r="D10" s="165" t="s">
        <v>204</v>
      </c>
      <c r="E10" s="108" t="s">
        <v>229</v>
      </c>
      <c r="F10" s="107">
        <v>55000</v>
      </c>
      <c r="G10" s="77">
        <f t="shared" si="0"/>
        <v>1578.5</v>
      </c>
      <c r="H10" s="77">
        <f t="shared" si="3"/>
        <v>1672</v>
      </c>
      <c r="I10" s="77">
        <v>1577.45</v>
      </c>
      <c r="J10" s="77">
        <f>+G10+H10+I10</f>
        <v>4827.95</v>
      </c>
      <c r="K10" s="77">
        <f>+F10-J10</f>
        <v>50172.05</v>
      </c>
      <c r="L10" s="77">
        <f t="shared" si="4"/>
        <v>2323.0573750000008</v>
      </c>
      <c r="M10" s="77"/>
      <c r="N10" s="111">
        <v>1125</v>
      </c>
      <c r="O10" s="107">
        <f t="shared" si="5"/>
        <v>8276.007375000001</v>
      </c>
      <c r="P10" s="78">
        <f t="shared" si="6"/>
        <v>46723.992624999999</v>
      </c>
    </row>
    <row r="11" spans="1:17" s="39" customFormat="1" ht="30" customHeight="1" x14ac:dyDescent="0.25">
      <c r="A11" s="36">
        <v>4</v>
      </c>
      <c r="B11" s="108" t="s">
        <v>24</v>
      </c>
      <c r="C11" s="36" t="s">
        <v>422</v>
      </c>
      <c r="D11" s="108" t="s">
        <v>88</v>
      </c>
      <c r="E11" s="126" t="s">
        <v>122</v>
      </c>
      <c r="F11" s="110">
        <v>35000</v>
      </c>
      <c r="G11" s="110">
        <f t="shared" si="0"/>
        <v>1004.5</v>
      </c>
      <c r="H11" s="110">
        <f t="shared" si="3"/>
        <v>1064</v>
      </c>
      <c r="I11" s="110"/>
      <c r="J11" s="77">
        <f t="shared" si="1"/>
        <v>2068.5</v>
      </c>
      <c r="K11" s="77">
        <f t="shared" ref="K11:K79" si="7">+F11-J11</f>
        <v>32931.5</v>
      </c>
      <c r="L11" s="77">
        <f t="shared" si="4"/>
        <v>0</v>
      </c>
      <c r="M11" s="77"/>
      <c r="N11" s="111">
        <v>1125</v>
      </c>
      <c r="O11" s="107">
        <f t="shared" si="5"/>
        <v>3193.5</v>
      </c>
      <c r="P11" s="111">
        <f t="shared" si="6"/>
        <v>31806.5</v>
      </c>
    </row>
    <row r="12" spans="1:17" s="39" customFormat="1" ht="30" customHeight="1" x14ac:dyDescent="0.25">
      <c r="A12" s="36">
        <v>5</v>
      </c>
      <c r="B12" s="108" t="s">
        <v>235</v>
      </c>
      <c r="C12" s="36" t="s">
        <v>422</v>
      </c>
      <c r="D12" s="108" t="s">
        <v>88</v>
      </c>
      <c r="E12" s="126" t="s">
        <v>122</v>
      </c>
      <c r="F12" s="110">
        <v>35000</v>
      </c>
      <c r="G12" s="110">
        <f t="shared" si="0"/>
        <v>1004.5</v>
      </c>
      <c r="H12" s="110">
        <f t="shared" si="3"/>
        <v>1064</v>
      </c>
      <c r="I12" s="110"/>
      <c r="J12" s="77">
        <f t="shared" si="1"/>
        <v>2068.5</v>
      </c>
      <c r="K12" s="77">
        <f t="shared" si="7"/>
        <v>32931.5</v>
      </c>
      <c r="L12" s="77">
        <f t="shared" si="4"/>
        <v>0</v>
      </c>
      <c r="M12" s="77"/>
      <c r="N12" s="111">
        <v>2125</v>
      </c>
      <c r="O12" s="107">
        <f t="shared" si="5"/>
        <v>4193.5</v>
      </c>
      <c r="P12" s="111">
        <f t="shared" si="6"/>
        <v>30806.5</v>
      </c>
    </row>
    <row r="13" spans="1:17" s="39" customFormat="1" ht="30" customHeight="1" x14ac:dyDescent="0.25">
      <c r="A13" s="36">
        <v>6</v>
      </c>
      <c r="B13" s="108" t="s">
        <v>236</v>
      </c>
      <c r="C13" s="36" t="s">
        <v>422</v>
      </c>
      <c r="D13" s="108" t="s">
        <v>88</v>
      </c>
      <c r="E13" s="126" t="s">
        <v>122</v>
      </c>
      <c r="F13" s="110">
        <v>35000</v>
      </c>
      <c r="G13" s="110">
        <f t="shared" si="0"/>
        <v>1004.5</v>
      </c>
      <c r="H13" s="110">
        <f t="shared" si="3"/>
        <v>1064</v>
      </c>
      <c r="I13" s="110"/>
      <c r="J13" s="77">
        <f t="shared" si="1"/>
        <v>2068.5</v>
      </c>
      <c r="K13" s="77">
        <f t="shared" si="7"/>
        <v>32931.5</v>
      </c>
      <c r="L13" s="77">
        <f t="shared" si="4"/>
        <v>0</v>
      </c>
      <c r="M13" s="77"/>
      <c r="N13" s="111">
        <v>10548.88</v>
      </c>
      <c r="O13" s="107">
        <f>+N13+I13+H13+G13+L13</f>
        <v>12617.38</v>
      </c>
      <c r="P13" s="111">
        <f t="shared" si="6"/>
        <v>22382.620000000003</v>
      </c>
    </row>
    <row r="14" spans="1:17" s="39" customFormat="1" ht="30" customHeight="1" x14ac:dyDescent="0.25">
      <c r="A14" s="36">
        <v>7</v>
      </c>
      <c r="B14" s="112" t="s">
        <v>570</v>
      </c>
      <c r="C14" s="122" t="s">
        <v>422</v>
      </c>
      <c r="D14" s="123" t="s">
        <v>104</v>
      </c>
      <c r="E14" s="108" t="s">
        <v>121</v>
      </c>
      <c r="F14" s="107">
        <v>80000</v>
      </c>
      <c r="G14" s="107">
        <f t="shared" si="0"/>
        <v>2296</v>
      </c>
      <c r="H14" s="107">
        <f t="shared" si="3"/>
        <v>2432</v>
      </c>
      <c r="I14" s="107"/>
      <c r="J14" s="77">
        <f t="shared" si="1"/>
        <v>4728</v>
      </c>
      <c r="K14" s="77">
        <f t="shared" si="7"/>
        <v>75272</v>
      </c>
      <c r="L14" s="77">
        <f t="shared" si="4"/>
        <v>7400.9372916666662</v>
      </c>
      <c r="M14" s="77"/>
      <c r="N14" s="245">
        <v>25</v>
      </c>
      <c r="O14" s="107">
        <f t="shared" si="5"/>
        <v>12153.937291666665</v>
      </c>
      <c r="P14" s="111">
        <f t="shared" si="6"/>
        <v>67846.062708333338</v>
      </c>
    </row>
    <row r="15" spans="1:17" s="53" customFormat="1" ht="30" customHeight="1" x14ac:dyDescent="0.25">
      <c r="A15" s="36">
        <v>8</v>
      </c>
      <c r="B15" s="112" t="s">
        <v>41</v>
      </c>
      <c r="C15" s="122" t="s">
        <v>422</v>
      </c>
      <c r="D15" s="147" t="s">
        <v>511</v>
      </c>
      <c r="E15" s="112" t="s">
        <v>121</v>
      </c>
      <c r="F15" s="107">
        <v>135000</v>
      </c>
      <c r="G15" s="77">
        <f>F15*2.87%</f>
        <v>3874.5</v>
      </c>
      <c r="H15" s="77">
        <f>+F15*3.04%</f>
        <v>4104</v>
      </c>
      <c r="I15" s="77"/>
      <c r="J15" s="77">
        <f>+G15+H15+I15</f>
        <v>7978.5</v>
      </c>
      <c r="K15" s="77">
        <f t="shared" ref="K15:K19" si="8">+F15-J15</f>
        <v>127021.5</v>
      </c>
      <c r="L15" s="77">
        <f t="shared" si="4"/>
        <v>20338.312291666665</v>
      </c>
      <c r="M15" s="77"/>
      <c r="N15" s="245">
        <v>125</v>
      </c>
      <c r="O15" s="107">
        <f>+N15+I15+H15+G15+L15</f>
        <v>28441.812291666665</v>
      </c>
      <c r="P15" s="84">
        <f>+F15-O15</f>
        <v>106558.18770833334</v>
      </c>
      <c r="Q15" s="39"/>
    </row>
    <row r="16" spans="1:17" s="53" customFormat="1" ht="30" customHeight="1" x14ac:dyDescent="0.25">
      <c r="A16" s="36">
        <v>9</v>
      </c>
      <c r="B16" s="112" t="s">
        <v>595</v>
      </c>
      <c r="C16" s="122" t="s">
        <v>422</v>
      </c>
      <c r="D16" s="147" t="s">
        <v>88</v>
      </c>
      <c r="E16" s="112" t="s">
        <v>121</v>
      </c>
      <c r="F16" s="107">
        <v>35000</v>
      </c>
      <c r="G16" s="77">
        <f>F16*2.87%</f>
        <v>1004.5</v>
      </c>
      <c r="H16" s="77">
        <f>+F16*3.04%</f>
        <v>1064</v>
      </c>
      <c r="I16" s="77"/>
      <c r="J16" s="77">
        <f>+G16+H16+I16</f>
        <v>2068.5</v>
      </c>
      <c r="K16" s="77">
        <f t="shared" si="8"/>
        <v>32931.5</v>
      </c>
      <c r="L16" s="77">
        <f t="shared" si="4"/>
        <v>0</v>
      </c>
      <c r="M16" s="77"/>
      <c r="N16" s="245">
        <v>2025</v>
      </c>
      <c r="O16" s="107">
        <f>+N16+I16+H16+G16+L16</f>
        <v>4093.5</v>
      </c>
      <c r="P16" s="84">
        <f>+F16-O16</f>
        <v>30906.5</v>
      </c>
      <c r="Q16" s="39"/>
    </row>
    <row r="17" spans="1:17" s="53" customFormat="1" ht="30" customHeight="1" x14ac:dyDescent="0.25">
      <c r="A17" s="36">
        <f>+A16+1</f>
        <v>10</v>
      </c>
      <c r="B17" s="112" t="s">
        <v>687</v>
      </c>
      <c r="C17" s="122" t="s">
        <v>422</v>
      </c>
      <c r="D17" s="147" t="s">
        <v>88</v>
      </c>
      <c r="E17" s="112" t="s">
        <v>121</v>
      </c>
      <c r="F17" s="107">
        <v>35000</v>
      </c>
      <c r="G17" s="77">
        <f t="shared" ref="G17:G19" si="9">F17*2.87%</f>
        <v>1004.5</v>
      </c>
      <c r="H17" s="77">
        <f t="shared" ref="H17:H19" si="10">+F17*3.04%</f>
        <v>1064</v>
      </c>
      <c r="I17" s="77"/>
      <c r="J17" s="77">
        <f t="shared" ref="J17:J19" si="11">+G17+H17+I17</f>
        <v>2068.5</v>
      </c>
      <c r="K17" s="77">
        <f t="shared" si="8"/>
        <v>32931.5</v>
      </c>
      <c r="L17" s="77">
        <f t="shared" si="4"/>
        <v>0</v>
      </c>
      <c r="M17" s="77"/>
      <c r="N17" s="245">
        <v>25</v>
      </c>
      <c r="O17" s="107">
        <f t="shared" ref="O17:O19" si="12">+N17+I17+H17+G17+L17</f>
        <v>2093.5</v>
      </c>
      <c r="P17" s="84">
        <f t="shared" ref="P17:P19" si="13">+F17-O17</f>
        <v>32906.5</v>
      </c>
      <c r="Q17" s="39"/>
    </row>
    <row r="18" spans="1:17" s="53" customFormat="1" ht="30" customHeight="1" x14ac:dyDescent="0.25">
      <c r="A18" s="36">
        <v>11</v>
      </c>
      <c r="B18" s="112" t="s">
        <v>642</v>
      </c>
      <c r="C18" s="122" t="s">
        <v>422</v>
      </c>
      <c r="D18" s="147" t="s">
        <v>88</v>
      </c>
      <c r="E18" s="112" t="s">
        <v>121</v>
      </c>
      <c r="F18" s="107">
        <v>40000</v>
      </c>
      <c r="G18" s="77">
        <f t="shared" si="9"/>
        <v>1148</v>
      </c>
      <c r="H18" s="77">
        <f t="shared" si="10"/>
        <v>1216</v>
      </c>
      <c r="I18" s="77"/>
      <c r="J18" s="77">
        <f t="shared" si="11"/>
        <v>2364</v>
      </c>
      <c r="K18" s="77">
        <f t="shared" si="8"/>
        <v>37636</v>
      </c>
      <c r="L18" s="77">
        <f t="shared" si="4"/>
        <v>442.64987499999984</v>
      </c>
      <c r="M18" s="77"/>
      <c r="N18" s="245">
        <v>25</v>
      </c>
      <c r="O18" s="107">
        <f t="shared" si="12"/>
        <v>2831.6498750000001</v>
      </c>
      <c r="P18" s="84">
        <f t="shared" si="13"/>
        <v>37168.350124999997</v>
      </c>
      <c r="Q18" s="39"/>
    </row>
    <row r="19" spans="1:17" s="53" customFormat="1" ht="30" customHeight="1" x14ac:dyDescent="0.25">
      <c r="A19" s="36">
        <v>12</v>
      </c>
      <c r="B19" s="112" t="s">
        <v>76</v>
      </c>
      <c r="C19" s="122" t="s">
        <v>422</v>
      </c>
      <c r="D19" s="147" t="s">
        <v>366</v>
      </c>
      <c r="E19" s="112" t="s">
        <v>121</v>
      </c>
      <c r="F19" s="107">
        <v>90000</v>
      </c>
      <c r="G19" s="77">
        <f t="shared" si="9"/>
        <v>2583</v>
      </c>
      <c r="H19" s="77">
        <f t="shared" si="10"/>
        <v>2736</v>
      </c>
      <c r="I19" s="77"/>
      <c r="J19" s="77">
        <f t="shared" si="11"/>
        <v>5319</v>
      </c>
      <c r="K19" s="77">
        <f t="shared" si="8"/>
        <v>84681</v>
      </c>
      <c r="L19" s="77">
        <f t="shared" si="4"/>
        <v>9753.1872916666671</v>
      </c>
      <c r="M19" s="77"/>
      <c r="N19" s="245">
        <v>25</v>
      </c>
      <c r="O19" s="107">
        <f t="shared" si="12"/>
        <v>15097.187291666667</v>
      </c>
      <c r="P19" s="84">
        <f t="shared" si="13"/>
        <v>74902.812708333338</v>
      </c>
      <c r="Q19" s="39"/>
    </row>
    <row r="20" spans="1:17" s="40" customFormat="1" ht="30" customHeight="1" x14ac:dyDescent="0.25">
      <c r="A20" s="208" t="s">
        <v>125</v>
      </c>
      <c r="B20" s="209"/>
      <c r="C20" s="209"/>
      <c r="D20" s="209"/>
      <c r="E20" s="209"/>
      <c r="F20" s="37">
        <f>SUM(F8:F19)</f>
        <v>960000</v>
      </c>
      <c r="G20" s="37">
        <f t="shared" ref="F20:P20" si="14">SUM(G8:G19)</f>
        <v>27552</v>
      </c>
      <c r="H20" s="37">
        <f t="shared" si="14"/>
        <v>27421.407999999999</v>
      </c>
      <c r="I20" s="37">
        <f t="shared" si="14"/>
        <v>1577.45</v>
      </c>
      <c r="J20" s="37">
        <f t="shared" si="14"/>
        <v>56550.858</v>
      </c>
      <c r="K20" s="37">
        <f t="shared" si="14"/>
        <v>903449.14199999999</v>
      </c>
      <c r="L20" s="37">
        <f t="shared" si="14"/>
        <v>108426.29170833333</v>
      </c>
      <c r="M20" s="37">
        <f t="shared" si="14"/>
        <v>0</v>
      </c>
      <c r="N20" s="37">
        <f t="shared" si="14"/>
        <v>17223.879999999997</v>
      </c>
      <c r="O20" s="37">
        <f>SUM(O8:O19)</f>
        <v>182201.02970833334</v>
      </c>
      <c r="P20" s="37">
        <f t="shared" si="14"/>
        <v>777798.97029166669</v>
      </c>
    </row>
    <row r="21" spans="1:17" s="31" customFormat="1" ht="22.5" customHeight="1" thickBot="1" x14ac:dyDescent="0.3">
      <c r="A21" s="41"/>
      <c r="B21" s="42"/>
      <c r="C21" s="44"/>
      <c r="D21" s="43"/>
      <c r="E21" s="43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124"/>
    </row>
    <row r="22" spans="1:17" s="70" customFormat="1" ht="28.5" customHeight="1" thickBot="1" x14ac:dyDescent="0.3">
      <c r="A22" s="211" t="s">
        <v>153</v>
      </c>
      <c r="B22" s="212"/>
      <c r="C22" s="212"/>
      <c r="D22" s="212"/>
      <c r="E22" s="212"/>
      <c r="F22" s="212"/>
      <c r="G22" s="212"/>
      <c r="H22" s="212"/>
      <c r="I22" s="212"/>
      <c r="J22" s="212"/>
      <c r="K22" s="212"/>
      <c r="L22" s="212"/>
      <c r="M22" s="212"/>
      <c r="N22" s="212"/>
      <c r="O22" s="212"/>
      <c r="P22" s="213"/>
    </row>
    <row r="23" spans="1:17" s="39" customFormat="1" ht="30" customHeight="1" x14ac:dyDescent="0.25">
      <c r="A23" s="122">
        <f>+A19+1</f>
        <v>13</v>
      </c>
      <c r="B23" s="112" t="s">
        <v>183</v>
      </c>
      <c r="C23" s="122" t="s">
        <v>422</v>
      </c>
      <c r="D23" s="123" t="s">
        <v>106</v>
      </c>
      <c r="E23" s="108" t="s">
        <v>122</v>
      </c>
      <c r="F23" s="107">
        <v>200000</v>
      </c>
      <c r="G23" s="107">
        <f>F23*2.87%</f>
        <v>5740</v>
      </c>
      <c r="H23" s="107">
        <f>187020*3.04%</f>
        <v>5685.4080000000004</v>
      </c>
      <c r="I23" s="107">
        <v>1577.45</v>
      </c>
      <c r="J23" s="77">
        <f>+G23+H23+I23</f>
        <v>13002.858</v>
      </c>
      <c r="K23" s="77">
        <f>+F23-J23</f>
        <v>186997.14199999999</v>
      </c>
      <c r="L23" s="77">
        <f t="shared" ref="L23:L78" si="15">+IF(K23*12&lt;=416220.01,0,IF(K23*12&lt;=624329.01,(((K23*12-416220.01)*0.15)/12),IF((K23*12&lt;=867123.01),(31216+0.2*(K23*12-624329.01))/12,((79776+0.25*(K23*12-867123.01))/12))))</f>
        <v>35332.222791666667</v>
      </c>
      <c r="M23" s="77"/>
      <c r="N23" s="245">
        <v>25</v>
      </c>
      <c r="O23" s="107">
        <f>+N23+I23+H23+G23+L23</f>
        <v>48360.080791666667</v>
      </c>
      <c r="P23" s="111">
        <f>+F23-O23</f>
        <v>151639.91920833333</v>
      </c>
    </row>
    <row r="24" spans="1:17" s="39" customFormat="1" ht="30" customHeight="1" x14ac:dyDescent="0.25">
      <c r="A24" s="122">
        <f>+A23+1</f>
        <v>14</v>
      </c>
      <c r="B24" s="112" t="s">
        <v>529</v>
      </c>
      <c r="C24" s="122" t="s">
        <v>422</v>
      </c>
      <c r="D24" s="123" t="s">
        <v>123</v>
      </c>
      <c r="E24" s="108" t="s">
        <v>122</v>
      </c>
      <c r="F24" s="107">
        <v>90000</v>
      </c>
      <c r="G24" s="107">
        <f>F24*2.87%</f>
        <v>2583</v>
      </c>
      <c r="H24" s="107">
        <f>F24*3.04%</f>
        <v>2736</v>
      </c>
      <c r="I24" s="107"/>
      <c r="J24" s="77">
        <f>+G24+H24+I24</f>
        <v>5319</v>
      </c>
      <c r="K24" s="77">
        <f>+F24-J24</f>
        <v>84681</v>
      </c>
      <c r="L24" s="77">
        <f>+IF(K24*12&lt;=416220.01,0,IF(K24*12&lt;=624329.01,(((K24*12-416220.01)*0.15)/12),IF((K24*12&lt;=867123.01),(31216+0.2*(K24*12-624329.01))/12,((79776+0.25*(K24*12-867123.01))/12))))</f>
        <v>9753.1872916666671</v>
      </c>
      <c r="M24" s="77"/>
      <c r="N24" s="245">
        <v>25</v>
      </c>
      <c r="O24" s="107">
        <f>+N24+I24+H24+G24+L24</f>
        <v>15097.187291666667</v>
      </c>
      <c r="P24" s="111">
        <f>+F24-O24</f>
        <v>74902.812708333338</v>
      </c>
    </row>
    <row r="25" spans="1:17" s="40" customFormat="1" ht="30" customHeight="1" x14ac:dyDescent="0.25">
      <c r="A25" s="208" t="s">
        <v>125</v>
      </c>
      <c r="B25" s="209"/>
      <c r="C25" s="209"/>
      <c r="D25" s="209"/>
      <c r="E25" s="209"/>
      <c r="F25" s="37">
        <f>SUM(F23:F24)</f>
        <v>290000</v>
      </c>
      <c r="G25" s="37">
        <f t="shared" ref="G25:P25" si="16">SUM(G23:G24)</f>
        <v>8323</v>
      </c>
      <c r="H25" s="37">
        <f t="shared" si="16"/>
        <v>8421.4079999999994</v>
      </c>
      <c r="I25" s="37">
        <f t="shared" si="16"/>
        <v>1577.45</v>
      </c>
      <c r="J25" s="37">
        <f t="shared" si="16"/>
        <v>18321.858</v>
      </c>
      <c r="K25" s="37">
        <f>SUM(K23:K24)</f>
        <v>271678.14199999999</v>
      </c>
      <c r="L25" s="37">
        <f t="shared" si="16"/>
        <v>45085.410083333336</v>
      </c>
      <c r="M25" s="37">
        <f t="shared" si="16"/>
        <v>0</v>
      </c>
      <c r="N25" s="37">
        <f t="shared" si="16"/>
        <v>50</v>
      </c>
      <c r="O25" s="37">
        <f t="shared" si="16"/>
        <v>63457.268083333336</v>
      </c>
      <c r="P25" s="37">
        <f t="shared" si="16"/>
        <v>226542.73191666667</v>
      </c>
    </row>
    <row r="26" spans="1:17" s="31" customFormat="1" ht="15" customHeight="1" thickBot="1" x14ac:dyDescent="0.3">
      <c r="A26" s="41"/>
      <c r="B26" s="42"/>
      <c r="C26" s="44"/>
      <c r="D26" s="43"/>
      <c r="E26" s="43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124"/>
    </row>
    <row r="27" spans="1:17" s="30" customFormat="1" ht="30" customHeight="1" thickBot="1" x14ac:dyDescent="0.3">
      <c r="A27" s="211" t="s">
        <v>179</v>
      </c>
      <c r="B27" s="212"/>
      <c r="C27" s="212"/>
      <c r="D27" s="212"/>
      <c r="E27" s="212"/>
      <c r="F27" s="212"/>
      <c r="G27" s="212"/>
      <c r="H27" s="212"/>
      <c r="I27" s="212"/>
      <c r="J27" s="212"/>
      <c r="K27" s="212"/>
      <c r="L27" s="212"/>
      <c r="M27" s="212"/>
      <c r="N27" s="212"/>
      <c r="O27" s="212"/>
      <c r="P27" s="212"/>
      <c r="Q27" s="70"/>
    </row>
    <row r="28" spans="1:17" s="40" customFormat="1" ht="30" customHeight="1" x14ac:dyDescent="0.25">
      <c r="A28" s="36">
        <f>+A24+1</f>
        <v>15</v>
      </c>
      <c r="B28" s="108" t="s">
        <v>139</v>
      </c>
      <c r="C28" s="36" t="s">
        <v>422</v>
      </c>
      <c r="D28" s="109" t="s">
        <v>463</v>
      </c>
      <c r="E28" s="108" t="s">
        <v>121</v>
      </c>
      <c r="F28" s="110">
        <v>170500</v>
      </c>
      <c r="G28" s="110">
        <f>F28*2.87%</f>
        <v>4893.3500000000004</v>
      </c>
      <c r="H28" s="107">
        <f>+F28*3.04%</f>
        <v>5183.2</v>
      </c>
      <c r="I28" s="107"/>
      <c r="J28" s="77">
        <f t="shared" si="1"/>
        <v>10076.549999999999</v>
      </c>
      <c r="K28" s="77">
        <f>+F28-J28</f>
        <v>160423.45000000001</v>
      </c>
      <c r="L28" s="77">
        <f t="shared" si="15"/>
        <v>28688.799791666668</v>
      </c>
      <c r="M28" s="77"/>
      <c r="N28" s="84">
        <v>9778.73</v>
      </c>
      <c r="O28" s="107">
        <f>+N28+I28+H28+G28+L28</f>
        <v>48544.079791666663</v>
      </c>
      <c r="P28" s="111">
        <f>+F28-O28</f>
        <v>121955.92020833334</v>
      </c>
    </row>
    <row r="29" spans="1:17" s="40" customFormat="1" ht="22.5" customHeight="1" x14ac:dyDescent="0.25">
      <c r="A29" s="208" t="s">
        <v>125</v>
      </c>
      <c r="B29" s="209"/>
      <c r="C29" s="209"/>
      <c r="D29" s="209"/>
      <c r="E29" s="209"/>
      <c r="F29" s="37">
        <f>SUM(F28)</f>
        <v>170500</v>
      </c>
      <c r="G29" s="37">
        <f t="shared" ref="G29:P29" si="17">SUM(G28)</f>
        <v>4893.3500000000004</v>
      </c>
      <c r="H29" s="37">
        <f t="shared" si="17"/>
        <v>5183.2</v>
      </c>
      <c r="I29" s="37"/>
      <c r="J29" s="37">
        <f>+G29+H29+I29</f>
        <v>10076.549999999999</v>
      </c>
      <c r="K29" s="37">
        <f>+F29-J29</f>
        <v>160423.45000000001</v>
      </c>
      <c r="L29" s="37">
        <f t="shared" si="15"/>
        <v>28688.799791666668</v>
      </c>
      <c r="M29" s="37"/>
      <c r="N29" s="37">
        <f t="shared" si="17"/>
        <v>9778.73</v>
      </c>
      <c r="O29" s="37">
        <f>+N29+I29+H29+G29+L29</f>
        <v>48544.079791666663</v>
      </c>
      <c r="P29" s="37">
        <f t="shared" si="17"/>
        <v>121955.92020833334</v>
      </c>
    </row>
    <row r="30" spans="1:17" s="31" customFormat="1" ht="18" customHeight="1" thickBot="1" x14ac:dyDescent="0.3">
      <c r="A30" s="41"/>
      <c r="B30" s="42"/>
      <c r="C30" s="44"/>
      <c r="D30" s="43"/>
      <c r="E30" s="43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124"/>
    </row>
    <row r="31" spans="1:17" s="70" customFormat="1" ht="30" customHeight="1" thickBot="1" x14ac:dyDescent="0.3">
      <c r="A31" s="211" t="s">
        <v>154</v>
      </c>
      <c r="B31" s="212"/>
      <c r="C31" s="212"/>
      <c r="D31" s="212"/>
      <c r="E31" s="212"/>
      <c r="F31" s="212"/>
      <c r="G31" s="212"/>
      <c r="H31" s="212"/>
      <c r="I31" s="212"/>
      <c r="J31" s="212"/>
      <c r="K31" s="212"/>
      <c r="L31" s="212"/>
      <c r="M31" s="212"/>
      <c r="N31" s="212"/>
      <c r="O31" s="212"/>
      <c r="P31" s="212"/>
    </row>
    <row r="32" spans="1:17" s="39" customFormat="1" ht="46.5" customHeight="1" x14ac:dyDescent="0.25">
      <c r="A32" s="80">
        <f>+A28+1</f>
        <v>16</v>
      </c>
      <c r="B32" s="108" t="s">
        <v>251</v>
      </c>
      <c r="C32" s="36" t="s">
        <v>422</v>
      </c>
      <c r="D32" s="109" t="s">
        <v>51</v>
      </c>
      <c r="E32" s="108" t="s">
        <v>122</v>
      </c>
      <c r="F32" s="110">
        <v>104000</v>
      </c>
      <c r="G32" s="82">
        <f>F32*2.87%</f>
        <v>2984.8</v>
      </c>
      <c r="H32" s="82">
        <f>+F32*3.04%</f>
        <v>3161.6</v>
      </c>
      <c r="I32" s="82">
        <v>3154.9</v>
      </c>
      <c r="J32" s="77">
        <f t="shared" si="1"/>
        <v>9301.2999999999993</v>
      </c>
      <c r="K32" s="77">
        <f t="shared" si="7"/>
        <v>94698.7</v>
      </c>
      <c r="L32" s="77">
        <f>+IF(K32*12&lt;=416220.01,0,IF(K32*12&lt;=624329.01,(((K32*12-416220.01)*0.15)/12),IF((K32*12&lt;=867123.01),(31216+0.2*(K32*12-624329.01))/12,((79776+0.25*(K32*12-867123.01))/12))))</f>
        <v>12257.612291666665</v>
      </c>
      <c r="M32" s="77"/>
      <c r="N32" s="84">
        <v>11520.17</v>
      </c>
      <c r="O32" s="107">
        <f t="shared" si="5"/>
        <v>33079.082291666666</v>
      </c>
      <c r="P32" s="78">
        <f>+F32-O32</f>
        <v>70920.917708333334</v>
      </c>
    </row>
    <row r="33" spans="1:17" s="124" customFormat="1" ht="30" customHeight="1" x14ac:dyDescent="0.25">
      <c r="A33" s="122">
        <f>+A32+1</f>
        <v>17</v>
      </c>
      <c r="B33" s="108" t="s">
        <v>67</v>
      </c>
      <c r="C33" s="122" t="s">
        <v>422</v>
      </c>
      <c r="D33" s="108" t="s">
        <v>51</v>
      </c>
      <c r="E33" s="108" t="s">
        <v>121</v>
      </c>
      <c r="F33" s="110">
        <v>90000</v>
      </c>
      <c r="G33" s="110">
        <f>F33*2.87%</f>
        <v>2583</v>
      </c>
      <c r="H33" s="110">
        <f>+F33*3.04%</f>
        <v>2736</v>
      </c>
      <c r="I33" s="110"/>
      <c r="J33" s="77">
        <f t="shared" si="1"/>
        <v>5319</v>
      </c>
      <c r="K33" s="77">
        <f t="shared" si="7"/>
        <v>84681</v>
      </c>
      <c r="L33" s="77">
        <f t="shared" ref="L33" si="18">+IF(K33*12&lt;=416220.01,0,IF(K33*12&lt;=624329.01,(((K33*12-416220.01)*0.15)/12),IF((K33*12&lt;=867123.01),(31216+0.2*(K33*12-624329.01))/12,((79776+0.25*(K33*12-867123.01))/12))))</f>
        <v>9753.1872916666671</v>
      </c>
      <c r="M33" s="77"/>
      <c r="N33" s="84">
        <v>165</v>
      </c>
      <c r="O33" s="107">
        <f t="shared" si="5"/>
        <v>15237.187291666667</v>
      </c>
      <c r="P33" s="111">
        <f>+F33-O33</f>
        <v>74762.812708333338</v>
      </c>
    </row>
    <row r="34" spans="1:17" s="39" customFormat="1" ht="27" customHeight="1" x14ac:dyDescent="0.25">
      <c r="A34" s="208" t="s">
        <v>125</v>
      </c>
      <c r="B34" s="209"/>
      <c r="C34" s="209"/>
      <c r="D34" s="209"/>
      <c r="E34" s="210"/>
      <c r="F34" s="37">
        <f>SUM(F32:F33)</f>
        <v>194000</v>
      </c>
      <c r="G34" s="37">
        <f t="shared" ref="G34:O34" si="19">SUM(G32:G33)</f>
        <v>5567.8</v>
      </c>
      <c r="H34" s="37">
        <f t="shared" si="19"/>
        <v>5897.6</v>
      </c>
      <c r="I34" s="37">
        <f t="shared" si="19"/>
        <v>3154.9</v>
      </c>
      <c r="J34" s="37">
        <f t="shared" si="19"/>
        <v>14620.3</v>
      </c>
      <c r="K34" s="37">
        <f t="shared" si="19"/>
        <v>179379.7</v>
      </c>
      <c r="L34" s="37">
        <f t="shared" si="19"/>
        <v>22010.799583333333</v>
      </c>
      <c r="M34" s="37">
        <f t="shared" si="19"/>
        <v>0</v>
      </c>
      <c r="N34" s="37">
        <f t="shared" si="19"/>
        <v>11685.17</v>
      </c>
      <c r="O34" s="37">
        <f t="shared" si="19"/>
        <v>48316.269583333335</v>
      </c>
      <c r="P34" s="37">
        <f>SUM(P32:P33)</f>
        <v>145683.73041666666</v>
      </c>
    </row>
    <row r="35" spans="1:17" s="39" customFormat="1" ht="13.5" customHeight="1" thickBot="1" x14ac:dyDescent="0.3">
      <c r="A35" s="50"/>
      <c r="B35" s="50"/>
      <c r="C35" s="50"/>
      <c r="D35" s="50"/>
      <c r="E35" s="50"/>
      <c r="F35" s="40"/>
      <c r="G35" s="40"/>
      <c r="H35" s="40"/>
      <c r="I35" s="40"/>
      <c r="J35" s="77">
        <f t="shared" si="1"/>
        <v>0</v>
      </c>
      <c r="K35" s="77">
        <f t="shared" si="7"/>
        <v>0</v>
      </c>
      <c r="L35" s="77">
        <f t="shared" si="15"/>
        <v>0</v>
      </c>
      <c r="M35" s="53"/>
      <c r="N35" s="40"/>
      <c r="O35" s="107">
        <f t="shared" si="5"/>
        <v>0</v>
      </c>
      <c r="P35" s="40"/>
    </row>
    <row r="36" spans="1:17" s="32" customFormat="1" ht="30" customHeight="1" thickBot="1" x14ac:dyDescent="0.3">
      <c r="A36" s="211" t="s">
        <v>155</v>
      </c>
      <c r="B36" s="212"/>
      <c r="C36" s="212"/>
      <c r="D36" s="212"/>
      <c r="E36" s="212"/>
      <c r="F36" s="212"/>
      <c r="G36" s="212"/>
      <c r="H36" s="212"/>
      <c r="I36" s="212"/>
      <c r="J36" s="212"/>
      <c r="K36" s="212"/>
      <c r="L36" s="212"/>
      <c r="M36" s="212"/>
      <c r="N36" s="212"/>
      <c r="O36" s="212"/>
      <c r="P36" s="212"/>
    </row>
    <row r="37" spans="1:17" s="39" customFormat="1" ht="32.25" customHeight="1" x14ac:dyDescent="0.25">
      <c r="A37" s="122">
        <f>+A33+1</f>
        <v>18</v>
      </c>
      <c r="B37" s="112" t="s">
        <v>239</v>
      </c>
      <c r="C37" s="122" t="s">
        <v>422</v>
      </c>
      <c r="D37" s="147" t="s">
        <v>180</v>
      </c>
      <c r="E37" s="108" t="s">
        <v>122</v>
      </c>
      <c r="F37" s="107">
        <v>155000</v>
      </c>
      <c r="G37" s="110">
        <f>F37*2.87%</f>
        <v>4448.5</v>
      </c>
      <c r="H37" s="110">
        <f>F37*3.04%</f>
        <v>4712</v>
      </c>
      <c r="I37" s="107"/>
      <c r="J37" s="77">
        <f t="shared" si="1"/>
        <v>9160.5</v>
      </c>
      <c r="K37" s="77">
        <f t="shared" si="7"/>
        <v>145839.5</v>
      </c>
      <c r="L37" s="77">
        <f>+IF(K37*12&lt;=416220.01,0,IF(K37*12&lt;=624329.01,(((K37*12-416220.01)*0.15)/12),IF((K37*12&lt;=867123.01),(31216+0.2*(K37*12-624329.01))/12,((79776+0.25*(K37*12-867123.01))/12))))</f>
        <v>25042.812291666665</v>
      </c>
      <c r="M37" s="77"/>
      <c r="N37" s="84">
        <v>6767.59</v>
      </c>
      <c r="O37" s="107">
        <f t="shared" si="5"/>
        <v>40970.902291666665</v>
      </c>
      <c r="P37" s="111">
        <f>+F37-O37</f>
        <v>114029.09770833334</v>
      </c>
    </row>
    <row r="38" spans="1:17" s="124" customFormat="1" ht="30" customHeight="1" x14ac:dyDescent="0.25">
      <c r="A38" s="122">
        <f>+A37+1</f>
        <v>19</v>
      </c>
      <c r="B38" s="108" t="s">
        <v>53</v>
      </c>
      <c r="C38" s="122" t="s">
        <v>422</v>
      </c>
      <c r="D38" s="108" t="s">
        <v>51</v>
      </c>
      <c r="E38" s="108" t="s">
        <v>122</v>
      </c>
      <c r="F38" s="110">
        <v>100000</v>
      </c>
      <c r="G38" s="110">
        <f>F38*2.87%</f>
        <v>2870</v>
      </c>
      <c r="H38" s="110">
        <f>+F38*3.04%</f>
        <v>3040</v>
      </c>
      <c r="I38" s="110"/>
      <c r="J38" s="77">
        <f t="shared" si="1"/>
        <v>5910</v>
      </c>
      <c r="K38" s="77">
        <f>+F38-J38</f>
        <v>94090</v>
      </c>
      <c r="L38" s="77">
        <f t="shared" ref="L38:L40" si="20">+IF(K38*12&lt;=416220.01,0,IF(K38*12&lt;=624329.01,(((K38*12-416220.01)*0.15)/12),IF((K38*12&lt;=867123.01),(31216+0.2*(K38*12-624329.01))/12,((79776+0.25*(K38*12-867123.01))/12))))</f>
        <v>12105.437291666667</v>
      </c>
      <c r="M38" s="77"/>
      <c r="N38" s="84">
        <v>65</v>
      </c>
      <c r="O38" s="107">
        <f t="shared" si="5"/>
        <v>18080.437291666669</v>
      </c>
      <c r="P38" s="111">
        <f>+F38-O38</f>
        <v>81919.562708333338</v>
      </c>
    </row>
    <row r="39" spans="1:17" s="47" customFormat="1" ht="30" customHeight="1" x14ac:dyDescent="0.25">
      <c r="A39" s="122">
        <f>+A38+1</f>
        <v>20</v>
      </c>
      <c r="B39" s="108" t="s">
        <v>240</v>
      </c>
      <c r="C39" s="122" t="s">
        <v>422</v>
      </c>
      <c r="D39" s="109" t="s">
        <v>51</v>
      </c>
      <c r="E39" s="108" t="s">
        <v>121</v>
      </c>
      <c r="F39" s="110">
        <v>80000</v>
      </c>
      <c r="G39" s="110">
        <f>F39*2.87%</f>
        <v>2296</v>
      </c>
      <c r="H39" s="110">
        <f>+F39*3.04%</f>
        <v>2432</v>
      </c>
      <c r="I39" s="110"/>
      <c r="J39" s="77">
        <f t="shared" si="1"/>
        <v>4728</v>
      </c>
      <c r="K39" s="77">
        <f t="shared" si="7"/>
        <v>75272</v>
      </c>
      <c r="L39" s="77">
        <f t="shared" si="20"/>
        <v>7400.9372916666662</v>
      </c>
      <c r="M39" s="77"/>
      <c r="N39" s="84">
        <v>125</v>
      </c>
      <c r="O39" s="107">
        <f t="shared" si="5"/>
        <v>12253.937291666665</v>
      </c>
      <c r="P39" s="111">
        <f>+F39-O39</f>
        <v>67746.062708333338</v>
      </c>
    </row>
    <row r="40" spans="1:17" s="47" customFormat="1" ht="30" customHeight="1" x14ac:dyDescent="0.25">
      <c r="A40" s="122">
        <f>+A39+1</f>
        <v>21</v>
      </c>
      <c r="B40" s="153" t="s">
        <v>462</v>
      </c>
      <c r="C40" s="36" t="s">
        <v>421</v>
      </c>
      <c r="D40" s="126" t="s">
        <v>147</v>
      </c>
      <c r="E40" s="108" t="s">
        <v>122</v>
      </c>
      <c r="F40" s="110">
        <v>70000</v>
      </c>
      <c r="G40" s="110">
        <f>F40*2.87%</f>
        <v>2009</v>
      </c>
      <c r="H40" s="110">
        <f>+F40*3.04%</f>
        <v>2128</v>
      </c>
      <c r="I40" s="110"/>
      <c r="J40" s="77">
        <f t="shared" si="1"/>
        <v>4137</v>
      </c>
      <c r="K40" s="77">
        <f t="shared" si="7"/>
        <v>65863</v>
      </c>
      <c r="L40" s="77">
        <f t="shared" si="20"/>
        <v>5368.4498333333331</v>
      </c>
      <c r="M40" s="77"/>
      <c r="N40" s="84">
        <v>10945.67</v>
      </c>
      <c r="O40" s="107">
        <f t="shared" si="5"/>
        <v>20451.119833333334</v>
      </c>
      <c r="P40" s="111">
        <f>F40-O40</f>
        <v>49548.88016666667</v>
      </c>
    </row>
    <row r="41" spans="1:17" s="39" customFormat="1" ht="30" customHeight="1" thickBot="1" x14ac:dyDescent="0.3">
      <c r="A41" s="208" t="s">
        <v>125</v>
      </c>
      <c r="B41" s="209"/>
      <c r="C41" s="209"/>
      <c r="D41" s="209"/>
      <c r="E41" s="210"/>
      <c r="F41" s="37">
        <f>SUM(F37:F40)</f>
        <v>405000</v>
      </c>
      <c r="G41" s="37">
        <f t="shared" ref="G41:P41" si="21">SUM(G37:G40)</f>
        <v>11623.5</v>
      </c>
      <c r="H41" s="37">
        <f t="shared" si="21"/>
        <v>12312</v>
      </c>
      <c r="I41" s="37">
        <f t="shared" si="21"/>
        <v>0</v>
      </c>
      <c r="J41" s="37">
        <f t="shared" si="21"/>
        <v>23935.5</v>
      </c>
      <c r="K41" s="248">
        <f>SUM(K37:K40)</f>
        <v>381064.5</v>
      </c>
      <c r="L41" s="37">
        <f t="shared" si="21"/>
        <v>49917.636708333332</v>
      </c>
      <c r="M41" s="37">
        <f t="shared" si="21"/>
        <v>0</v>
      </c>
      <c r="N41" s="37">
        <f t="shared" si="21"/>
        <v>17903.260000000002</v>
      </c>
      <c r="O41" s="37">
        <f t="shared" si="21"/>
        <v>91756.396708333326</v>
      </c>
      <c r="P41" s="37">
        <f t="shared" si="21"/>
        <v>313243.60329166672</v>
      </c>
    </row>
    <row r="42" spans="1:17" s="32" customFormat="1" ht="24" customHeight="1" thickBot="1" x14ac:dyDescent="0.3">
      <c r="A42" s="211" t="s">
        <v>156</v>
      </c>
      <c r="B42" s="212"/>
      <c r="C42" s="212"/>
      <c r="D42" s="212"/>
      <c r="E42" s="212"/>
      <c r="F42" s="212"/>
      <c r="G42" s="212"/>
      <c r="H42" s="212"/>
      <c r="I42" s="212"/>
      <c r="J42" s="212"/>
      <c r="K42" s="212"/>
      <c r="L42" s="212"/>
      <c r="M42" s="212"/>
      <c r="N42" s="212"/>
      <c r="O42" s="212"/>
      <c r="P42" s="212"/>
    </row>
    <row r="43" spans="1:17" s="86" customFormat="1" ht="30" customHeight="1" x14ac:dyDescent="0.25">
      <c r="A43" s="75">
        <f>A40+1</f>
        <v>22</v>
      </c>
      <c r="B43" s="76" t="s">
        <v>254</v>
      </c>
      <c r="C43" s="75" t="s">
        <v>422</v>
      </c>
      <c r="D43" s="83" t="s">
        <v>187</v>
      </c>
      <c r="E43" s="81" t="s">
        <v>122</v>
      </c>
      <c r="F43" s="77">
        <v>130000</v>
      </c>
      <c r="G43" s="82">
        <v>3731</v>
      </c>
      <c r="H43" s="82">
        <v>3952</v>
      </c>
      <c r="I43" s="82">
        <v>1577.45</v>
      </c>
      <c r="J43" s="77">
        <f t="shared" si="1"/>
        <v>9260.4500000000007</v>
      </c>
      <c r="K43" s="77">
        <f t="shared" si="7"/>
        <v>120739.55</v>
      </c>
      <c r="L43" s="77">
        <f>+IF(K43*12&lt;=416220.01,0,IF(K43*12&lt;=624329.01,(((K43*12-416220.01)*0.15)/12),IF((K43*12&lt;=867123.01),(31216+0.2*(K43*12-624329.01))/12,((79776+0.25*(K43*12-867123.01))/12))))</f>
        <v>18767.82479166667</v>
      </c>
      <c r="M43" s="77"/>
      <c r="N43" s="84">
        <v>25</v>
      </c>
      <c r="O43" s="107">
        <f t="shared" si="5"/>
        <v>28053.27479166667</v>
      </c>
      <c r="P43" s="78">
        <f t="shared" ref="P43:P48" si="22">+F43-O43</f>
        <v>101946.72520833333</v>
      </c>
      <c r="Q43" s="40"/>
    </row>
    <row r="44" spans="1:17" s="86" customFormat="1" ht="30" customHeight="1" x14ac:dyDescent="0.25">
      <c r="A44" s="75">
        <f>A43+1</f>
        <v>23</v>
      </c>
      <c r="B44" s="108" t="s">
        <v>49</v>
      </c>
      <c r="C44" s="36" t="s">
        <v>422</v>
      </c>
      <c r="D44" s="108" t="s">
        <v>51</v>
      </c>
      <c r="E44" s="108" t="s">
        <v>122</v>
      </c>
      <c r="F44" s="110">
        <v>90000</v>
      </c>
      <c r="G44" s="110">
        <f>F44*2.87%</f>
        <v>2583</v>
      </c>
      <c r="H44" s="82">
        <f>+F44*3.04%</f>
        <v>2736</v>
      </c>
      <c r="I44" s="82"/>
      <c r="J44" s="77">
        <f t="shared" si="1"/>
        <v>5319</v>
      </c>
      <c r="K44" s="77">
        <f t="shared" si="7"/>
        <v>84681</v>
      </c>
      <c r="L44" s="77">
        <f t="shared" ref="L44:L47" si="23">+IF(K44*12&lt;=416220.01,0,IF(K44*12&lt;=624329.01,(((K44*12-416220.01)*0.15)/12),IF((K44*12&lt;=867123.01),(31216+0.2*(K44*12-624329.01))/12,((79776+0.25*(K44*12-867123.01))/12))))</f>
        <v>9753.1872916666671</v>
      </c>
      <c r="M44" s="77"/>
      <c r="N44" s="84">
        <f>100+25+2146.02</f>
        <v>2271.02</v>
      </c>
      <c r="O44" s="107">
        <f t="shared" si="5"/>
        <v>17343.207291666666</v>
      </c>
      <c r="P44" s="78">
        <f t="shared" si="22"/>
        <v>72656.792708333334</v>
      </c>
      <c r="Q44" s="40"/>
    </row>
    <row r="45" spans="1:17" s="53" customFormat="1" ht="30" customHeight="1" x14ac:dyDescent="0.25">
      <c r="A45" s="75">
        <f>A44+1</f>
        <v>24</v>
      </c>
      <c r="B45" s="108" t="s">
        <v>241</v>
      </c>
      <c r="C45" s="36" t="s">
        <v>422</v>
      </c>
      <c r="D45" s="109" t="s">
        <v>51</v>
      </c>
      <c r="E45" s="108" t="s">
        <v>121</v>
      </c>
      <c r="F45" s="110">
        <v>90000</v>
      </c>
      <c r="G45" s="107">
        <f>F45*2.87%</f>
        <v>2583</v>
      </c>
      <c r="H45" s="77">
        <f>+F45*3.04%</f>
        <v>2736</v>
      </c>
      <c r="I45" s="77">
        <v>1577.45</v>
      </c>
      <c r="J45" s="77">
        <f t="shared" si="1"/>
        <v>6896.45</v>
      </c>
      <c r="K45" s="77">
        <f t="shared" si="7"/>
        <v>83103.55</v>
      </c>
      <c r="L45" s="77">
        <f t="shared" si="23"/>
        <v>9358.8247916666678</v>
      </c>
      <c r="M45" s="77"/>
      <c r="N45" s="84">
        <v>12267.85</v>
      </c>
      <c r="O45" s="107">
        <f t="shared" si="5"/>
        <v>28523.124791666669</v>
      </c>
      <c r="P45" s="78">
        <f t="shared" si="22"/>
        <v>61476.875208333331</v>
      </c>
      <c r="Q45" s="39"/>
    </row>
    <row r="46" spans="1:17" s="39" customFormat="1" ht="30" customHeight="1" x14ac:dyDescent="0.25">
      <c r="A46" s="75">
        <f t="shared" ref="A46" si="24">A45+1</f>
        <v>25</v>
      </c>
      <c r="B46" s="108" t="s">
        <v>242</v>
      </c>
      <c r="C46" s="36" t="s">
        <v>422</v>
      </c>
      <c r="D46" s="109" t="s">
        <v>51</v>
      </c>
      <c r="E46" s="108" t="s">
        <v>122</v>
      </c>
      <c r="F46" s="110">
        <v>90000</v>
      </c>
      <c r="G46" s="110">
        <f>F46*2.87%</f>
        <v>2583</v>
      </c>
      <c r="H46" s="82">
        <f>+F46*3.04%</f>
        <v>2736</v>
      </c>
      <c r="I46" s="82"/>
      <c r="J46" s="77">
        <f t="shared" si="1"/>
        <v>5319</v>
      </c>
      <c r="K46" s="77">
        <f t="shared" si="7"/>
        <v>84681</v>
      </c>
      <c r="L46" s="77">
        <f t="shared" si="23"/>
        <v>9753.1872916666671</v>
      </c>
      <c r="M46" s="77"/>
      <c r="N46" s="84">
        <v>7064.51</v>
      </c>
      <c r="O46" s="107">
        <f t="shared" si="5"/>
        <v>22136.697291666667</v>
      </c>
      <c r="P46" s="78">
        <f t="shared" si="22"/>
        <v>67863.302708333329</v>
      </c>
    </row>
    <row r="47" spans="1:17" s="39" customFormat="1" ht="30" customHeight="1" x14ac:dyDescent="0.25">
      <c r="A47" s="75">
        <f>A46+1</f>
        <v>26</v>
      </c>
      <c r="B47" s="112" t="s">
        <v>243</v>
      </c>
      <c r="C47" s="36" t="s">
        <v>422</v>
      </c>
      <c r="D47" s="112" t="s">
        <v>51</v>
      </c>
      <c r="E47" s="112" t="s">
        <v>122</v>
      </c>
      <c r="F47" s="107">
        <v>80000</v>
      </c>
      <c r="G47" s="107">
        <f>F47*2.87%</f>
        <v>2296</v>
      </c>
      <c r="H47" s="77">
        <f>+F47*3.04%</f>
        <v>2432</v>
      </c>
      <c r="I47" s="77">
        <v>1577.45</v>
      </c>
      <c r="J47" s="77">
        <f t="shared" si="1"/>
        <v>6305.45</v>
      </c>
      <c r="K47" s="77">
        <f t="shared" si="7"/>
        <v>73694.55</v>
      </c>
      <c r="L47" s="77">
        <f t="shared" si="23"/>
        <v>7006.5747916666687</v>
      </c>
      <c r="M47" s="77"/>
      <c r="N47" s="78">
        <v>11750.55</v>
      </c>
      <c r="O47" s="107">
        <f t="shared" si="5"/>
        <v>25062.57479166667</v>
      </c>
      <c r="P47" s="78">
        <f t="shared" si="22"/>
        <v>54937.425208333327</v>
      </c>
    </row>
    <row r="48" spans="1:17" s="47" customFormat="1" ht="30" customHeight="1" x14ac:dyDescent="0.25">
      <c r="A48" s="122">
        <f>+A47+1</f>
        <v>27</v>
      </c>
      <c r="B48" s="108" t="s">
        <v>57</v>
      </c>
      <c r="C48" s="122" t="s">
        <v>422</v>
      </c>
      <c r="D48" s="109" t="s">
        <v>51</v>
      </c>
      <c r="E48" s="108" t="s">
        <v>121</v>
      </c>
      <c r="F48" s="110">
        <v>80000</v>
      </c>
      <c r="G48" s="110">
        <f>F48*2.87%</f>
        <v>2296</v>
      </c>
      <c r="H48" s="110">
        <f>+F48*3.04%</f>
        <v>2432</v>
      </c>
      <c r="I48" s="110"/>
      <c r="J48" s="77">
        <f>+G48+H48+I48</f>
        <v>4728</v>
      </c>
      <c r="K48" s="77">
        <f>+F48-J48</f>
        <v>75272</v>
      </c>
      <c r="L48" s="77">
        <f>+IF(K48*12&lt;=416220.01,0,IF(K48*12&lt;=624329.01,(((K48*12-416220.01)*0.15)/12),IF((K48*12&lt;=867123.01),(31216+0.2*(K48*12-624329.01))/12,((79776+0.25*(K48*12-867123.01))/12))))</f>
        <v>7400.9372916666662</v>
      </c>
      <c r="M48" s="77"/>
      <c r="N48" s="84">
        <v>4548.07</v>
      </c>
      <c r="O48" s="107">
        <f>+N48+I48+H48+G48+L48</f>
        <v>16677.007291666665</v>
      </c>
      <c r="P48" s="111">
        <f t="shared" si="22"/>
        <v>63322.992708333331</v>
      </c>
    </row>
    <row r="49" spans="1:17" s="39" customFormat="1" ht="30" customHeight="1" x14ac:dyDescent="0.25">
      <c r="A49" s="208" t="s">
        <v>125</v>
      </c>
      <c r="B49" s="209"/>
      <c r="C49" s="209"/>
      <c r="D49" s="209"/>
      <c r="E49" s="210"/>
      <c r="F49" s="37">
        <f>SUM(F43:F48)</f>
        <v>560000</v>
      </c>
      <c r="G49" s="37">
        <f t="shared" ref="G49:P49" si="25">SUM(G43:G48)</f>
        <v>16072</v>
      </c>
      <c r="H49" s="37">
        <f t="shared" si="25"/>
        <v>17024</v>
      </c>
      <c r="I49" s="37">
        <f t="shared" si="25"/>
        <v>4732.3500000000004</v>
      </c>
      <c r="J49" s="37">
        <f t="shared" si="25"/>
        <v>37828.35</v>
      </c>
      <c r="K49" s="37">
        <f t="shared" si="25"/>
        <v>522171.64999999997</v>
      </c>
      <c r="L49" s="37">
        <f t="shared" si="25"/>
        <v>62040.536250000005</v>
      </c>
      <c r="M49" s="37">
        <f t="shared" si="25"/>
        <v>0</v>
      </c>
      <c r="N49" s="37">
        <f t="shared" si="25"/>
        <v>37927</v>
      </c>
      <c r="O49" s="37">
        <f t="shared" si="25"/>
        <v>137795.88625000001</v>
      </c>
      <c r="P49" s="37">
        <f t="shared" si="25"/>
        <v>422204.1137499999</v>
      </c>
    </row>
    <row r="50" spans="1:17" s="39" customFormat="1" ht="30" customHeight="1" thickBot="1" x14ac:dyDescent="0.3">
      <c r="A50"/>
      <c r="B50"/>
      <c r="C50" s="136"/>
      <c r="D50"/>
      <c r="E50"/>
      <c r="F50"/>
      <c r="G50"/>
      <c r="H50"/>
      <c r="I50"/>
      <c r="J50"/>
      <c r="K50"/>
      <c r="L50"/>
      <c r="M50"/>
      <c r="N50"/>
      <c r="O50"/>
      <c r="P50"/>
    </row>
    <row r="51" spans="1:17" s="86" customFormat="1" ht="30" customHeight="1" thickBot="1" x14ac:dyDescent="0.3">
      <c r="A51" s="211" t="s">
        <v>464</v>
      </c>
      <c r="B51" s="212"/>
      <c r="C51" s="212"/>
      <c r="D51" s="212"/>
      <c r="E51" s="212"/>
      <c r="F51" s="212"/>
      <c r="G51" s="212"/>
      <c r="H51" s="212"/>
      <c r="I51" s="212"/>
      <c r="J51" s="212"/>
      <c r="K51" s="212"/>
      <c r="L51" s="212"/>
      <c r="M51" s="212"/>
      <c r="N51" s="212"/>
      <c r="O51" s="212"/>
      <c r="P51" s="212"/>
      <c r="Q51" s="40"/>
    </row>
    <row r="52" spans="1:17" s="86" customFormat="1" ht="30" customHeight="1" x14ac:dyDescent="0.25">
      <c r="A52" s="75">
        <f>+A48+1</f>
        <v>28</v>
      </c>
      <c r="B52" s="76" t="s">
        <v>56</v>
      </c>
      <c r="C52" s="75" t="s">
        <v>422</v>
      </c>
      <c r="D52" s="83" t="s">
        <v>181</v>
      </c>
      <c r="E52" s="81" t="s">
        <v>122</v>
      </c>
      <c r="F52" s="77">
        <v>126500</v>
      </c>
      <c r="G52" s="77">
        <v>3630.55</v>
      </c>
      <c r="H52" s="77">
        <v>3845.6</v>
      </c>
      <c r="I52" s="77">
        <v>1577.45</v>
      </c>
      <c r="J52" s="77">
        <f t="shared" si="1"/>
        <v>9053.6</v>
      </c>
      <c r="K52" s="77">
        <f t="shared" si="7"/>
        <v>117446.39999999999</v>
      </c>
      <c r="L52" s="77">
        <f t="shared" si="15"/>
        <v>17944.537291666664</v>
      </c>
      <c r="M52" s="77"/>
      <c r="N52" s="84">
        <v>125</v>
      </c>
      <c r="O52" s="107">
        <f t="shared" si="5"/>
        <v>27123.137291666666</v>
      </c>
      <c r="P52" s="111">
        <f>+F52-O52</f>
        <v>99376.862708333327</v>
      </c>
      <c r="Q52" s="40"/>
    </row>
    <row r="53" spans="1:17" s="39" customFormat="1" ht="30" customHeight="1" x14ac:dyDescent="0.25">
      <c r="A53" s="208" t="s">
        <v>125</v>
      </c>
      <c r="B53" s="209"/>
      <c r="C53" s="209"/>
      <c r="D53" s="209"/>
      <c r="E53" s="210"/>
      <c r="F53" s="37">
        <f>SUM(F52)</f>
        <v>126500</v>
      </c>
      <c r="G53" s="37">
        <f t="shared" ref="F53:O53" si="26">SUM(G52)</f>
        <v>3630.55</v>
      </c>
      <c r="H53" s="37">
        <f t="shared" si="26"/>
        <v>3845.6</v>
      </c>
      <c r="I53" s="37">
        <f t="shared" si="26"/>
        <v>1577.45</v>
      </c>
      <c r="J53" s="37">
        <f t="shared" si="26"/>
        <v>9053.6</v>
      </c>
      <c r="K53" s="37">
        <f t="shared" si="26"/>
        <v>117446.39999999999</v>
      </c>
      <c r="L53" s="37">
        <f t="shared" si="26"/>
        <v>17944.537291666664</v>
      </c>
      <c r="M53" s="37">
        <f t="shared" si="26"/>
        <v>0</v>
      </c>
      <c r="N53" s="37">
        <f t="shared" si="26"/>
        <v>125</v>
      </c>
      <c r="O53" s="37">
        <f t="shared" si="26"/>
        <v>27123.137291666666</v>
      </c>
      <c r="P53" s="37">
        <f>SUM(P52)</f>
        <v>99376.862708333327</v>
      </c>
    </row>
    <row r="54" spans="1:17" s="39" customFormat="1" ht="30" customHeight="1" thickBot="1" x14ac:dyDescent="0.3">
      <c r="A54" s="50"/>
      <c r="B54" s="50"/>
      <c r="C54" s="50"/>
      <c r="D54" s="50"/>
      <c r="E54" s="50"/>
      <c r="F54"/>
      <c r="G54"/>
      <c r="H54"/>
      <c r="I54"/>
      <c r="J54"/>
      <c r="K54"/>
      <c r="L54"/>
      <c r="M54"/>
      <c r="N54"/>
      <c r="O54"/>
      <c r="P54"/>
    </row>
    <row r="55" spans="1:17" s="53" customFormat="1" ht="30" customHeight="1" thickBot="1" x14ac:dyDescent="0.3">
      <c r="A55" s="287" t="s">
        <v>157</v>
      </c>
      <c r="B55" s="288"/>
      <c r="C55" s="214"/>
      <c r="D55" s="214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39"/>
    </row>
    <row r="56" spans="1:17" s="53" customFormat="1" ht="30" customHeight="1" x14ac:dyDescent="0.25">
      <c r="A56" s="80">
        <f>+A52+1</f>
        <v>29</v>
      </c>
      <c r="B56" s="108" t="s">
        <v>245</v>
      </c>
      <c r="C56" s="36" t="s">
        <v>422</v>
      </c>
      <c r="D56" s="109" t="s">
        <v>51</v>
      </c>
      <c r="E56" s="108" t="s">
        <v>122</v>
      </c>
      <c r="F56" s="110">
        <v>104000</v>
      </c>
      <c r="G56" s="82">
        <f>F56*2.87%</f>
        <v>2984.8</v>
      </c>
      <c r="H56" s="82">
        <f>+F56*3.04%</f>
        <v>3161.6</v>
      </c>
      <c r="I56" s="82">
        <v>1577.45</v>
      </c>
      <c r="J56" s="77">
        <f t="shared" si="1"/>
        <v>7723.8499999999995</v>
      </c>
      <c r="K56" s="77">
        <f t="shared" si="7"/>
        <v>96276.15</v>
      </c>
      <c r="L56" s="77">
        <f>+IF(K56*12&lt;=416220.01,0,IF(K56*12&lt;=624329.01,(((K56*12-416220.01)*0.15)/12),IF((K56*12&lt;=867123.01),(31216+0.2*(K56*12-624329.01))/12,((79776+0.25*(K56*12-867123.01))/12))))</f>
        <v>12651.974791666662</v>
      </c>
      <c r="M56" s="77"/>
      <c r="N56" s="84">
        <v>4505.74</v>
      </c>
      <c r="O56" s="107">
        <f t="shared" si="5"/>
        <v>24881.564791666664</v>
      </c>
      <c r="P56" s="78">
        <f>+F56-O56</f>
        <v>79118.435208333336</v>
      </c>
      <c r="Q56" s="39"/>
    </row>
    <row r="57" spans="1:17" s="31" customFormat="1" ht="30" customHeight="1" x14ac:dyDescent="0.25">
      <c r="A57" s="80">
        <f>+A56+1</f>
        <v>30</v>
      </c>
      <c r="B57" s="108" t="s">
        <v>246</v>
      </c>
      <c r="C57" s="36" t="s">
        <v>422</v>
      </c>
      <c r="D57" s="109" t="s">
        <v>51</v>
      </c>
      <c r="E57" s="108" t="s">
        <v>122</v>
      </c>
      <c r="F57" s="110">
        <v>95000</v>
      </c>
      <c r="G57" s="82">
        <f>F57*2.87%</f>
        <v>2726.5</v>
      </c>
      <c r="H57" s="82">
        <f>+F57*3.04%</f>
        <v>2888</v>
      </c>
      <c r="I57" s="82"/>
      <c r="J57" s="77">
        <f t="shared" si="1"/>
        <v>5614.5</v>
      </c>
      <c r="K57" s="77">
        <f t="shared" si="7"/>
        <v>89385.5</v>
      </c>
      <c r="L57" s="77">
        <f t="shared" ref="L57:L59" si="27">+IF(K57*12&lt;=416220.01,0,IF(K57*12&lt;=624329.01,(((K57*12-416220.01)*0.15)/12),IF((K57*12&lt;=867123.01),(31216+0.2*(K57*12-624329.01))/12,((79776+0.25*(K57*12-867123.01))/12))))</f>
        <v>10929.312291666667</v>
      </c>
      <c r="M57" s="77"/>
      <c r="N57" s="84">
        <v>7125</v>
      </c>
      <c r="O57" s="107">
        <f t="shared" si="5"/>
        <v>23668.812291666669</v>
      </c>
      <c r="P57" s="78">
        <f>+F57-O57</f>
        <v>71331.187708333338</v>
      </c>
      <c r="Q57" s="124"/>
    </row>
    <row r="58" spans="1:17" s="39" customFormat="1" ht="30" customHeight="1" x14ac:dyDescent="0.25">
      <c r="A58" s="80">
        <f>+A57+1</f>
        <v>31</v>
      </c>
      <c r="B58" s="108" t="s">
        <v>247</v>
      </c>
      <c r="C58" s="36" t="s">
        <v>422</v>
      </c>
      <c r="D58" s="109" t="s">
        <v>51</v>
      </c>
      <c r="E58" s="108" t="s">
        <v>121</v>
      </c>
      <c r="F58" s="110">
        <v>90000</v>
      </c>
      <c r="G58" s="82">
        <f>F58*2.87%</f>
        <v>2583</v>
      </c>
      <c r="H58" s="82">
        <f>+F58*3.04%</f>
        <v>2736</v>
      </c>
      <c r="I58" s="82"/>
      <c r="J58" s="77">
        <f t="shared" si="1"/>
        <v>5319</v>
      </c>
      <c r="K58" s="77">
        <f t="shared" si="7"/>
        <v>84681</v>
      </c>
      <c r="L58" s="77">
        <f t="shared" si="27"/>
        <v>9753.1872916666671</v>
      </c>
      <c r="M58" s="77"/>
      <c r="N58" s="84">
        <v>1105</v>
      </c>
      <c r="O58" s="107">
        <f t="shared" si="5"/>
        <v>16177.187291666667</v>
      </c>
      <c r="P58" s="78">
        <f>+F58-O58</f>
        <v>73822.812708333338</v>
      </c>
    </row>
    <row r="59" spans="1:17" s="39" customFormat="1" ht="30" customHeight="1" x14ac:dyDescent="0.25">
      <c r="A59" s="80">
        <f>A58+1</f>
        <v>32</v>
      </c>
      <c r="B59" s="108" t="s">
        <v>474</v>
      </c>
      <c r="C59" s="36" t="s">
        <v>422</v>
      </c>
      <c r="D59" s="109" t="s">
        <v>51</v>
      </c>
      <c r="E59" s="108" t="s">
        <v>122</v>
      </c>
      <c r="F59" s="110">
        <v>70000</v>
      </c>
      <c r="G59" s="82">
        <f>F59*2.87%</f>
        <v>2009</v>
      </c>
      <c r="H59" s="82">
        <f>+F59*3.04%</f>
        <v>2128</v>
      </c>
      <c r="I59" s="82">
        <v>3154.9</v>
      </c>
      <c r="J59" s="77">
        <f t="shared" si="1"/>
        <v>7291.9</v>
      </c>
      <c r="K59" s="77">
        <f t="shared" si="7"/>
        <v>62708.1</v>
      </c>
      <c r="L59" s="77">
        <f t="shared" si="27"/>
        <v>4737.4698333333326</v>
      </c>
      <c r="M59" s="77"/>
      <c r="N59" s="82">
        <v>125</v>
      </c>
      <c r="O59" s="107">
        <f t="shared" si="5"/>
        <v>12154.369833333332</v>
      </c>
      <c r="P59" s="82">
        <f>+F59-O59</f>
        <v>57845.63016666667</v>
      </c>
    </row>
    <row r="60" spans="1:17" s="39" customFormat="1" ht="30" customHeight="1" x14ac:dyDescent="0.25">
      <c r="A60" s="80">
        <f>+A59+1</f>
        <v>33</v>
      </c>
      <c r="B60" s="108" t="s">
        <v>182</v>
      </c>
      <c r="C60" s="36" t="s">
        <v>422</v>
      </c>
      <c r="D60" s="109" t="s">
        <v>94</v>
      </c>
      <c r="E60" s="108" t="s">
        <v>122</v>
      </c>
      <c r="F60" s="110">
        <v>60000</v>
      </c>
      <c r="G60" s="82">
        <f>F60*2.87%</f>
        <v>1722</v>
      </c>
      <c r="H60" s="82">
        <f>+F60*3.04%</f>
        <v>1824</v>
      </c>
      <c r="I60" s="82">
        <v>0</v>
      </c>
      <c r="J60" s="77">
        <f>+G60+H60+I60</f>
        <v>3546</v>
      </c>
      <c r="K60" s="77">
        <f>+F60-J60</f>
        <v>56454</v>
      </c>
      <c r="L60" s="77">
        <f>+IF(K60*12&lt;=416220.01,0,IF(K60*12&lt;=624329.01,(((K60*12-416220.01)*0.15)/12),IF((K60*12&lt;=867123.01),(31216+0.2*(K60*12-624329.01))/12,((79776+0.25*(K60*12-867123.01))/12))))-M60</f>
        <v>3486.6498333333329</v>
      </c>
      <c r="M60" s="77">
        <v>0</v>
      </c>
      <c r="N60" s="84">
        <v>125</v>
      </c>
      <c r="O60" s="107">
        <f>+N60+I60+H60+G60+L60</f>
        <v>7157.6498333333329</v>
      </c>
      <c r="P60" s="78">
        <f>+F60-O60</f>
        <v>52842.350166666671</v>
      </c>
    </row>
    <row r="61" spans="1:17" s="39" customFormat="1" ht="30" customHeight="1" x14ac:dyDescent="0.25">
      <c r="A61" s="208" t="s">
        <v>125</v>
      </c>
      <c r="B61" s="209"/>
      <c r="C61" s="209"/>
      <c r="D61" s="209"/>
      <c r="E61" s="210"/>
      <c r="F61" s="37">
        <f>SUM(F56:F60)</f>
        <v>419000</v>
      </c>
      <c r="G61" s="37">
        <f t="shared" ref="G61:P61" si="28">SUM(G56:G60)</f>
        <v>12025.3</v>
      </c>
      <c r="H61" s="37">
        <f t="shared" si="28"/>
        <v>12737.6</v>
      </c>
      <c r="I61" s="37">
        <f t="shared" si="28"/>
        <v>4732.3500000000004</v>
      </c>
      <c r="J61" s="37">
        <f t="shared" si="28"/>
        <v>29495.25</v>
      </c>
      <c r="K61" s="37">
        <f t="shared" si="28"/>
        <v>389504.75</v>
      </c>
      <c r="L61" s="37">
        <f t="shared" si="28"/>
        <v>41558.594041666656</v>
      </c>
      <c r="M61" s="37">
        <f t="shared" si="28"/>
        <v>0</v>
      </c>
      <c r="N61" s="37">
        <f t="shared" si="28"/>
        <v>12985.74</v>
      </c>
      <c r="O61" s="37">
        <f t="shared" si="28"/>
        <v>84039.584041666662</v>
      </c>
      <c r="P61" s="37">
        <f t="shared" si="28"/>
        <v>334960.41595833335</v>
      </c>
    </row>
    <row r="62" spans="1:17" s="39" customFormat="1" ht="30" customHeight="1" thickBot="1" x14ac:dyDescent="0.3">
      <c r="A62" s="69"/>
      <c r="B62" s="69"/>
      <c r="C62" s="137"/>
      <c r="D62" s="69"/>
      <c r="E62" s="69"/>
      <c r="F62" s="69"/>
      <c r="G62" s="69"/>
      <c r="H62" s="69"/>
      <c r="I62" s="69"/>
      <c r="J62" s="69"/>
      <c r="K62" s="69"/>
      <c r="L62" s="69"/>
      <c r="M62" s="69"/>
      <c r="N62" s="69"/>
      <c r="O62" s="69"/>
      <c r="P62" s="69"/>
    </row>
    <row r="63" spans="1:17" s="31" customFormat="1" ht="30" customHeight="1" thickBot="1" x14ac:dyDescent="0.3">
      <c r="A63" s="287" t="s">
        <v>158</v>
      </c>
      <c r="B63" s="288"/>
      <c r="C63" s="214"/>
      <c r="D63" s="214"/>
      <c r="E63" s="214"/>
      <c r="F63" s="214"/>
      <c r="G63" s="214"/>
      <c r="H63" s="214"/>
      <c r="I63" s="214"/>
      <c r="J63" s="214"/>
      <c r="K63" s="214"/>
      <c r="L63" s="214"/>
      <c r="M63" s="214"/>
      <c r="N63" s="247"/>
      <c r="O63" s="214"/>
      <c r="P63" s="214"/>
      <c r="Q63" s="124"/>
    </row>
    <row r="64" spans="1:17" s="86" customFormat="1" ht="30" customHeight="1" x14ac:dyDescent="0.25">
      <c r="A64" s="122">
        <f>+A60+1</f>
        <v>34</v>
      </c>
      <c r="B64" s="112" t="s">
        <v>48</v>
      </c>
      <c r="C64" s="122" t="s">
        <v>422</v>
      </c>
      <c r="D64" s="85" t="s">
        <v>51</v>
      </c>
      <c r="E64" s="112" t="s">
        <v>122</v>
      </c>
      <c r="F64" s="77">
        <v>102000</v>
      </c>
      <c r="G64" s="82">
        <f>F64*2.87%</f>
        <v>2927.4</v>
      </c>
      <c r="H64" s="82">
        <f>+F64*3.04%</f>
        <v>3100.8</v>
      </c>
      <c r="I64" s="77"/>
      <c r="J64" s="77">
        <f t="shared" si="1"/>
        <v>6028.2000000000007</v>
      </c>
      <c r="K64" s="77">
        <f t="shared" si="7"/>
        <v>95971.8</v>
      </c>
      <c r="L64" s="77">
        <f>+IF(K64*12&lt;=416220.01,0,IF(K64*12&lt;=624329.01,(((K64*12-416220.01)*0.15)/12),IF((K64*12&lt;=867123.01),(31216+0.2*(K64*12-624329.01))/12,((79776+0.25*(K64*12-867123.01))/12))))-M64</f>
        <v>12575.887291666668</v>
      </c>
      <c r="M64" s="77"/>
      <c r="N64" s="84">
        <v>125</v>
      </c>
      <c r="O64" s="107">
        <f t="shared" si="5"/>
        <v>18729.08729166667</v>
      </c>
      <c r="P64" s="78">
        <f>+F64-O64</f>
        <v>83270.91270833333</v>
      </c>
      <c r="Q64" s="40"/>
    </row>
    <row r="65" spans="1:17" s="86" customFormat="1" ht="30" customHeight="1" x14ac:dyDescent="0.25">
      <c r="A65" s="36">
        <f>+A64+1</f>
        <v>35</v>
      </c>
      <c r="B65" s="108" t="s">
        <v>63</v>
      </c>
      <c r="C65" s="36" t="s">
        <v>421</v>
      </c>
      <c r="D65" s="109" t="s">
        <v>51</v>
      </c>
      <c r="E65" s="108" t="s">
        <v>122</v>
      </c>
      <c r="F65" s="110">
        <v>102000</v>
      </c>
      <c r="G65" s="110">
        <f>F65*2.87%</f>
        <v>2927.4</v>
      </c>
      <c r="H65" s="82">
        <f>+F65*3.04%</f>
        <v>3100.8</v>
      </c>
      <c r="I65" s="82"/>
      <c r="J65" s="77">
        <f t="shared" si="1"/>
        <v>6028.2000000000007</v>
      </c>
      <c r="K65" s="77">
        <f t="shared" si="7"/>
        <v>95971.8</v>
      </c>
      <c r="L65" s="77">
        <f t="shared" ref="L65:L66" si="29">+IF(K65*12&lt;=416220.01,0,IF(K65*12&lt;=624329.01,(((K65*12-416220.01)*0.15)/12),IF((K65*12&lt;=867123.01),(31216+0.2*(K65*12-624329.01))/12,((79776+0.25*(K65*12-867123.01))/12))))-M65</f>
        <v>12575.887291666668</v>
      </c>
      <c r="M65" s="77"/>
      <c r="N65" s="84">
        <v>65</v>
      </c>
      <c r="O65" s="107">
        <f t="shared" si="5"/>
        <v>18669.08729166667</v>
      </c>
      <c r="P65" s="78">
        <f>+F65-O65</f>
        <v>83330.91270833333</v>
      </c>
      <c r="Q65" s="40"/>
    </row>
    <row r="66" spans="1:17" s="39" customFormat="1" ht="30" customHeight="1" x14ac:dyDescent="0.25">
      <c r="A66" s="36">
        <f>+A65+1</f>
        <v>36</v>
      </c>
      <c r="B66" s="108" t="s">
        <v>288</v>
      </c>
      <c r="C66" s="36" t="s">
        <v>422</v>
      </c>
      <c r="D66" s="109" t="s">
        <v>51</v>
      </c>
      <c r="E66" s="108" t="s">
        <v>121</v>
      </c>
      <c r="F66" s="110">
        <v>80000</v>
      </c>
      <c r="G66" s="110">
        <f>F66*2.87%</f>
        <v>2296</v>
      </c>
      <c r="H66" s="82">
        <f>+F66*3.04%</f>
        <v>2432</v>
      </c>
      <c r="I66" s="82"/>
      <c r="J66" s="77">
        <f t="shared" si="1"/>
        <v>4728</v>
      </c>
      <c r="K66" s="77">
        <f t="shared" si="7"/>
        <v>75272</v>
      </c>
      <c r="L66" s="77">
        <f t="shared" si="29"/>
        <v>7400.9372916666662</v>
      </c>
      <c r="M66" s="77"/>
      <c r="N66" s="84">
        <v>11440</v>
      </c>
      <c r="O66" s="107">
        <f t="shared" si="5"/>
        <v>23568.937291666665</v>
      </c>
      <c r="P66" s="78">
        <f>+F66-O66</f>
        <v>56431.062708333338</v>
      </c>
    </row>
    <row r="67" spans="1:17" s="40" customFormat="1" ht="30" customHeight="1" x14ac:dyDescent="0.25">
      <c r="A67" s="208" t="s">
        <v>125</v>
      </c>
      <c r="B67" s="209"/>
      <c r="C67" s="209"/>
      <c r="D67" s="209"/>
      <c r="E67" s="210"/>
      <c r="F67" s="37">
        <f>SUM(F64:F66)</f>
        <v>284000</v>
      </c>
      <c r="G67" s="37">
        <f t="shared" ref="F67:P67" si="30">SUM(G64:G66)</f>
        <v>8150.8</v>
      </c>
      <c r="H67" s="37">
        <f t="shared" si="30"/>
        <v>8633.6</v>
      </c>
      <c r="I67" s="37">
        <f t="shared" si="30"/>
        <v>0</v>
      </c>
      <c r="J67" s="37">
        <f t="shared" si="30"/>
        <v>16784.400000000001</v>
      </c>
      <c r="K67" s="37">
        <f t="shared" si="30"/>
        <v>267215.59999999998</v>
      </c>
      <c r="L67" s="37">
        <f t="shared" si="30"/>
        <v>32552.711875000001</v>
      </c>
      <c r="M67" s="37">
        <f t="shared" si="30"/>
        <v>0</v>
      </c>
      <c r="N67" s="37">
        <f t="shared" si="30"/>
        <v>11630</v>
      </c>
      <c r="O67" s="37">
        <f t="shared" si="30"/>
        <v>60967.111875000002</v>
      </c>
      <c r="P67" s="37">
        <f t="shared" si="30"/>
        <v>223032.888125</v>
      </c>
    </row>
    <row r="68" spans="1:17" s="39" customFormat="1" ht="30" customHeight="1" thickBot="1" x14ac:dyDescent="0.3">
      <c r="A68" s="44"/>
      <c r="B68" s="42"/>
      <c r="C68" s="44"/>
      <c r="D68" s="43"/>
      <c r="E68" s="42"/>
    </row>
    <row r="69" spans="1:17" s="87" customFormat="1" ht="37.15" customHeight="1" thickBot="1" x14ac:dyDescent="0.3">
      <c r="A69" s="287" t="s">
        <v>185</v>
      </c>
      <c r="B69" s="288"/>
      <c r="C69" s="214"/>
      <c r="D69" s="214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5"/>
      <c r="Q69" s="47"/>
    </row>
    <row r="70" spans="1:17" s="53" customFormat="1" ht="30" customHeight="1" x14ac:dyDescent="0.25">
      <c r="A70" s="75">
        <f>+A66+1</f>
        <v>37</v>
      </c>
      <c r="B70" s="112" t="s">
        <v>248</v>
      </c>
      <c r="C70" s="122" t="s">
        <v>422</v>
      </c>
      <c r="D70" s="109" t="s">
        <v>249</v>
      </c>
      <c r="E70" s="108" t="s">
        <v>122</v>
      </c>
      <c r="F70" s="107">
        <v>126500</v>
      </c>
      <c r="G70" s="82">
        <f t="shared" ref="G70:G75" si="31">F70*2.87%</f>
        <v>3630.55</v>
      </c>
      <c r="H70" s="82">
        <f t="shared" ref="H70:H75" si="32">+F70*3.04%</f>
        <v>3845.6</v>
      </c>
      <c r="I70" s="82"/>
      <c r="J70" s="77">
        <f t="shared" si="1"/>
        <v>7476.15</v>
      </c>
      <c r="K70" s="77">
        <f t="shared" si="7"/>
        <v>119023.85</v>
      </c>
      <c r="L70" s="77">
        <f>+IF(K70*12&lt;=416220.01,0,IF(K70*12&lt;=624329.01,(((K70*12-416220.01)*0.15)/12),IF((K70*12&lt;=867123.01),(31216+0.2*(K70*12-624329.01))/12,((79776+0.25*(K70*12-867123.01))/12))))-M70</f>
        <v>18338.89979166667</v>
      </c>
      <c r="M70" s="77"/>
      <c r="N70" s="84">
        <v>25</v>
      </c>
      <c r="O70" s="107">
        <f t="shared" si="5"/>
        <v>25840.049791666672</v>
      </c>
      <c r="P70" s="78">
        <f t="shared" ref="P70:P75" si="33">+F70-O70</f>
        <v>100659.95020833332</v>
      </c>
      <c r="Q70" s="39"/>
    </row>
    <row r="71" spans="1:17" s="86" customFormat="1" ht="30" customHeight="1" x14ac:dyDescent="0.25">
      <c r="A71" s="122">
        <f>+A70+1</f>
        <v>38</v>
      </c>
      <c r="B71" s="108" t="s">
        <v>60</v>
      </c>
      <c r="C71" s="36" t="s">
        <v>421</v>
      </c>
      <c r="D71" s="109" t="s">
        <v>51</v>
      </c>
      <c r="E71" s="108" t="s">
        <v>122</v>
      </c>
      <c r="F71" s="110">
        <v>102000</v>
      </c>
      <c r="G71" s="110">
        <f t="shared" si="31"/>
        <v>2927.4</v>
      </c>
      <c r="H71" s="110">
        <f t="shared" si="32"/>
        <v>3100.8</v>
      </c>
      <c r="I71" s="110"/>
      <c r="J71" s="77">
        <f t="shared" si="1"/>
        <v>6028.2000000000007</v>
      </c>
      <c r="K71" s="77">
        <f t="shared" si="7"/>
        <v>95971.8</v>
      </c>
      <c r="L71" s="77">
        <f t="shared" ref="L71:L75" si="34">+IF(K71*12&lt;=416220.01,0,IF(K71*12&lt;=624329.01,(((K71*12-416220.01)*0.15)/12),IF((K71*12&lt;=867123.01),(31216+0.2*(K71*12-624329.01))/12,((79776+0.25*(K71*12-867123.01))/12))))-M71</f>
        <v>12575.887291666668</v>
      </c>
      <c r="M71" s="77"/>
      <c r="N71" s="84">
        <v>10025</v>
      </c>
      <c r="O71" s="107">
        <f t="shared" si="5"/>
        <v>28629.087291666667</v>
      </c>
      <c r="P71" s="78">
        <f t="shared" si="33"/>
        <v>73370.91270833333</v>
      </c>
      <c r="Q71" s="40"/>
    </row>
    <row r="72" spans="1:17" s="79" customFormat="1" ht="30" customHeight="1" x14ac:dyDescent="0.25">
      <c r="A72" s="122">
        <f>+A71+1</f>
        <v>39</v>
      </c>
      <c r="B72" s="108" t="s">
        <v>54</v>
      </c>
      <c r="C72" s="36" t="s">
        <v>422</v>
      </c>
      <c r="D72" s="108" t="s">
        <v>51</v>
      </c>
      <c r="E72" s="108" t="s">
        <v>122</v>
      </c>
      <c r="F72" s="110">
        <v>90000</v>
      </c>
      <c r="G72" s="110">
        <f t="shared" si="31"/>
        <v>2583</v>
      </c>
      <c r="H72" s="110">
        <f t="shared" si="32"/>
        <v>2736</v>
      </c>
      <c r="I72" s="110">
        <v>1577.45</v>
      </c>
      <c r="J72" s="77">
        <f t="shared" si="1"/>
        <v>6896.45</v>
      </c>
      <c r="K72" s="77">
        <f t="shared" si="7"/>
        <v>83103.55</v>
      </c>
      <c r="L72" s="77">
        <f t="shared" si="34"/>
        <v>9358.8247916666678</v>
      </c>
      <c r="M72" s="77"/>
      <c r="N72" s="84">
        <v>725</v>
      </c>
      <c r="O72" s="107">
        <f t="shared" si="5"/>
        <v>16980.274791666667</v>
      </c>
      <c r="P72" s="78">
        <f t="shared" si="33"/>
        <v>73019.72520833333</v>
      </c>
      <c r="Q72" s="32"/>
    </row>
    <row r="73" spans="1:17" s="86" customFormat="1" ht="30" customHeight="1" x14ac:dyDescent="0.25">
      <c r="A73" s="122">
        <f>+A72+1</f>
        <v>40</v>
      </c>
      <c r="B73" s="108" t="s">
        <v>55</v>
      </c>
      <c r="C73" s="36" t="s">
        <v>421</v>
      </c>
      <c r="D73" s="126" t="s">
        <v>51</v>
      </c>
      <c r="E73" s="108" t="s">
        <v>121</v>
      </c>
      <c r="F73" s="110">
        <v>90000</v>
      </c>
      <c r="G73" s="110">
        <f t="shared" si="31"/>
        <v>2583</v>
      </c>
      <c r="H73" s="110">
        <f t="shared" si="32"/>
        <v>2736</v>
      </c>
      <c r="I73" s="110">
        <v>1577.45</v>
      </c>
      <c r="J73" s="77">
        <f t="shared" si="1"/>
        <v>6896.45</v>
      </c>
      <c r="K73" s="77">
        <f t="shared" si="7"/>
        <v>83103.55</v>
      </c>
      <c r="L73" s="77">
        <f t="shared" si="34"/>
        <v>9358.8247916666678</v>
      </c>
      <c r="M73" s="77"/>
      <c r="N73" s="84">
        <v>2125</v>
      </c>
      <c r="O73" s="107">
        <f t="shared" si="5"/>
        <v>18380.27479166667</v>
      </c>
      <c r="P73" s="78">
        <f t="shared" si="33"/>
        <v>71619.72520833333</v>
      </c>
      <c r="Q73" s="40"/>
    </row>
    <row r="74" spans="1:17" s="53" customFormat="1" ht="30" customHeight="1" x14ac:dyDescent="0.25">
      <c r="A74" s="122">
        <f>+A73+1</f>
        <v>41</v>
      </c>
      <c r="B74" s="108" t="s">
        <v>68</v>
      </c>
      <c r="C74" s="36" t="s">
        <v>422</v>
      </c>
      <c r="D74" s="109" t="s">
        <v>51</v>
      </c>
      <c r="E74" s="108" t="s">
        <v>122</v>
      </c>
      <c r="F74" s="110">
        <v>90000</v>
      </c>
      <c r="G74" s="110">
        <f t="shared" si="31"/>
        <v>2583</v>
      </c>
      <c r="H74" s="110">
        <f t="shared" si="32"/>
        <v>2736</v>
      </c>
      <c r="I74" s="110"/>
      <c r="J74" s="77">
        <f t="shared" si="1"/>
        <v>5319</v>
      </c>
      <c r="K74" s="77">
        <f t="shared" si="7"/>
        <v>84681</v>
      </c>
      <c r="L74" s="77">
        <f t="shared" si="34"/>
        <v>9753.1872916666671</v>
      </c>
      <c r="M74" s="77"/>
      <c r="N74" s="84">
        <v>1125</v>
      </c>
      <c r="O74" s="107">
        <f t="shared" si="5"/>
        <v>16197.187291666667</v>
      </c>
      <c r="P74" s="78">
        <f t="shared" si="33"/>
        <v>73802.812708333338</v>
      </c>
      <c r="Q74" s="39"/>
    </row>
    <row r="75" spans="1:17" s="39" customFormat="1" ht="25.5" customHeight="1" x14ac:dyDescent="0.25">
      <c r="A75" s="122">
        <f>+A74+1</f>
        <v>42</v>
      </c>
      <c r="B75" s="108" t="s">
        <v>250</v>
      </c>
      <c r="C75" s="36" t="s">
        <v>421</v>
      </c>
      <c r="D75" s="109" t="s">
        <v>51</v>
      </c>
      <c r="E75" s="108" t="s">
        <v>121</v>
      </c>
      <c r="F75" s="110">
        <v>80000</v>
      </c>
      <c r="G75" s="110">
        <f t="shared" si="31"/>
        <v>2296</v>
      </c>
      <c r="H75" s="110">
        <f t="shared" si="32"/>
        <v>2432</v>
      </c>
      <c r="I75" s="39">
        <v>3154.9</v>
      </c>
      <c r="J75" s="77">
        <f t="shared" si="1"/>
        <v>7882.9</v>
      </c>
      <c r="K75" s="77">
        <f t="shared" si="7"/>
        <v>72117.100000000006</v>
      </c>
      <c r="L75" s="77">
        <f t="shared" si="34"/>
        <v>6619.2698333333346</v>
      </c>
      <c r="M75" s="77"/>
      <c r="N75" s="84">
        <v>2025</v>
      </c>
      <c r="O75" s="107">
        <f t="shared" si="5"/>
        <v>16527.169833333333</v>
      </c>
      <c r="P75" s="78">
        <f t="shared" si="33"/>
        <v>63472.830166666667</v>
      </c>
    </row>
    <row r="76" spans="1:17" s="39" customFormat="1" ht="30" customHeight="1" thickBot="1" x14ac:dyDescent="0.3">
      <c r="A76" s="208" t="s">
        <v>125</v>
      </c>
      <c r="B76" s="209"/>
      <c r="C76" s="209"/>
      <c r="D76" s="209"/>
      <c r="E76" s="210"/>
      <c r="F76" s="37">
        <f>SUM(F70:F75)</f>
        <v>578500</v>
      </c>
      <c r="G76" s="37">
        <f t="shared" ref="F76:P76" si="35">SUM(G70:G75)</f>
        <v>16602.95</v>
      </c>
      <c r="H76" s="37">
        <f t="shared" si="35"/>
        <v>17586.400000000001</v>
      </c>
      <c r="I76" s="37">
        <f t="shared" si="35"/>
        <v>6309.8</v>
      </c>
      <c r="J76" s="37">
        <f t="shared" si="35"/>
        <v>40499.15</v>
      </c>
      <c r="K76" s="37">
        <f t="shared" si="35"/>
        <v>538000.85</v>
      </c>
      <c r="L76" s="37">
        <f t="shared" si="35"/>
        <v>66004.893791666676</v>
      </c>
      <c r="M76" s="37">
        <f t="shared" si="35"/>
        <v>0</v>
      </c>
      <c r="N76" s="37">
        <f t="shared" si="35"/>
        <v>16050</v>
      </c>
      <c r="O76" s="37">
        <f t="shared" si="35"/>
        <v>122554.04379166667</v>
      </c>
      <c r="P76" s="37">
        <f t="shared" si="35"/>
        <v>455945.95620833337</v>
      </c>
    </row>
    <row r="77" spans="1:17" s="53" customFormat="1" ht="30" customHeight="1" thickBot="1" x14ac:dyDescent="0.3">
      <c r="A77" s="287" t="s">
        <v>159</v>
      </c>
      <c r="B77" s="288"/>
      <c r="C77" s="288"/>
      <c r="D77" s="214"/>
      <c r="E77" s="214"/>
      <c r="F77" s="214"/>
      <c r="G77" s="214"/>
      <c r="H77" s="214"/>
      <c r="I77" s="214"/>
      <c r="J77" s="214"/>
      <c r="K77" s="214"/>
      <c r="L77" s="214"/>
      <c r="M77" s="214"/>
      <c r="N77" s="247"/>
      <c r="O77" s="214"/>
      <c r="P77" s="214"/>
      <c r="Q77" s="39"/>
    </row>
    <row r="78" spans="1:17" s="53" customFormat="1" ht="30" customHeight="1" x14ac:dyDescent="0.25">
      <c r="A78" s="75">
        <f>+A75+1</f>
        <v>43</v>
      </c>
      <c r="B78" s="76" t="s">
        <v>62</v>
      </c>
      <c r="C78" s="75" t="s">
        <v>422</v>
      </c>
      <c r="D78" s="85" t="s">
        <v>186</v>
      </c>
      <c r="E78" s="81" t="s">
        <v>122</v>
      </c>
      <c r="F78" s="77">
        <v>138000</v>
      </c>
      <c r="G78" s="82">
        <f>F78*2.87%</f>
        <v>3960.6</v>
      </c>
      <c r="H78" s="82">
        <f>+F78*3.04%</f>
        <v>4195.2</v>
      </c>
      <c r="I78" s="77"/>
      <c r="J78" s="77">
        <f t="shared" ref="J78:J132" si="36">+G78+H78+I78</f>
        <v>8155.7999999999993</v>
      </c>
      <c r="K78" s="77">
        <f t="shared" si="7"/>
        <v>129844.2</v>
      </c>
      <c r="L78" s="77">
        <f t="shared" si="15"/>
        <v>21043.987291666665</v>
      </c>
      <c r="M78" s="77"/>
      <c r="N78" s="84">
        <v>14564.03</v>
      </c>
      <c r="O78" s="107">
        <f t="shared" ref="O78:O137" si="37">+N78+I78+H78+G78+L78</f>
        <v>43763.817291666666</v>
      </c>
      <c r="P78" s="111">
        <f>+F78-O78</f>
        <v>94236.182708333334</v>
      </c>
      <c r="Q78" s="39"/>
    </row>
    <row r="79" spans="1:17" s="39" customFormat="1" ht="30" customHeight="1" x14ac:dyDescent="0.25">
      <c r="A79" s="80">
        <f>+A78+1</f>
        <v>44</v>
      </c>
      <c r="B79" s="108" t="s">
        <v>61</v>
      </c>
      <c r="C79" s="36" t="s">
        <v>422</v>
      </c>
      <c r="D79" s="109" t="s">
        <v>94</v>
      </c>
      <c r="E79" s="108" t="s">
        <v>121</v>
      </c>
      <c r="F79" s="110">
        <v>60000</v>
      </c>
      <c r="G79" s="110">
        <f>F79*2.87%</f>
        <v>1722</v>
      </c>
      <c r="H79" s="82">
        <f>+F79*3.04%</f>
        <v>1824</v>
      </c>
      <c r="I79" s="82"/>
      <c r="J79" s="77">
        <f t="shared" si="36"/>
        <v>3546</v>
      </c>
      <c r="K79" s="77">
        <f t="shared" si="7"/>
        <v>56454</v>
      </c>
      <c r="L79" s="77">
        <f>+IF(K79*12&lt;=416220.01,0,IF(K79*12&lt;=624329.01,(((K79*12-416220.01)*0.15)/12),IF((K79*12&lt;=867123.01),(31216+0.2*(K79*12-624329.01))/12,((79776+0.25*(K79*12-867123.01))/12))))-M79</f>
        <v>3486.6498333333329</v>
      </c>
      <c r="M79" s="77"/>
      <c r="N79" s="78">
        <v>125</v>
      </c>
      <c r="O79" s="107">
        <f t="shared" si="37"/>
        <v>7157.6498333333329</v>
      </c>
      <c r="P79" s="78">
        <f>+F79-O79</f>
        <v>52842.350166666671</v>
      </c>
    </row>
    <row r="80" spans="1:17" s="40" customFormat="1" ht="30" customHeight="1" x14ac:dyDescent="0.25">
      <c r="A80" s="208" t="s">
        <v>125</v>
      </c>
      <c r="B80" s="209"/>
      <c r="C80" s="209"/>
      <c r="D80" s="209"/>
      <c r="E80" s="210"/>
      <c r="F80" s="37">
        <f>SUM(F78:F79)</f>
        <v>198000</v>
      </c>
      <c r="G80" s="37">
        <f t="shared" ref="F80:P80" si="38">SUM(G78:G79)</f>
        <v>5682.6</v>
      </c>
      <c r="H80" s="37">
        <f t="shared" si="38"/>
        <v>6019.2</v>
      </c>
      <c r="I80" s="37">
        <f t="shared" si="38"/>
        <v>0</v>
      </c>
      <c r="J80" s="37">
        <f t="shared" si="38"/>
        <v>11701.8</v>
      </c>
      <c r="K80" s="37">
        <f t="shared" si="38"/>
        <v>186298.2</v>
      </c>
      <c r="L80" s="37">
        <f t="shared" si="38"/>
        <v>24530.637124999997</v>
      </c>
      <c r="M80" s="37">
        <f t="shared" si="38"/>
        <v>0</v>
      </c>
      <c r="N80" s="37">
        <f t="shared" si="38"/>
        <v>14689.03</v>
      </c>
      <c r="O80" s="37">
        <f t="shared" si="38"/>
        <v>50921.467124999996</v>
      </c>
      <c r="P80" s="37">
        <f t="shared" si="38"/>
        <v>147078.532875</v>
      </c>
    </row>
    <row r="81" spans="1:17" s="39" customFormat="1" ht="30" customHeight="1" thickBot="1" x14ac:dyDescent="0.3">
      <c r="A81" s="44"/>
      <c r="B81" s="42"/>
      <c r="C81" s="44"/>
      <c r="D81" s="42"/>
      <c r="E81" s="42"/>
    </row>
    <row r="82" spans="1:17" s="39" customFormat="1" ht="30" customHeight="1" thickBot="1" x14ac:dyDescent="0.3">
      <c r="A82" s="287" t="s">
        <v>160</v>
      </c>
      <c r="B82" s="288"/>
      <c r="C82" s="288"/>
      <c r="D82" s="288"/>
      <c r="E82" s="214"/>
      <c r="F82" s="214"/>
      <c r="G82" s="214"/>
      <c r="H82" s="214"/>
      <c r="I82" s="214"/>
      <c r="J82" s="214"/>
      <c r="K82" s="214"/>
      <c r="L82" s="214"/>
      <c r="M82" s="214"/>
      <c r="N82" s="214"/>
      <c r="O82" s="214"/>
      <c r="P82" s="214"/>
    </row>
    <row r="83" spans="1:17" s="39" customFormat="1" ht="30" customHeight="1" x14ac:dyDescent="0.25">
      <c r="A83" s="80">
        <f>+A79+1</f>
        <v>45</v>
      </c>
      <c r="B83" s="108" t="s">
        <v>276</v>
      </c>
      <c r="C83" s="36" t="s">
        <v>422</v>
      </c>
      <c r="D83" s="108" t="s">
        <v>51</v>
      </c>
      <c r="E83" s="108" t="s">
        <v>121</v>
      </c>
      <c r="F83" s="110">
        <v>90000</v>
      </c>
      <c r="G83" s="110">
        <f>F83*2.87%</f>
        <v>2583</v>
      </c>
      <c r="H83" s="110">
        <f>+F83*3.04%</f>
        <v>2736</v>
      </c>
      <c r="I83" s="110">
        <v>1577.45</v>
      </c>
      <c r="J83" s="77">
        <f t="shared" si="36"/>
        <v>6896.45</v>
      </c>
      <c r="K83" s="77">
        <f t="shared" ref="K83:K140" si="39">+F83-J83</f>
        <v>83103.55</v>
      </c>
      <c r="L83" s="77">
        <f>+IF(K83*12&lt;=416220.01,0,IF(K83*12&lt;=624329.01,(((K83*12-416220.01)*0.15)/12),IF((K83*12&lt;=867123.01),(31216+0.2*(K83*12-624329.01))/12,((79776+0.25*(K83*12-867123.01))/12))))-M83</f>
        <v>9358.8247916666678</v>
      </c>
      <c r="M83" s="77"/>
      <c r="N83" s="84">
        <v>3598.84</v>
      </c>
      <c r="O83" s="107">
        <f t="shared" si="37"/>
        <v>19854.114791666667</v>
      </c>
      <c r="P83" s="78">
        <f>+F83-O83</f>
        <v>70145.885208333333</v>
      </c>
    </row>
    <row r="84" spans="1:17" s="39" customFormat="1" ht="30" customHeight="1" x14ac:dyDescent="0.25">
      <c r="A84" s="80">
        <f>+A83+1</f>
        <v>46</v>
      </c>
      <c r="B84" s="108" t="s">
        <v>580</v>
      </c>
      <c r="C84" s="36" t="s">
        <v>422</v>
      </c>
      <c r="D84" s="108" t="s">
        <v>51</v>
      </c>
      <c r="E84" s="108" t="s">
        <v>121</v>
      </c>
      <c r="F84" s="110">
        <v>102000</v>
      </c>
      <c r="G84" s="77">
        <f>F84*2.87%</f>
        <v>2927.4</v>
      </c>
      <c r="H84" s="77">
        <f>+F84*3.04%</f>
        <v>3100.8</v>
      </c>
      <c r="I84" s="77">
        <v>1577.45</v>
      </c>
      <c r="J84" s="77">
        <f t="shared" si="36"/>
        <v>7605.6500000000005</v>
      </c>
      <c r="K84" s="77">
        <f t="shared" si="39"/>
        <v>94394.35</v>
      </c>
      <c r="L84" s="77">
        <f t="shared" ref="L84:L85" si="40">+IF(K84*12&lt;=416220.01,0,IF(K84*12&lt;=624329.01,(((K84*12-416220.01)*0.15)/12),IF((K84*12&lt;=867123.01),(31216+0.2*(K84*12-624329.01))/12,((79776+0.25*(K84*12-867123.01))/12))))-M84</f>
        <v>12181.52479166667</v>
      </c>
      <c r="M84" s="77">
        <v>0</v>
      </c>
      <c r="N84" s="78">
        <v>25</v>
      </c>
      <c r="O84" s="107">
        <f t="shared" si="37"/>
        <v>19812.174791666672</v>
      </c>
      <c r="P84" s="78">
        <f>+F84-O84</f>
        <v>82187.825208333321</v>
      </c>
    </row>
    <row r="85" spans="1:17" s="39" customFormat="1" ht="30" customHeight="1" x14ac:dyDescent="0.25">
      <c r="A85" s="80">
        <f>+A84+1</f>
        <v>47</v>
      </c>
      <c r="B85" s="108" t="s">
        <v>473</v>
      </c>
      <c r="C85" s="36" t="s">
        <v>421</v>
      </c>
      <c r="D85" s="108" t="s">
        <v>51</v>
      </c>
      <c r="E85" s="108" t="s">
        <v>676</v>
      </c>
      <c r="F85" s="110">
        <v>70000</v>
      </c>
      <c r="G85" s="77">
        <f>F85*2.87%</f>
        <v>2009</v>
      </c>
      <c r="H85" s="77">
        <f>+F85*3.04%</f>
        <v>2128</v>
      </c>
      <c r="I85" s="77"/>
      <c r="J85" s="77">
        <f t="shared" si="36"/>
        <v>4137</v>
      </c>
      <c r="K85" s="77">
        <f t="shared" si="39"/>
        <v>65863</v>
      </c>
      <c r="L85" s="77">
        <f t="shared" si="40"/>
        <v>5368.4498333333331</v>
      </c>
      <c r="M85" s="77"/>
      <c r="N85" s="78">
        <v>125</v>
      </c>
      <c r="O85" s="107">
        <f t="shared" si="37"/>
        <v>9630.4498333333322</v>
      </c>
      <c r="P85" s="78">
        <f>+F85-O85</f>
        <v>60369.550166666668</v>
      </c>
    </row>
    <row r="86" spans="1:17" s="39" customFormat="1" ht="25.5" customHeight="1" x14ac:dyDescent="0.25">
      <c r="A86" s="208" t="s">
        <v>125</v>
      </c>
      <c r="B86" s="209"/>
      <c r="C86" s="209"/>
      <c r="D86" s="209"/>
      <c r="E86" s="210"/>
      <c r="F86" s="37">
        <f>SUM(F83:F85)</f>
        <v>262000</v>
      </c>
      <c r="G86" s="37">
        <f t="shared" ref="G86:P86" si="41">SUM(G83:G85)</f>
        <v>7519.4</v>
      </c>
      <c r="H86" s="37">
        <f t="shared" si="41"/>
        <v>7964.8</v>
      </c>
      <c r="I86" s="37">
        <f t="shared" si="41"/>
        <v>3154.9</v>
      </c>
      <c r="J86" s="37">
        <f t="shared" si="41"/>
        <v>18639.099999999999</v>
      </c>
      <c r="K86" s="37">
        <f t="shared" si="41"/>
        <v>243360.90000000002</v>
      </c>
      <c r="L86" s="37">
        <f t="shared" si="41"/>
        <v>26908.799416666669</v>
      </c>
      <c r="M86" s="37">
        <f t="shared" si="41"/>
        <v>0</v>
      </c>
      <c r="N86" s="37">
        <f t="shared" si="41"/>
        <v>3748.84</v>
      </c>
      <c r="O86" s="37">
        <f t="shared" si="41"/>
        <v>49296.739416666671</v>
      </c>
      <c r="P86" s="37">
        <f t="shared" si="41"/>
        <v>212703.26058333332</v>
      </c>
    </row>
    <row r="87" spans="1:17" s="39" customFormat="1" ht="30" customHeight="1" thickBot="1" x14ac:dyDescent="0.3">
      <c r="A87" s="44"/>
      <c r="B87" s="42"/>
      <c r="C87" s="44"/>
      <c r="D87" s="43"/>
      <c r="E87" s="42"/>
    </row>
    <row r="88" spans="1:17" s="31" customFormat="1" ht="30" customHeight="1" thickBot="1" x14ac:dyDescent="0.3">
      <c r="A88" s="287" t="s">
        <v>161</v>
      </c>
      <c r="B88" s="288"/>
      <c r="C88" s="288"/>
      <c r="D88" s="288"/>
      <c r="E88" s="214"/>
      <c r="F88" s="214"/>
      <c r="G88" s="214"/>
      <c r="H88" s="214"/>
      <c r="I88" s="214"/>
      <c r="J88" s="214"/>
      <c r="K88" s="214"/>
      <c r="L88" s="214"/>
      <c r="M88" s="214"/>
      <c r="N88" s="214"/>
      <c r="O88" s="214"/>
      <c r="P88" s="214"/>
      <c r="Q88" s="124"/>
    </row>
    <row r="89" spans="1:17" s="53" customFormat="1" ht="30" customHeight="1" x14ac:dyDescent="0.25">
      <c r="A89" s="75">
        <f>A85+1</f>
        <v>48</v>
      </c>
      <c r="B89" s="166" t="s">
        <v>78</v>
      </c>
      <c r="C89" s="167" t="s">
        <v>422</v>
      </c>
      <c r="D89" s="108" t="s">
        <v>51</v>
      </c>
      <c r="E89" s="108" t="s">
        <v>121</v>
      </c>
      <c r="F89" s="168">
        <v>90000</v>
      </c>
      <c r="G89" s="110">
        <f>F89*2.87%</f>
        <v>2583</v>
      </c>
      <c r="H89" s="82">
        <f>+F89*3.04%</f>
        <v>2736</v>
      </c>
      <c r="I89" s="82">
        <v>1577.45</v>
      </c>
      <c r="J89" s="77">
        <f t="shared" si="36"/>
        <v>6896.45</v>
      </c>
      <c r="K89" s="77">
        <f t="shared" si="39"/>
        <v>83103.55</v>
      </c>
      <c r="L89" s="77">
        <f>+IF(K89*12&lt;=416220.01,0,IF(K89*12&lt;=624329.01,(((K89*12-416220.01)*0.15)/12),IF((K89*12&lt;=867123.01),(31216+0.2*(K89*12-624329.01))/12,((79776+0.25*(K89*12-867123.01))/12))))-M89</f>
        <v>9358.8247916666678</v>
      </c>
      <c r="M89" s="77"/>
      <c r="N89" s="84">
        <v>1525</v>
      </c>
      <c r="O89" s="107">
        <f t="shared" si="37"/>
        <v>17780.27479166667</v>
      </c>
      <c r="P89" s="78">
        <f>+F89-O89</f>
        <v>72219.72520833333</v>
      </c>
      <c r="Q89" s="39"/>
    </row>
    <row r="90" spans="1:17" s="53" customFormat="1" ht="30" customHeight="1" x14ac:dyDescent="0.25">
      <c r="A90" s="80">
        <f>+A89+1</f>
        <v>49</v>
      </c>
      <c r="B90" s="108" t="s">
        <v>162</v>
      </c>
      <c r="C90" s="36" t="s">
        <v>422</v>
      </c>
      <c r="D90" s="109" t="s">
        <v>51</v>
      </c>
      <c r="E90" s="108" t="s">
        <v>122</v>
      </c>
      <c r="F90" s="110">
        <v>90000</v>
      </c>
      <c r="G90" s="110">
        <f>F90*2.87%</f>
        <v>2583</v>
      </c>
      <c r="H90" s="82">
        <f>+F90*3.04%</f>
        <v>2736</v>
      </c>
      <c r="I90" s="82">
        <v>3154.9</v>
      </c>
      <c r="J90" s="77">
        <f t="shared" si="36"/>
        <v>8473.9</v>
      </c>
      <c r="K90" s="77">
        <f t="shared" si="39"/>
        <v>81526.100000000006</v>
      </c>
      <c r="L90" s="77">
        <f t="shared" ref="L90:L91" si="42">+IF(K90*12&lt;=416220.01,0,IF(K90*12&lt;=624329.01,(((K90*12-416220.01)*0.15)/12),IF((K90*12&lt;=867123.01),(31216+0.2*(K90*12-624329.01))/12,((79776+0.25*(K90*12-867123.01))/12))))-M90</f>
        <v>8964.4622916666685</v>
      </c>
      <c r="M90" s="77"/>
      <c r="N90" s="84">
        <v>4478.07</v>
      </c>
      <c r="O90" s="107">
        <f t="shared" si="37"/>
        <v>21916.432291666668</v>
      </c>
      <c r="P90" s="78">
        <f>+F90-O90</f>
        <v>68083.567708333328</v>
      </c>
      <c r="Q90" s="39"/>
    </row>
    <row r="91" spans="1:17" s="39" customFormat="1" ht="30" customHeight="1" x14ac:dyDescent="0.25">
      <c r="A91" s="80">
        <f>A90+1</f>
        <v>50</v>
      </c>
      <c r="B91" s="81" t="s">
        <v>266</v>
      </c>
      <c r="C91" s="80" t="s">
        <v>422</v>
      </c>
      <c r="D91" s="85" t="s">
        <v>51</v>
      </c>
      <c r="E91" s="81" t="s">
        <v>121</v>
      </c>
      <c r="F91" s="82">
        <v>90000</v>
      </c>
      <c r="G91" s="82">
        <f>F91*2.87%</f>
        <v>2583</v>
      </c>
      <c r="H91" s="82">
        <f>+F91*3.04%</f>
        <v>2736</v>
      </c>
      <c r="I91" s="82">
        <v>1577.45</v>
      </c>
      <c r="J91" s="77">
        <f t="shared" si="36"/>
        <v>6896.45</v>
      </c>
      <c r="K91" s="77">
        <f t="shared" si="39"/>
        <v>83103.55</v>
      </c>
      <c r="L91" s="77">
        <f t="shared" si="42"/>
        <v>9358.8247916666678</v>
      </c>
      <c r="M91" s="77"/>
      <c r="N91" s="84">
        <v>7883.21</v>
      </c>
      <c r="O91" s="107">
        <f t="shared" si="37"/>
        <v>24138.484791666669</v>
      </c>
      <c r="P91" s="78">
        <f>+F91-O91</f>
        <v>65861.515208333323</v>
      </c>
    </row>
    <row r="92" spans="1:17" s="39" customFormat="1" ht="30" customHeight="1" x14ac:dyDescent="0.25">
      <c r="A92" s="208" t="s">
        <v>125</v>
      </c>
      <c r="B92" s="209"/>
      <c r="C92" s="209"/>
      <c r="D92" s="209"/>
      <c r="E92" s="210"/>
      <c r="F92" s="37">
        <f>SUM(F89:F91)</f>
        <v>270000</v>
      </c>
      <c r="G92" s="37">
        <f t="shared" ref="F92:P92" si="43">SUM(G89:G91)</f>
        <v>7749</v>
      </c>
      <c r="H92" s="37">
        <f t="shared" si="43"/>
        <v>8208</v>
      </c>
      <c r="I92" s="37">
        <f t="shared" si="43"/>
        <v>6309.8</v>
      </c>
      <c r="J92" s="37">
        <f t="shared" si="43"/>
        <v>22266.799999999999</v>
      </c>
      <c r="K92" s="37">
        <f t="shared" si="43"/>
        <v>247733.2</v>
      </c>
      <c r="L92" s="37">
        <f t="shared" si="43"/>
        <v>27682.111875000002</v>
      </c>
      <c r="M92" s="37">
        <f t="shared" si="43"/>
        <v>0</v>
      </c>
      <c r="N92" s="37">
        <f t="shared" si="43"/>
        <v>13886.279999999999</v>
      </c>
      <c r="O92" s="37">
        <f t="shared" si="43"/>
        <v>63835.191875000011</v>
      </c>
      <c r="P92" s="37">
        <f t="shared" si="43"/>
        <v>206164.80812499998</v>
      </c>
    </row>
    <row r="93" spans="1:17" s="39" customFormat="1" ht="30" customHeight="1" thickBot="1" x14ac:dyDescent="0.3">
      <c r="A93" s="44"/>
      <c r="B93" s="42"/>
      <c r="C93" s="44"/>
      <c r="D93" s="43"/>
      <c r="E93" s="42"/>
    </row>
    <row r="94" spans="1:17" s="87" customFormat="1" ht="30" customHeight="1" thickBot="1" x14ac:dyDescent="0.3">
      <c r="A94" s="287" t="s">
        <v>163</v>
      </c>
      <c r="B94" s="288"/>
      <c r="C94" s="288"/>
      <c r="D94" s="288"/>
      <c r="E94" s="214"/>
      <c r="F94" s="214"/>
      <c r="G94" s="214"/>
      <c r="H94" s="214"/>
      <c r="I94" s="214"/>
      <c r="J94" s="214"/>
      <c r="K94" s="214"/>
      <c r="L94" s="214"/>
      <c r="M94" s="214"/>
      <c r="N94" s="214"/>
      <c r="O94" s="214"/>
      <c r="P94" s="214"/>
      <c r="Q94" s="47"/>
    </row>
    <row r="95" spans="1:17" s="53" customFormat="1" ht="30" customHeight="1" x14ac:dyDescent="0.25">
      <c r="A95" s="75">
        <f>+A91+1</f>
        <v>51</v>
      </c>
      <c r="B95" s="108" t="s">
        <v>255</v>
      </c>
      <c r="C95" s="36" t="s">
        <v>422</v>
      </c>
      <c r="D95" s="109" t="s">
        <v>51</v>
      </c>
      <c r="E95" s="108" t="s">
        <v>121</v>
      </c>
      <c r="F95" s="110">
        <v>90000</v>
      </c>
      <c r="G95" s="110">
        <f>F95*2.87%</f>
        <v>2583</v>
      </c>
      <c r="H95" s="110">
        <f>+F95*3.04%</f>
        <v>2736</v>
      </c>
      <c r="I95" s="110"/>
      <c r="J95" s="77">
        <f t="shared" si="36"/>
        <v>5319</v>
      </c>
      <c r="K95" s="77">
        <f t="shared" si="39"/>
        <v>84681</v>
      </c>
      <c r="L95" s="77">
        <f>+IF(K95*12&lt;=416220.01,0,IF(K95*12&lt;=624329.01,(((K95*12-416220.01)*0.15)/12),IF((K95*12&lt;=867123.01),(31216+0.2*(K95*12-624329.01))/12,((79776+0.25*(K95*12-867123.01))/12))))-M95</f>
        <v>9753.1872916666671</v>
      </c>
      <c r="M95" s="77"/>
      <c r="N95" s="84">
        <v>15839.83</v>
      </c>
      <c r="O95" s="107">
        <f t="shared" si="37"/>
        <v>30912.017291666671</v>
      </c>
      <c r="P95" s="78">
        <f>+F95-O95</f>
        <v>59087.982708333329</v>
      </c>
      <c r="Q95" s="39"/>
    </row>
    <row r="96" spans="1:17" s="86" customFormat="1" ht="30" customHeight="1" x14ac:dyDescent="0.25">
      <c r="A96" s="80">
        <f>+A95+1</f>
        <v>52</v>
      </c>
      <c r="B96" s="81" t="s">
        <v>253</v>
      </c>
      <c r="C96" s="80" t="s">
        <v>422</v>
      </c>
      <c r="D96" s="85" t="s">
        <v>51</v>
      </c>
      <c r="E96" s="81" t="s">
        <v>121</v>
      </c>
      <c r="F96" s="82">
        <v>85000</v>
      </c>
      <c r="G96" s="82">
        <v>2439.5</v>
      </c>
      <c r="H96" s="82">
        <v>2584</v>
      </c>
      <c r="I96" s="82"/>
      <c r="J96" s="77">
        <f t="shared" si="36"/>
        <v>5023.5</v>
      </c>
      <c r="K96" s="77">
        <f t="shared" si="39"/>
        <v>79976.5</v>
      </c>
      <c r="L96" s="77">
        <f t="shared" ref="L96:L98" si="44">+IF(K96*12&lt;=416220.01,0,IF(K96*12&lt;=624329.01,(((K96*12-416220.01)*0.15)/12),IF((K96*12&lt;=867123.01),(31216+0.2*(K96*12-624329.01))/12,((79776+0.25*(K96*12-867123.01))/12))))-M96</f>
        <v>8577.0622916666671</v>
      </c>
      <c r="M96" s="77"/>
      <c r="N96" s="84">
        <v>2044.96</v>
      </c>
      <c r="O96" s="107">
        <f t="shared" si="37"/>
        <v>15645.522291666668</v>
      </c>
      <c r="P96" s="78">
        <f>+F96-O96</f>
        <v>69354.477708333332</v>
      </c>
      <c r="Q96" s="40"/>
    </row>
    <row r="97" spans="1:17" s="39" customFormat="1" ht="30" customHeight="1" x14ac:dyDescent="0.25">
      <c r="A97" s="75">
        <f>+A96+1</f>
        <v>53</v>
      </c>
      <c r="B97" s="108" t="s">
        <v>80</v>
      </c>
      <c r="C97" s="36" t="s">
        <v>421</v>
      </c>
      <c r="D97" s="109" t="s">
        <v>51</v>
      </c>
      <c r="E97" s="108" t="s">
        <v>121</v>
      </c>
      <c r="F97" s="110">
        <v>80000</v>
      </c>
      <c r="G97" s="110">
        <f>F97*2.87%</f>
        <v>2296</v>
      </c>
      <c r="H97" s="110">
        <f>+F97*3.04%</f>
        <v>2432</v>
      </c>
      <c r="I97" s="110"/>
      <c r="J97" s="77">
        <f t="shared" si="36"/>
        <v>4728</v>
      </c>
      <c r="K97" s="77">
        <f t="shared" si="39"/>
        <v>75272</v>
      </c>
      <c r="L97" s="77">
        <f t="shared" si="44"/>
        <v>7400.9372916666662</v>
      </c>
      <c r="M97" s="77"/>
      <c r="N97" s="84">
        <f>1922.84+25</f>
        <v>1947.84</v>
      </c>
      <c r="O97" s="107">
        <f t="shared" si="37"/>
        <v>14076.777291666665</v>
      </c>
      <c r="P97" s="78">
        <f>+F97-O97</f>
        <v>65923.222708333342</v>
      </c>
    </row>
    <row r="98" spans="1:17" ht="30" customHeight="1" x14ac:dyDescent="0.25">
      <c r="A98" s="75">
        <f>+A97+1</f>
        <v>54</v>
      </c>
      <c r="B98" s="108" t="s">
        <v>89</v>
      </c>
      <c r="C98" s="36" t="s">
        <v>422</v>
      </c>
      <c r="D98" s="109" t="s">
        <v>51</v>
      </c>
      <c r="E98" s="108" t="s">
        <v>122</v>
      </c>
      <c r="F98" s="168">
        <v>80000</v>
      </c>
      <c r="G98" s="110">
        <f>F98*2.87%</f>
        <v>2296</v>
      </c>
      <c r="H98" s="110">
        <f>+F98*3.04%</f>
        <v>2432</v>
      </c>
      <c r="I98" s="110">
        <v>1577.45</v>
      </c>
      <c r="J98" s="77">
        <f t="shared" si="36"/>
        <v>6305.45</v>
      </c>
      <c r="K98" s="77">
        <f t="shared" si="39"/>
        <v>73694.55</v>
      </c>
      <c r="L98" s="77">
        <f t="shared" si="44"/>
        <v>7006.5747916666687</v>
      </c>
      <c r="M98" s="77"/>
      <c r="N98" s="84">
        <v>13010.98</v>
      </c>
      <c r="O98" s="107">
        <f t="shared" si="37"/>
        <v>26323.00479166667</v>
      </c>
      <c r="P98" s="78">
        <f>+F98-O98</f>
        <v>53676.995208333334</v>
      </c>
    </row>
    <row r="99" spans="1:17" s="39" customFormat="1" ht="30" customHeight="1" x14ac:dyDescent="0.25">
      <c r="A99" s="208" t="s">
        <v>125</v>
      </c>
      <c r="B99" s="209"/>
      <c r="C99" s="209"/>
      <c r="D99" s="209"/>
      <c r="E99" s="210"/>
      <c r="F99" s="37">
        <f>SUM(F95:F98)</f>
        <v>335000</v>
      </c>
      <c r="G99" s="37">
        <f t="shared" ref="G99:P99" si="45">SUM(G95:G98)</f>
        <v>9614.5</v>
      </c>
      <c r="H99" s="37">
        <f t="shared" si="45"/>
        <v>10184</v>
      </c>
      <c r="I99" s="37">
        <f t="shared" si="45"/>
        <v>1577.45</v>
      </c>
      <c r="J99" s="37">
        <f t="shared" si="45"/>
        <v>21375.95</v>
      </c>
      <c r="K99" s="37">
        <f t="shared" si="45"/>
        <v>313624.05</v>
      </c>
      <c r="L99" s="37">
        <f t="shared" si="45"/>
        <v>32737.761666666669</v>
      </c>
      <c r="M99" s="37">
        <f t="shared" si="45"/>
        <v>0</v>
      </c>
      <c r="N99" s="37">
        <f t="shared" si="45"/>
        <v>32843.61</v>
      </c>
      <c r="O99" s="37">
        <f t="shared" si="45"/>
        <v>86957.32166666667</v>
      </c>
      <c r="P99" s="37">
        <f t="shared" si="45"/>
        <v>248042.67833333334</v>
      </c>
    </row>
    <row r="100" spans="1:17" s="53" customFormat="1" ht="30" customHeight="1" thickBot="1" x14ac:dyDescent="0.3">
      <c r="A100" s="4"/>
      <c r="B100" s="23"/>
      <c r="C100" s="4"/>
      <c r="D100" s="23"/>
      <c r="E100" s="23"/>
      <c r="F100" s="2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39"/>
    </row>
    <row r="101" spans="1:17" s="53" customFormat="1" ht="30" customHeight="1" thickBot="1" x14ac:dyDescent="0.3">
      <c r="A101" s="287" t="s">
        <v>164</v>
      </c>
      <c r="B101" s="288"/>
      <c r="C101" s="288"/>
      <c r="D101" s="288"/>
      <c r="E101" s="288"/>
      <c r="F101" s="214"/>
      <c r="G101" s="214"/>
      <c r="H101" s="214"/>
      <c r="I101" s="214"/>
      <c r="J101" s="214"/>
      <c r="K101" s="214"/>
      <c r="L101" s="214"/>
      <c r="M101" s="214"/>
      <c r="N101" s="214"/>
      <c r="O101" s="214"/>
      <c r="P101" s="214"/>
      <c r="Q101" s="39"/>
    </row>
    <row r="102" spans="1:17" s="39" customFormat="1" ht="30" customHeight="1" x14ac:dyDescent="0.25">
      <c r="A102" s="80">
        <f>+A98+1</f>
        <v>55</v>
      </c>
      <c r="B102" s="81" t="s">
        <v>52</v>
      </c>
      <c r="C102" s="80" t="s">
        <v>422</v>
      </c>
      <c r="D102" s="85" t="s">
        <v>51</v>
      </c>
      <c r="E102" s="81" t="s">
        <v>121</v>
      </c>
      <c r="F102" s="82">
        <v>102000</v>
      </c>
      <c r="G102" s="82">
        <f>F102*2.87%</f>
        <v>2927.4</v>
      </c>
      <c r="H102" s="82">
        <f>+F102*3.04%</f>
        <v>3100.8</v>
      </c>
      <c r="I102" s="82"/>
      <c r="J102" s="77">
        <f t="shared" si="36"/>
        <v>6028.2000000000007</v>
      </c>
      <c r="K102" s="77">
        <f t="shared" si="39"/>
        <v>95971.8</v>
      </c>
      <c r="L102" s="77">
        <f>+IF(K102*12&lt;=416220.01,0,IF(K102*12&lt;=624329.01,(((K102*12-416220.01)*0.15)/12),IF((K102*12&lt;=867123.01),(31216+0.2*(K102*12-624329.01))/12,((79776+0.25*(K102*12-867123.01))/12))))-M102</f>
        <v>12575.887291666668</v>
      </c>
      <c r="M102" s="77"/>
      <c r="N102" s="84">
        <v>25</v>
      </c>
      <c r="O102" s="107">
        <f t="shared" si="37"/>
        <v>18629.08729166667</v>
      </c>
      <c r="P102" s="78">
        <f>+F102-O102</f>
        <v>83370.91270833333</v>
      </c>
    </row>
    <row r="103" spans="1:17" s="53" customFormat="1" ht="30" customHeight="1" thickBot="1" x14ac:dyDescent="0.3">
      <c r="A103" s="208" t="s">
        <v>125</v>
      </c>
      <c r="B103" s="209"/>
      <c r="C103" s="209"/>
      <c r="D103" s="209"/>
      <c r="E103" s="210"/>
      <c r="F103" s="37">
        <f>SUM(F102:F102)</f>
        <v>102000</v>
      </c>
      <c r="G103" s="37">
        <f t="shared" ref="F103:P103" si="46">SUM(G102:G102)</f>
        <v>2927.4</v>
      </c>
      <c r="H103" s="37">
        <f t="shared" si="46"/>
        <v>3100.8</v>
      </c>
      <c r="I103" s="37">
        <f t="shared" si="46"/>
        <v>0</v>
      </c>
      <c r="J103" s="37">
        <f t="shared" si="46"/>
        <v>6028.2000000000007</v>
      </c>
      <c r="K103" s="37">
        <f t="shared" si="46"/>
        <v>95971.8</v>
      </c>
      <c r="L103" s="37">
        <f t="shared" si="46"/>
        <v>12575.887291666668</v>
      </c>
      <c r="M103" s="37"/>
      <c r="N103" s="37">
        <f t="shared" si="46"/>
        <v>25</v>
      </c>
      <c r="O103" s="37">
        <f t="shared" si="46"/>
        <v>18629.08729166667</v>
      </c>
      <c r="P103" s="37">
        <f t="shared" si="46"/>
        <v>83370.91270833333</v>
      </c>
      <c r="Q103" s="39"/>
    </row>
    <row r="104" spans="1:17" s="53" customFormat="1" ht="30" customHeight="1" thickBot="1" x14ac:dyDescent="0.3">
      <c r="A104" s="287" t="s">
        <v>165</v>
      </c>
      <c r="B104" s="288"/>
      <c r="C104" s="288"/>
      <c r="D104" s="288"/>
      <c r="E104" s="288"/>
      <c r="F104" s="214"/>
      <c r="G104" s="214"/>
      <c r="H104" s="214"/>
      <c r="I104" s="214"/>
      <c r="J104" s="214"/>
      <c r="K104" s="214"/>
      <c r="L104" s="214"/>
      <c r="M104" s="214"/>
      <c r="N104" s="214"/>
      <c r="O104" s="214"/>
      <c r="P104" s="214"/>
      <c r="Q104" s="39"/>
    </row>
    <row r="105" spans="1:17" s="39" customFormat="1" ht="30" customHeight="1" x14ac:dyDescent="0.25">
      <c r="A105" s="75">
        <f>A102+1</f>
        <v>56</v>
      </c>
      <c r="B105" s="76" t="s">
        <v>65</v>
      </c>
      <c r="C105" s="75" t="s">
        <v>422</v>
      </c>
      <c r="D105" s="88" t="s">
        <v>188</v>
      </c>
      <c r="E105" s="81" t="s">
        <v>122</v>
      </c>
      <c r="F105" s="77">
        <v>155250</v>
      </c>
      <c r="G105" s="77">
        <v>4455.6750000000002</v>
      </c>
      <c r="H105" s="82">
        <f>+F105*3.04%</f>
        <v>4719.6000000000004</v>
      </c>
      <c r="I105" s="77">
        <v>1577.45</v>
      </c>
      <c r="J105" s="77">
        <f t="shared" si="36"/>
        <v>10752.725000000002</v>
      </c>
      <c r="K105" s="77">
        <f t="shared" si="39"/>
        <v>144497.27499999999</v>
      </c>
      <c r="L105" s="77">
        <f>+IF(K105*12&lt;=416220.01,0,IF(K105*12&lt;=624329.01,(((K105*12-416220.01)*0.15)/12),IF((K105*12&lt;=867123.01),(31216+0.2*(K105*12-624329.01))/12,((79776+0.25*(K105*12-867123.01))/12))))-M105</f>
        <v>24707.256041666664</v>
      </c>
      <c r="M105" s="77"/>
      <c r="N105" s="84">
        <v>10125</v>
      </c>
      <c r="O105" s="107">
        <f t="shared" si="37"/>
        <v>45584.981041666666</v>
      </c>
      <c r="P105" s="78">
        <f>+F105-O105</f>
        <v>109665.01895833333</v>
      </c>
    </row>
    <row r="106" spans="1:17" customFormat="1" ht="30" customHeight="1" x14ac:dyDescent="0.25">
      <c r="A106" s="80">
        <f>A105+1</f>
        <v>57</v>
      </c>
      <c r="B106" s="108" t="s">
        <v>257</v>
      </c>
      <c r="C106" s="36" t="s">
        <v>422</v>
      </c>
      <c r="D106" s="108" t="s">
        <v>66</v>
      </c>
      <c r="E106" s="108" t="s">
        <v>122</v>
      </c>
      <c r="F106" s="110">
        <v>60000</v>
      </c>
      <c r="G106" s="82">
        <f>F106*2.87%</f>
        <v>1722</v>
      </c>
      <c r="H106" s="82">
        <f>+F106*3.04%</f>
        <v>1824</v>
      </c>
      <c r="I106" s="82"/>
      <c r="J106" s="77">
        <f t="shared" si="36"/>
        <v>3546</v>
      </c>
      <c r="K106" s="77">
        <f t="shared" si="39"/>
        <v>56454</v>
      </c>
      <c r="L106" s="77">
        <f>+IF(K106*12&lt;=416220.01,0,IF(K106*12&lt;=624329.01,(((K106*12-416220.01)*0.15)/12),IF((K106*12&lt;=867123.01),(31216+0.2*(K106*12-624329.01))/12,((79776+0.25*(K106*12-867123.01))/12))))-M106</f>
        <v>3486.6498333333329</v>
      </c>
      <c r="M106" s="77"/>
      <c r="N106" s="78">
        <v>125</v>
      </c>
      <c r="O106" s="107">
        <f t="shared" si="37"/>
        <v>7157.6498333333329</v>
      </c>
      <c r="P106" s="78">
        <f>+F106-O106</f>
        <v>52842.350166666671</v>
      </c>
      <c r="Q106" s="201"/>
    </row>
    <row r="107" spans="1:17" s="39" customFormat="1" ht="30" customHeight="1" x14ac:dyDescent="0.25">
      <c r="A107" s="208" t="s">
        <v>125</v>
      </c>
      <c r="B107" s="209"/>
      <c r="C107" s="209"/>
      <c r="D107" s="209"/>
      <c r="E107" s="210"/>
      <c r="F107" s="37">
        <f>SUM(F105:F106)</f>
        <v>215250</v>
      </c>
      <c r="G107" s="37">
        <f t="shared" ref="F107:P107" si="47">SUM(G105:G106)</f>
        <v>6177.6750000000002</v>
      </c>
      <c r="H107" s="37">
        <f t="shared" si="47"/>
        <v>6543.6</v>
      </c>
      <c r="I107" s="37">
        <f t="shared" si="47"/>
        <v>1577.45</v>
      </c>
      <c r="J107" s="37">
        <f t="shared" si="47"/>
        <v>14298.725000000002</v>
      </c>
      <c r="K107" s="37">
        <f t="shared" si="47"/>
        <v>200951.27499999999</v>
      </c>
      <c r="L107" s="37">
        <f t="shared" si="47"/>
        <v>28193.905874999997</v>
      </c>
      <c r="M107" s="37">
        <f t="shared" si="47"/>
        <v>0</v>
      </c>
      <c r="N107" s="37">
        <f t="shared" si="47"/>
        <v>10250</v>
      </c>
      <c r="O107" s="37">
        <f t="shared" si="47"/>
        <v>52742.630875000003</v>
      </c>
      <c r="P107" s="37">
        <f t="shared" si="47"/>
        <v>162507.369125</v>
      </c>
    </row>
    <row r="108" spans="1:17" s="86" customFormat="1" ht="30" customHeight="1" thickBot="1" x14ac:dyDescent="0.3">
      <c r="A108"/>
      <c r="B108"/>
      <c r="C108" s="136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 s="40"/>
    </row>
    <row r="109" spans="1:17" s="53" customFormat="1" ht="30" customHeight="1" thickBot="1" x14ac:dyDescent="0.3">
      <c r="A109" s="287" t="s">
        <v>167</v>
      </c>
      <c r="B109" s="288"/>
      <c r="C109" s="288"/>
      <c r="D109" s="288"/>
      <c r="E109" s="288"/>
      <c r="F109" s="214"/>
      <c r="G109" s="214"/>
      <c r="H109" s="214"/>
      <c r="I109" s="214"/>
      <c r="J109" s="214"/>
      <c r="K109" s="214"/>
      <c r="L109" s="214"/>
      <c r="M109" s="214"/>
      <c r="N109" s="214"/>
      <c r="O109" s="214"/>
      <c r="P109" s="214"/>
      <c r="Q109" s="39"/>
    </row>
    <row r="110" spans="1:17" s="53" customFormat="1" ht="30" customHeight="1" x14ac:dyDescent="0.25">
      <c r="A110" s="75">
        <f>+A106+1</f>
        <v>58</v>
      </c>
      <c r="B110" s="112" t="s">
        <v>258</v>
      </c>
      <c r="C110" s="122" t="s">
        <v>422</v>
      </c>
      <c r="D110" s="123" t="s">
        <v>259</v>
      </c>
      <c r="E110" s="112" t="s">
        <v>121</v>
      </c>
      <c r="F110" s="107">
        <v>155000</v>
      </c>
      <c r="G110" s="110">
        <f t="shared" ref="G110:G114" si="48">F110*2.87%</f>
        <v>4448.5</v>
      </c>
      <c r="H110" s="110">
        <f t="shared" ref="H110:H114" si="49">+F110*3.04%</f>
        <v>4712</v>
      </c>
      <c r="I110" s="107"/>
      <c r="J110" s="77">
        <f t="shared" si="36"/>
        <v>9160.5</v>
      </c>
      <c r="K110" s="77">
        <f t="shared" si="39"/>
        <v>145839.5</v>
      </c>
      <c r="L110" s="77">
        <f>+IF(K110*12&lt;=416220.01,0,IF(K110*12&lt;=624329.01,(((K110*12-416220.01)*0.15)/12),IF((K110*12&lt;=867123.01),(31216+0.2*(K110*12-624329.01))/12,((79776+0.25*(K110*12-867123.01))/12))))-M110</f>
        <v>25042.812291666665</v>
      </c>
      <c r="M110" s="77"/>
      <c r="N110" s="84">
        <v>1125</v>
      </c>
      <c r="O110" s="107">
        <f t="shared" si="37"/>
        <v>35328.312291666662</v>
      </c>
      <c r="P110" s="78">
        <f>+F110-O110</f>
        <v>119671.68770833334</v>
      </c>
      <c r="Q110" s="39"/>
    </row>
    <row r="111" spans="1:17" s="53" customFormat="1" ht="30" customHeight="1" x14ac:dyDescent="0.25">
      <c r="A111" s="75">
        <f>+A110+1</f>
        <v>59</v>
      </c>
      <c r="B111" s="108" t="s">
        <v>260</v>
      </c>
      <c r="C111" s="36" t="s">
        <v>422</v>
      </c>
      <c r="D111" s="109" t="s">
        <v>51</v>
      </c>
      <c r="E111" s="108" t="s">
        <v>121</v>
      </c>
      <c r="F111" s="110">
        <v>90000</v>
      </c>
      <c r="G111" s="110">
        <f t="shared" si="48"/>
        <v>2583</v>
      </c>
      <c r="H111" s="110">
        <f t="shared" si="49"/>
        <v>2736</v>
      </c>
      <c r="I111" s="110"/>
      <c r="J111" s="77">
        <f t="shared" si="36"/>
        <v>5319</v>
      </c>
      <c r="K111" s="77">
        <f t="shared" si="39"/>
        <v>84681</v>
      </c>
      <c r="L111" s="77">
        <f t="shared" ref="L111:L114" si="50">+IF(K111*12&lt;=416220.01,0,IF(K111*12&lt;=624329.01,(((K111*12-416220.01)*0.15)/12),IF((K111*12&lt;=867123.01),(31216+0.2*(K111*12-624329.01))/12,((79776+0.25*(K111*12-867123.01))/12))))-M111</f>
        <v>9753.1872916666671</v>
      </c>
      <c r="M111" s="77"/>
      <c r="N111" s="84">
        <v>125</v>
      </c>
      <c r="O111" s="107">
        <f t="shared" si="37"/>
        <v>15197.187291666667</v>
      </c>
      <c r="P111" s="78">
        <f>+F111-O111</f>
        <v>74802.812708333338</v>
      </c>
      <c r="Q111" s="39"/>
    </row>
    <row r="112" spans="1:17" s="53" customFormat="1" ht="30" customHeight="1" x14ac:dyDescent="0.25">
      <c r="A112" s="80">
        <f t="shared" ref="A112:A114" si="51">+A111+1</f>
        <v>60</v>
      </c>
      <c r="B112" s="81" t="s">
        <v>256</v>
      </c>
      <c r="C112" s="80" t="s">
        <v>421</v>
      </c>
      <c r="D112" s="85" t="s">
        <v>51</v>
      </c>
      <c r="E112" s="81" t="s">
        <v>121</v>
      </c>
      <c r="F112" s="82">
        <v>90000</v>
      </c>
      <c r="G112" s="82">
        <f t="shared" si="48"/>
        <v>2583</v>
      </c>
      <c r="H112" s="82">
        <f t="shared" si="49"/>
        <v>2736</v>
      </c>
      <c r="I112" s="82"/>
      <c r="J112" s="77">
        <f t="shared" si="36"/>
        <v>5319</v>
      </c>
      <c r="K112" s="77">
        <f t="shared" si="39"/>
        <v>84681</v>
      </c>
      <c r="L112" s="77">
        <f t="shared" si="50"/>
        <v>9753.1872916666671</v>
      </c>
      <c r="M112" s="77"/>
      <c r="N112" s="84">
        <v>11082.03</v>
      </c>
      <c r="O112" s="107">
        <f t="shared" si="37"/>
        <v>26154.217291666668</v>
      </c>
      <c r="P112" s="78">
        <f>+F112-O112</f>
        <v>63845.782708333332</v>
      </c>
      <c r="Q112" s="39"/>
    </row>
    <row r="113" spans="1:17" s="47" customFormat="1" ht="30" customHeight="1" x14ac:dyDescent="0.25">
      <c r="A113" s="75">
        <f t="shared" si="51"/>
        <v>61</v>
      </c>
      <c r="B113" s="108" t="s">
        <v>69</v>
      </c>
      <c r="C113" s="36" t="s">
        <v>421</v>
      </c>
      <c r="D113" s="109" t="s">
        <v>51</v>
      </c>
      <c r="E113" s="108" t="s">
        <v>121</v>
      </c>
      <c r="F113" s="110">
        <v>80000</v>
      </c>
      <c r="G113" s="110">
        <f t="shared" si="48"/>
        <v>2296</v>
      </c>
      <c r="H113" s="110">
        <f t="shared" si="49"/>
        <v>2432</v>
      </c>
      <c r="I113" s="125">
        <v>1577.45</v>
      </c>
      <c r="J113" s="77">
        <f t="shared" si="36"/>
        <v>6305.45</v>
      </c>
      <c r="K113" s="77">
        <f t="shared" si="39"/>
        <v>73694.55</v>
      </c>
      <c r="L113" s="77">
        <f t="shared" si="50"/>
        <v>7006.5747916666687</v>
      </c>
      <c r="M113" s="77"/>
      <c r="N113" s="84">
        <v>15964.04</v>
      </c>
      <c r="O113" s="107">
        <f t="shared" si="37"/>
        <v>29276.064791666671</v>
      </c>
      <c r="P113" s="78">
        <f>+F113-O113</f>
        <v>50723.935208333329</v>
      </c>
    </row>
    <row r="114" spans="1:17" s="39" customFormat="1" ht="30" customHeight="1" x14ac:dyDescent="0.25">
      <c r="A114" s="80">
        <f t="shared" si="51"/>
        <v>62</v>
      </c>
      <c r="B114" s="108" t="s">
        <v>140</v>
      </c>
      <c r="C114" s="36" t="s">
        <v>422</v>
      </c>
      <c r="D114" s="109" t="s">
        <v>51</v>
      </c>
      <c r="E114" s="108" t="s">
        <v>121</v>
      </c>
      <c r="F114" s="110">
        <v>80000</v>
      </c>
      <c r="G114" s="110">
        <f t="shared" si="48"/>
        <v>2296</v>
      </c>
      <c r="H114" s="110">
        <f t="shared" si="49"/>
        <v>2432</v>
      </c>
      <c r="I114" s="110"/>
      <c r="J114" s="77">
        <f t="shared" si="36"/>
        <v>4728</v>
      </c>
      <c r="K114" s="77">
        <f t="shared" si="39"/>
        <v>75272</v>
      </c>
      <c r="L114" s="77">
        <f t="shared" si="50"/>
        <v>7400.9372916666662</v>
      </c>
      <c r="M114" s="77"/>
      <c r="N114" s="84">
        <v>25</v>
      </c>
      <c r="O114" s="107">
        <f t="shared" si="37"/>
        <v>12153.937291666665</v>
      </c>
      <c r="P114" s="78">
        <f>+F114-O114</f>
        <v>67846.062708333338</v>
      </c>
    </row>
    <row r="115" spans="1:17" s="39" customFormat="1" ht="30" customHeight="1" x14ac:dyDescent="0.25">
      <c r="A115" s="36"/>
      <c r="B115" s="46"/>
      <c r="C115" s="138"/>
      <c r="D115" s="208" t="s">
        <v>125</v>
      </c>
      <c r="E115" s="210"/>
      <c r="F115" s="37">
        <f>SUM(F110:F114)</f>
        <v>495000</v>
      </c>
      <c r="G115" s="37">
        <f t="shared" ref="F115:P115" si="52">SUM(G110:G114)</f>
        <v>14206.5</v>
      </c>
      <c r="H115" s="37">
        <f t="shared" si="52"/>
        <v>15048</v>
      </c>
      <c r="I115" s="37">
        <f t="shared" si="52"/>
        <v>1577.45</v>
      </c>
      <c r="J115" s="37">
        <f t="shared" si="52"/>
        <v>30831.95</v>
      </c>
      <c r="K115" s="37">
        <f t="shared" si="52"/>
        <v>464168.05</v>
      </c>
      <c r="L115" s="37">
        <f t="shared" si="52"/>
        <v>58956.698958333334</v>
      </c>
      <c r="M115" s="37">
        <f t="shared" si="52"/>
        <v>0</v>
      </c>
      <c r="N115" s="37">
        <f t="shared" si="52"/>
        <v>28321.07</v>
      </c>
      <c r="O115" s="37">
        <f t="shared" si="52"/>
        <v>118109.71895833334</v>
      </c>
      <c r="P115" s="37">
        <f t="shared" si="52"/>
        <v>376890.28104166663</v>
      </c>
    </row>
    <row r="116" spans="1:17" s="53" customFormat="1" ht="30" customHeight="1" thickBot="1" x14ac:dyDescent="0.3">
      <c r="A116" s="44"/>
      <c r="B116" s="42"/>
      <c r="C116" s="44"/>
      <c r="D116" s="43"/>
      <c r="E116" s="42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</row>
    <row r="117" spans="1:17" s="47" customFormat="1" ht="30" customHeight="1" thickBot="1" x14ac:dyDescent="0.3">
      <c r="A117" s="287" t="s">
        <v>168</v>
      </c>
      <c r="B117" s="288"/>
      <c r="C117" s="288"/>
      <c r="D117" s="288"/>
      <c r="E117" s="288"/>
      <c r="F117" s="214"/>
      <c r="G117" s="214"/>
      <c r="H117" s="214"/>
      <c r="I117" s="214"/>
      <c r="J117" s="214"/>
      <c r="K117" s="214"/>
      <c r="L117" s="214"/>
      <c r="M117" s="214"/>
      <c r="N117" s="214"/>
      <c r="O117" s="214"/>
      <c r="P117" s="214"/>
    </row>
    <row r="118" spans="1:17" s="39" customFormat="1" ht="30" customHeight="1" x14ac:dyDescent="0.25">
      <c r="A118" s="80">
        <f>+A114+1</f>
        <v>63</v>
      </c>
      <c r="B118" s="108" t="s">
        <v>663</v>
      </c>
      <c r="C118" s="36" t="s">
        <v>421</v>
      </c>
      <c r="D118" s="109" t="s">
        <v>664</v>
      </c>
      <c r="E118" s="108" t="s">
        <v>122</v>
      </c>
      <c r="F118" s="110">
        <v>170500</v>
      </c>
      <c r="G118" s="110">
        <f>F118*2.87%</f>
        <v>4893.3500000000004</v>
      </c>
      <c r="H118" s="82">
        <f>+F118*3.04%</f>
        <v>5183.2</v>
      </c>
      <c r="I118" s="82"/>
      <c r="J118" s="77">
        <f t="shared" si="36"/>
        <v>10076.549999999999</v>
      </c>
      <c r="K118" s="77">
        <f t="shared" si="39"/>
        <v>160423.45000000001</v>
      </c>
      <c r="L118" s="77">
        <f>+IF(K118*12&lt;=416220.01,0,IF(K118*12&lt;=624329.01,(((K118*12-416220.01)*0.15)/12),IF((K118*12&lt;=867123.01),(31216+0.2*(K118*12-624329.01))/12,((79776+0.25*(K118*12-867123.01))/12))))-M118</f>
        <v>28688.799791666668</v>
      </c>
      <c r="M118" s="77"/>
      <c r="N118" s="84">
        <v>25</v>
      </c>
      <c r="O118" s="107">
        <f t="shared" si="37"/>
        <v>38790.349791666667</v>
      </c>
      <c r="P118" s="78">
        <f>+F118-O118</f>
        <v>131709.65020833333</v>
      </c>
    </row>
    <row r="119" spans="1:17" s="39" customFormat="1" ht="30" customHeight="1" x14ac:dyDescent="0.25">
      <c r="A119" s="80">
        <f>+A118+1</f>
        <v>64</v>
      </c>
      <c r="B119" s="108" t="s">
        <v>70</v>
      </c>
      <c r="C119" s="36" t="s">
        <v>422</v>
      </c>
      <c r="D119" s="109" t="s">
        <v>94</v>
      </c>
      <c r="E119" s="108" t="s">
        <v>122</v>
      </c>
      <c r="F119" s="110">
        <v>60000</v>
      </c>
      <c r="G119" s="110">
        <f>F119*2.87%</f>
        <v>1722</v>
      </c>
      <c r="H119" s="82">
        <f>+F119*3.04%</f>
        <v>1824</v>
      </c>
      <c r="I119" s="82">
        <v>3154.9</v>
      </c>
      <c r="J119" s="77">
        <f t="shared" si="36"/>
        <v>6700.9</v>
      </c>
      <c r="K119" s="77">
        <f t="shared" si="39"/>
        <v>53299.1</v>
      </c>
      <c r="L119" s="77">
        <f>+IF(K119*12&lt;=416220.01,0,IF(K119*12&lt;=624329.01,(((K119*12-416220.01)*0.15)/12),IF((K119*12&lt;=867123.01),(31216+0.2*(K119*12-624329.01))/12,((79776+0.25*(K119*12-867123.01))/12))))-M119</f>
        <v>2855.669833333332</v>
      </c>
      <c r="M119" s="77"/>
      <c r="N119" s="84">
        <v>1025</v>
      </c>
      <c r="O119" s="107">
        <f t="shared" si="37"/>
        <v>10581.569833333331</v>
      </c>
      <c r="P119" s="78">
        <f>+F119-O119</f>
        <v>49418.430166666672</v>
      </c>
    </row>
    <row r="120" spans="1:17" s="39" customFormat="1" ht="30" customHeight="1" x14ac:dyDescent="0.25">
      <c r="A120" s="80">
        <f>+A119+1</f>
        <v>65</v>
      </c>
      <c r="B120" s="113" t="s">
        <v>75</v>
      </c>
      <c r="C120" s="174" t="s">
        <v>421</v>
      </c>
      <c r="D120" s="202" t="s">
        <v>572</v>
      </c>
      <c r="E120" s="108" t="s">
        <v>122</v>
      </c>
      <c r="F120" s="110">
        <v>110000</v>
      </c>
      <c r="G120" s="110">
        <f>F120*2.87%</f>
        <v>3157</v>
      </c>
      <c r="H120" s="82">
        <f>+F120*3.04%</f>
        <v>3344</v>
      </c>
      <c r="I120" s="82">
        <v>1577.45</v>
      </c>
      <c r="J120" s="77">
        <f t="shared" si="36"/>
        <v>8078.45</v>
      </c>
      <c r="K120" s="77">
        <f t="shared" si="39"/>
        <v>101921.55</v>
      </c>
      <c r="L120" s="77">
        <f>+IF(K120*12&lt;=416220.01,0,IF(K120*12&lt;=624329.01,(((K120*12-416220.01)*0.15)/12),IF((K120*12&lt;=867123.01),(31216+0.2*(K120*12-624329.01))/12,((79776+0.25*(K120*12-867123.01))/12))))-M120</f>
        <v>14063.324791666668</v>
      </c>
      <c r="M120" s="77"/>
      <c r="N120" s="84">
        <v>5025</v>
      </c>
      <c r="O120" s="107">
        <f t="shared" si="37"/>
        <v>27166.77479166667</v>
      </c>
      <c r="P120" s="78">
        <f>+F120-O120</f>
        <v>82833.22520833333</v>
      </c>
    </row>
    <row r="121" spans="1:17" s="39" customFormat="1" ht="30" customHeight="1" x14ac:dyDescent="0.25">
      <c r="A121" s="208" t="s">
        <v>125</v>
      </c>
      <c r="B121" s="209"/>
      <c r="C121" s="209"/>
      <c r="D121" s="209"/>
      <c r="E121" s="210"/>
      <c r="F121" s="37">
        <f>SUM(F118:F120)</f>
        <v>340500</v>
      </c>
      <c r="G121" s="37">
        <f t="shared" ref="G121:P121" si="53">SUM(G118:G120)</f>
        <v>9772.35</v>
      </c>
      <c r="H121" s="37">
        <f t="shared" si="53"/>
        <v>10351.200000000001</v>
      </c>
      <c r="I121" s="37">
        <f t="shared" si="53"/>
        <v>4732.3500000000004</v>
      </c>
      <c r="J121" s="37">
        <f t="shared" si="53"/>
        <v>24855.899999999998</v>
      </c>
      <c r="K121" s="37">
        <f t="shared" si="53"/>
        <v>315644.10000000003</v>
      </c>
      <c r="L121" s="37">
        <f t="shared" si="53"/>
        <v>45607.794416666671</v>
      </c>
      <c r="M121" s="37">
        <f t="shared" si="53"/>
        <v>0</v>
      </c>
      <c r="N121" s="37">
        <f t="shared" si="53"/>
        <v>6075</v>
      </c>
      <c r="O121" s="37">
        <f t="shared" si="53"/>
        <v>76538.694416666665</v>
      </c>
      <c r="P121" s="37">
        <f t="shared" si="53"/>
        <v>263961.30558333336</v>
      </c>
    </row>
    <row r="122" spans="1:17" s="53" customFormat="1" ht="30" customHeight="1" thickBot="1" x14ac:dyDescent="0.3">
      <c r="A122" s="41"/>
      <c r="B122" s="48"/>
      <c r="C122" s="139"/>
      <c r="D122" s="48"/>
      <c r="E122" s="48"/>
      <c r="F122" s="4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</row>
    <row r="123" spans="1:17" s="86" customFormat="1" ht="30" customHeight="1" thickBot="1" x14ac:dyDescent="0.3">
      <c r="A123" s="287" t="s">
        <v>169</v>
      </c>
      <c r="B123" s="288"/>
      <c r="C123" s="288"/>
      <c r="D123" s="288"/>
      <c r="E123" s="288"/>
      <c r="F123" s="214"/>
      <c r="G123" s="214"/>
      <c r="H123" s="214"/>
      <c r="I123" s="214"/>
      <c r="J123" s="214"/>
      <c r="K123" s="214"/>
      <c r="L123" s="214"/>
      <c r="M123" s="214"/>
      <c r="N123" s="214"/>
      <c r="O123" s="214"/>
      <c r="P123" s="214"/>
      <c r="Q123" s="40"/>
    </row>
    <row r="124" spans="1:17" s="53" customFormat="1" ht="30" customHeight="1" x14ac:dyDescent="0.25">
      <c r="A124" s="80">
        <f>+A120+1</f>
        <v>66</v>
      </c>
      <c r="B124" s="108" t="s">
        <v>262</v>
      </c>
      <c r="C124" s="36" t="s">
        <v>422</v>
      </c>
      <c r="D124" s="109" t="s">
        <v>51</v>
      </c>
      <c r="E124" s="108" t="s">
        <v>122</v>
      </c>
      <c r="F124" s="110">
        <v>90000</v>
      </c>
      <c r="G124" s="82">
        <f>F124*2.87%</f>
        <v>2583</v>
      </c>
      <c r="H124" s="82">
        <f>+F124*3.04%</f>
        <v>2736</v>
      </c>
      <c r="I124" s="82"/>
      <c r="J124" s="77">
        <f t="shared" si="36"/>
        <v>5319</v>
      </c>
      <c r="K124" s="77">
        <f t="shared" si="39"/>
        <v>84681</v>
      </c>
      <c r="L124" s="77">
        <f>+IF(K124*12&lt;=416220.01,0,IF(K124*12&lt;=624329.01,(((K124*12-416220.01)*0.15)/12),IF((K124*12&lt;=867123.01),(31216+0.2*(K124*12-624329.01))/12,((79776+0.25*(K124*12-867123.01))/12))))-M124</f>
        <v>9753.1872916666671</v>
      </c>
      <c r="M124" s="77"/>
      <c r="N124" s="84">
        <v>8955.34</v>
      </c>
      <c r="O124" s="107">
        <f t="shared" si="37"/>
        <v>24027.527291666665</v>
      </c>
      <c r="P124" s="78">
        <f>+F124-O124</f>
        <v>65972.472708333342</v>
      </c>
      <c r="Q124" s="39"/>
    </row>
    <row r="125" spans="1:17" s="39" customFormat="1" ht="30" customHeight="1" x14ac:dyDescent="0.25">
      <c r="A125" s="80">
        <f>+A124+1</f>
        <v>67</v>
      </c>
      <c r="B125" s="112" t="s">
        <v>64</v>
      </c>
      <c r="C125" s="122" t="s">
        <v>422</v>
      </c>
      <c r="D125" s="109" t="s">
        <v>51</v>
      </c>
      <c r="E125" s="108" t="s">
        <v>121</v>
      </c>
      <c r="F125" s="107">
        <v>80000</v>
      </c>
      <c r="G125" s="77">
        <f>F125*2.87%</f>
        <v>2296</v>
      </c>
      <c r="H125" s="77">
        <f>+F125*3.04%</f>
        <v>2432</v>
      </c>
      <c r="I125" s="77"/>
      <c r="J125" s="77">
        <f t="shared" si="36"/>
        <v>4728</v>
      </c>
      <c r="K125" s="77">
        <f t="shared" si="39"/>
        <v>75272</v>
      </c>
      <c r="L125" s="77">
        <f t="shared" ref="L125:L127" si="54">+IF(K125*12&lt;=416220.01,0,IF(K125*12&lt;=624329.01,(((K125*12-416220.01)*0.15)/12),IF((K125*12&lt;=867123.01),(31216+0.2*(K125*12-624329.01))/12,((79776+0.25*(K125*12-867123.01))/12))))-M125</f>
        <v>7400.9372916666662</v>
      </c>
      <c r="M125" s="77"/>
      <c r="N125" s="84">
        <v>10126.85</v>
      </c>
      <c r="O125" s="107">
        <f t="shared" si="37"/>
        <v>22255.787291666667</v>
      </c>
      <c r="P125" s="78">
        <f>+F125-O125</f>
        <v>57744.212708333333</v>
      </c>
    </row>
    <row r="126" spans="1:17" s="47" customFormat="1" ht="24" customHeight="1" x14ac:dyDescent="0.25">
      <c r="A126" s="80">
        <f>+A125+1</f>
        <v>68</v>
      </c>
      <c r="B126" s="108" t="s">
        <v>263</v>
      </c>
      <c r="C126" s="36" t="s">
        <v>421</v>
      </c>
      <c r="D126" s="109" t="s">
        <v>51</v>
      </c>
      <c r="E126" s="108" t="s">
        <v>121</v>
      </c>
      <c r="F126" s="110">
        <v>80000</v>
      </c>
      <c r="G126" s="82">
        <f>F126*2.87%</f>
        <v>2296</v>
      </c>
      <c r="H126" s="82">
        <f>+F126*3.04%</f>
        <v>2432</v>
      </c>
      <c r="I126" s="82"/>
      <c r="J126" s="77">
        <f t="shared" si="36"/>
        <v>4728</v>
      </c>
      <c r="K126" s="77">
        <f t="shared" si="39"/>
        <v>75272</v>
      </c>
      <c r="L126" s="77">
        <f t="shared" si="54"/>
        <v>7400.9372916666662</v>
      </c>
      <c r="M126" s="77"/>
      <c r="N126" s="84">
        <v>7022.97</v>
      </c>
      <c r="O126" s="107">
        <f t="shared" si="37"/>
        <v>19151.907291666666</v>
      </c>
      <c r="P126" s="78">
        <f>+F126-O126</f>
        <v>60848.092708333337</v>
      </c>
    </row>
    <row r="127" spans="1:17" s="39" customFormat="1" ht="30" customHeight="1" x14ac:dyDescent="0.25">
      <c r="A127" s="80">
        <f>+A126+1</f>
        <v>69</v>
      </c>
      <c r="B127" s="108" t="s">
        <v>271</v>
      </c>
      <c r="C127" s="36" t="s">
        <v>421</v>
      </c>
      <c r="D127" s="109" t="s">
        <v>51</v>
      </c>
      <c r="E127" s="108" t="s">
        <v>121</v>
      </c>
      <c r="F127" s="110">
        <v>80000</v>
      </c>
      <c r="G127" s="82">
        <f>F127*2.87%</f>
        <v>2296</v>
      </c>
      <c r="H127" s="82">
        <f>+F127*3.04%</f>
        <v>2432</v>
      </c>
      <c r="I127" s="82"/>
      <c r="J127" s="77">
        <f t="shared" si="36"/>
        <v>4728</v>
      </c>
      <c r="K127" s="77">
        <f t="shared" si="39"/>
        <v>75272</v>
      </c>
      <c r="L127" s="77">
        <f t="shared" si="54"/>
        <v>7400.9372916666662</v>
      </c>
      <c r="M127" s="77"/>
      <c r="N127" s="84">
        <v>25</v>
      </c>
      <c r="O127" s="107">
        <f t="shared" si="37"/>
        <v>12153.937291666665</v>
      </c>
      <c r="P127" s="78">
        <f>+F127-O127</f>
        <v>67846.062708333338</v>
      </c>
    </row>
    <row r="128" spans="1:17" s="53" customFormat="1" ht="30" customHeight="1" thickBot="1" x14ac:dyDescent="0.3">
      <c r="A128" s="208" t="s">
        <v>125</v>
      </c>
      <c r="B128" s="209"/>
      <c r="C128" s="209"/>
      <c r="D128" s="209"/>
      <c r="E128" s="210"/>
      <c r="F128" s="37">
        <f>SUM(F124:F127)</f>
        <v>330000</v>
      </c>
      <c r="G128" s="37">
        <f t="shared" ref="F128:P128" si="55">SUM(G124:G127)</f>
        <v>9471</v>
      </c>
      <c r="H128" s="37">
        <f t="shared" si="55"/>
        <v>10032</v>
      </c>
      <c r="I128" s="37">
        <f t="shared" si="55"/>
        <v>0</v>
      </c>
      <c r="J128" s="37">
        <f t="shared" si="55"/>
        <v>19503</v>
      </c>
      <c r="K128" s="37">
        <f t="shared" si="55"/>
        <v>310497</v>
      </c>
      <c r="L128" s="37">
        <f t="shared" si="55"/>
        <v>31955.999166666665</v>
      </c>
      <c r="M128" s="37">
        <f t="shared" si="55"/>
        <v>0</v>
      </c>
      <c r="N128" s="37">
        <f t="shared" si="55"/>
        <v>26130.160000000003</v>
      </c>
      <c r="O128" s="37">
        <f t="shared" si="55"/>
        <v>77589.159166666665</v>
      </c>
      <c r="P128" s="37">
        <f t="shared" si="55"/>
        <v>252410.84083333335</v>
      </c>
      <c r="Q128" s="39"/>
    </row>
    <row r="129" spans="1:17" s="53" customFormat="1" ht="30" customHeight="1" thickBot="1" x14ac:dyDescent="0.3">
      <c r="A129" s="287" t="s">
        <v>170</v>
      </c>
      <c r="B129" s="288"/>
      <c r="C129" s="288"/>
      <c r="D129" s="288"/>
      <c r="E129" s="288"/>
      <c r="F129" s="214"/>
      <c r="G129" s="214"/>
      <c r="H129" s="214"/>
      <c r="I129" s="214"/>
      <c r="J129" s="214"/>
      <c r="K129" s="214"/>
      <c r="L129" s="214"/>
      <c r="M129" s="214"/>
      <c r="N129" s="214"/>
      <c r="O129" s="214"/>
      <c r="P129" s="214"/>
      <c r="Q129" s="39"/>
    </row>
    <row r="130" spans="1:17" s="53" customFormat="1" ht="30" customHeight="1" x14ac:dyDescent="0.25">
      <c r="A130" s="36">
        <f>+A127+1</f>
        <v>70</v>
      </c>
      <c r="B130" s="108" t="s">
        <v>509</v>
      </c>
      <c r="C130" s="36" t="s">
        <v>421</v>
      </c>
      <c r="D130" s="109" t="s">
        <v>51</v>
      </c>
      <c r="E130" s="108" t="s">
        <v>122</v>
      </c>
      <c r="F130" s="110">
        <v>90000</v>
      </c>
      <c r="G130" s="110">
        <f>F130*2.87%</f>
        <v>2583</v>
      </c>
      <c r="H130" s="82">
        <f>+F130*3.04%</f>
        <v>2736</v>
      </c>
      <c r="I130" s="82"/>
      <c r="J130" s="77">
        <f t="shared" si="36"/>
        <v>5319</v>
      </c>
      <c r="K130" s="77">
        <f t="shared" si="39"/>
        <v>84681</v>
      </c>
      <c r="L130" s="77">
        <f t="shared" ref="L130:L132" si="56">+IF(K130*12&lt;=416220.01,0,IF(K130*12&lt;=624329.01,(((K130*12-416220.01)*0.15)/12),IF((K130*12&lt;=867123.01),(31216+0.2*(K130*12-624329.01))/12,((79776+0.25*(K130*12-867123.01))/12))))-M130</f>
        <v>9753.1872916666671</v>
      </c>
      <c r="M130" s="77"/>
      <c r="N130" s="84">
        <v>18622.96</v>
      </c>
      <c r="O130" s="107">
        <f t="shared" si="37"/>
        <v>33695.147291666668</v>
      </c>
      <c r="P130" s="78">
        <f>+F130-O130</f>
        <v>56304.852708333332</v>
      </c>
      <c r="Q130" s="39"/>
    </row>
    <row r="131" spans="1:17" s="47" customFormat="1" ht="30" customHeight="1" x14ac:dyDescent="0.25">
      <c r="A131" s="36">
        <f>+A130+1</f>
        <v>71</v>
      </c>
      <c r="B131" s="108" t="s">
        <v>265</v>
      </c>
      <c r="C131" s="36" t="s">
        <v>422</v>
      </c>
      <c r="D131" s="109" t="s">
        <v>51</v>
      </c>
      <c r="E131" s="108" t="s">
        <v>122</v>
      </c>
      <c r="F131" s="110">
        <v>85000</v>
      </c>
      <c r="G131" s="110">
        <f>F131*2.87%</f>
        <v>2439.5</v>
      </c>
      <c r="H131" s="82">
        <f>+F131*3.04%</f>
        <v>2584</v>
      </c>
      <c r="I131" s="82"/>
      <c r="J131" s="77">
        <f t="shared" si="36"/>
        <v>5023.5</v>
      </c>
      <c r="K131" s="77">
        <f t="shared" si="39"/>
        <v>79976.5</v>
      </c>
      <c r="L131" s="77">
        <f t="shared" si="56"/>
        <v>8577.0622916666671</v>
      </c>
      <c r="M131" s="77"/>
      <c r="N131" s="84">
        <v>1044</v>
      </c>
      <c r="O131" s="107">
        <f t="shared" si="37"/>
        <v>14644.562291666667</v>
      </c>
      <c r="P131" s="78">
        <f>+F131-O131</f>
        <v>70355.437708333338</v>
      </c>
    </row>
    <row r="132" spans="1:17" ht="30" customHeight="1" x14ac:dyDescent="0.25">
      <c r="A132" s="36">
        <f>+A131+1</f>
        <v>72</v>
      </c>
      <c r="B132" s="108" t="s">
        <v>196</v>
      </c>
      <c r="C132" s="36" t="s">
        <v>421</v>
      </c>
      <c r="D132" s="109" t="s">
        <v>51</v>
      </c>
      <c r="E132" s="108" t="s">
        <v>122</v>
      </c>
      <c r="F132" s="110">
        <v>80000</v>
      </c>
      <c r="G132" s="82">
        <v>2296</v>
      </c>
      <c r="H132" s="82">
        <v>2432</v>
      </c>
      <c r="I132" s="82">
        <v>3154.9</v>
      </c>
      <c r="J132" s="77">
        <f t="shared" si="36"/>
        <v>7882.9</v>
      </c>
      <c r="K132" s="77">
        <f t="shared" si="39"/>
        <v>72117.100000000006</v>
      </c>
      <c r="L132" s="77">
        <f t="shared" si="56"/>
        <v>6619.2698333333346</v>
      </c>
      <c r="M132" s="77"/>
      <c r="N132" s="84">
        <v>37431.81</v>
      </c>
      <c r="O132" s="107">
        <f t="shared" si="37"/>
        <v>51933.979833333331</v>
      </c>
      <c r="P132" s="78">
        <f>+F132-O132</f>
        <v>28066.020166666669</v>
      </c>
    </row>
    <row r="133" spans="1:17" s="39" customFormat="1" ht="30" customHeight="1" x14ac:dyDescent="0.25">
      <c r="A133" s="175">
        <f>+A132+1</f>
        <v>73</v>
      </c>
      <c r="B133" s="108" t="s">
        <v>688</v>
      </c>
      <c r="C133" s="36" t="s">
        <v>422</v>
      </c>
      <c r="D133" s="109" t="s">
        <v>51</v>
      </c>
      <c r="E133" s="108" t="s">
        <v>122</v>
      </c>
      <c r="F133" s="110">
        <v>90000</v>
      </c>
      <c r="G133" s="110">
        <f>F133*2.87%</f>
        <v>2583</v>
      </c>
      <c r="H133" s="82">
        <f>+F133*3.04%</f>
        <v>2736</v>
      </c>
      <c r="I133" s="82"/>
      <c r="J133" s="77">
        <f t="shared" ref="J133" si="57">+G133+H133+I133</f>
        <v>5319</v>
      </c>
      <c r="K133" s="77">
        <f t="shared" ref="K133" si="58">+F133-J133</f>
        <v>84681</v>
      </c>
      <c r="L133" s="77">
        <f t="shared" ref="L133" si="59">+IF(K133*12&lt;=416220.01,0,IF(K133*12&lt;=624329.01,(((K133*12-416220.01)*0.15)/12),IF((K133*12&lt;=867123.01),(31216+0.2*(K133*12-624329.01))/12,((79776+0.25*(K133*12-867123.01))/12))))-M133</f>
        <v>9753.1872916666671</v>
      </c>
      <c r="M133" s="77"/>
      <c r="N133" s="84">
        <v>10035.34</v>
      </c>
      <c r="O133" s="107">
        <v>25107.53</v>
      </c>
      <c r="P133" s="78">
        <v>64892.47</v>
      </c>
    </row>
    <row r="134" spans="1:17" s="39" customFormat="1" ht="30" customHeight="1" x14ac:dyDescent="0.25">
      <c r="A134" s="208" t="s">
        <v>125</v>
      </c>
      <c r="B134" s="209"/>
      <c r="C134" s="209"/>
      <c r="D134" s="209"/>
      <c r="E134" s="210"/>
      <c r="F134" s="37">
        <f>SUM(F130:F133)</f>
        <v>345000</v>
      </c>
      <c r="G134" s="37">
        <f t="shared" ref="G134:P134" si="60">SUM(G130:G133)</f>
        <v>9901.5</v>
      </c>
      <c r="H134" s="37">
        <f t="shared" si="60"/>
        <v>10488</v>
      </c>
      <c r="I134" s="37">
        <f t="shared" si="60"/>
        <v>3154.9</v>
      </c>
      <c r="J134" s="37">
        <f t="shared" si="60"/>
        <v>23544.400000000001</v>
      </c>
      <c r="K134" s="37">
        <f>SUM(K130:K133)</f>
        <v>321455.59999999998</v>
      </c>
      <c r="L134" s="37">
        <f t="shared" si="60"/>
        <v>34702.706708333339</v>
      </c>
      <c r="M134" s="37">
        <f t="shared" si="60"/>
        <v>0</v>
      </c>
      <c r="N134" s="37">
        <f t="shared" si="60"/>
        <v>67134.11</v>
      </c>
      <c r="O134" s="37">
        <f t="shared" si="60"/>
        <v>125381.21941666666</v>
      </c>
      <c r="P134" s="37">
        <f t="shared" si="60"/>
        <v>219618.78058333334</v>
      </c>
      <c r="Q134"/>
    </row>
    <row r="135" spans="1:17" s="53" customFormat="1" ht="30" customHeight="1" thickBot="1" x14ac:dyDescent="0.3">
      <c r="A135" s="4"/>
      <c r="B135" s="23"/>
      <c r="C135" s="4"/>
      <c r="D135" s="23"/>
      <c r="E135" s="23"/>
      <c r="F135" s="2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39"/>
    </row>
    <row r="136" spans="1:17" s="47" customFormat="1" ht="30" customHeight="1" thickBot="1" x14ac:dyDescent="0.3">
      <c r="A136" s="287" t="s">
        <v>171</v>
      </c>
      <c r="B136" s="288"/>
      <c r="C136" s="288"/>
      <c r="D136" s="288"/>
      <c r="E136" s="288"/>
      <c r="F136" s="214"/>
      <c r="G136" s="214"/>
      <c r="H136" s="214"/>
      <c r="I136" s="214"/>
      <c r="J136" s="214"/>
      <c r="K136" s="214"/>
      <c r="L136" s="214"/>
      <c r="M136" s="214"/>
      <c r="N136" s="214"/>
      <c r="O136" s="214"/>
      <c r="P136" s="214"/>
    </row>
    <row r="137" spans="1:17" s="53" customFormat="1" ht="30" customHeight="1" x14ac:dyDescent="0.25">
      <c r="A137" s="80">
        <f>+A133+1</f>
        <v>74</v>
      </c>
      <c r="B137" s="81" t="s">
        <v>102</v>
      </c>
      <c r="C137" s="80" t="s">
        <v>422</v>
      </c>
      <c r="D137" s="85" t="s">
        <v>51</v>
      </c>
      <c r="E137" s="81" t="s">
        <v>121</v>
      </c>
      <c r="F137" s="82">
        <v>90000</v>
      </c>
      <c r="G137" s="82">
        <f t="shared" ref="G137:G142" si="61">F137*2.87%</f>
        <v>2583</v>
      </c>
      <c r="H137" s="82">
        <f t="shared" ref="H137:H142" si="62">+F137*3.04%</f>
        <v>2736</v>
      </c>
      <c r="I137" s="82"/>
      <c r="J137" s="77">
        <f t="shared" ref="J137:J202" si="63">+G137+H137+I137</f>
        <v>5319</v>
      </c>
      <c r="K137" s="77">
        <f t="shared" si="39"/>
        <v>84681</v>
      </c>
      <c r="L137" s="77">
        <f>+IF(K137*12&lt;=416220.01,0,IF(K137*12&lt;=624329.01,(((K137*12-416220.01)*0.15)/12),IF((K137*12&lt;=867123.01),(31216+0.2*(K137*12-624329.01))/12,((79776+0.25*(K137*12-867123.01))/12))))-M137</f>
        <v>9753.1872916666671</v>
      </c>
      <c r="M137" s="77"/>
      <c r="N137" s="84">
        <v>65</v>
      </c>
      <c r="O137" s="107">
        <f t="shared" si="37"/>
        <v>15137.187291666667</v>
      </c>
      <c r="P137" s="78">
        <f t="shared" ref="P137:P142" si="64">+F137-O137</f>
        <v>74862.812708333338</v>
      </c>
      <c r="Q137" s="39"/>
    </row>
    <row r="138" spans="1:17" s="53" customFormat="1" ht="30" customHeight="1" x14ac:dyDescent="0.25">
      <c r="A138" s="80">
        <f>+A137+1</f>
        <v>75</v>
      </c>
      <c r="B138" s="108" t="s">
        <v>59</v>
      </c>
      <c r="C138" s="36" t="s">
        <v>422</v>
      </c>
      <c r="D138" s="109" t="s">
        <v>51</v>
      </c>
      <c r="E138" s="108" t="s">
        <v>122</v>
      </c>
      <c r="F138" s="110">
        <v>90000</v>
      </c>
      <c r="G138" s="110">
        <f t="shared" si="61"/>
        <v>2583</v>
      </c>
      <c r="H138" s="82">
        <f t="shared" si="62"/>
        <v>2736</v>
      </c>
      <c r="I138" s="82">
        <v>3154.9</v>
      </c>
      <c r="J138" s="77">
        <f t="shared" si="63"/>
        <v>8473.9</v>
      </c>
      <c r="K138" s="77">
        <f t="shared" si="39"/>
        <v>81526.100000000006</v>
      </c>
      <c r="L138" s="77">
        <f t="shared" ref="L138:L142" si="65">+IF(K138*12&lt;=416220.01,0,IF(K138*12&lt;=624329.01,(((K138*12-416220.01)*0.15)/12),IF((K138*12&lt;=867123.01),(31216+0.2*(K138*12-624329.01))/12,((79776+0.25*(K138*12-867123.01))/12))))-M138</f>
        <v>8964.4622916666685</v>
      </c>
      <c r="M138" s="77"/>
      <c r="N138" s="84">
        <v>2125</v>
      </c>
      <c r="O138" s="107">
        <f t="shared" ref="O138:O202" si="66">+N138+I138+H138+G138+L138</f>
        <v>19563.362291666668</v>
      </c>
      <c r="P138" s="78">
        <f t="shared" si="64"/>
        <v>70436.637708333335</v>
      </c>
      <c r="Q138" s="39"/>
    </row>
    <row r="139" spans="1:17" s="53" customFormat="1" ht="30" customHeight="1" x14ac:dyDescent="0.25">
      <c r="A139" s="36">
        <f>+A138+1</f>
        <v>76</v>
      </c>
      <c r="B139" s="108" t="s">
        <v>5</v>
      </c>
      <c r="C139" s="36" t="s">
        <v>422</v>
      </c>
      <c r="D139" s="109" t="s">
        <v>51</v>
      </c>
      <c r="E139" s="108" t="s">
        <v>122</v>
      </c>
      <c r="F139" s="110">
        <v>90000</v>
      </c>
      <c r="G139" s="110">
        <f t="shared" si="61"/>
        <v>2583</v>
      </c>
      <c r="H139" s="82">
        <f t="shared" si="62"/>
        <v>2736</v>
      </c>
      <c r="I139" s="82"/>
      <c r="J139" s="77">
        <f t="shared" si="63"/>
        <v>5319</v>
      </c>
      <c r="K139" s="77">
        <f t="shared" si="39"/>
        <v>84681</v>
      </c>
      <c r="L139" s="77">
        <f t="shared" si="65"/>
        <v>9753.1872916666671</v>
      </c>
      <c r="M139" s="77"/>
      <c r="N139" s="78">
        <v>20929.900000000001</v>
      </c>
      <c r="O139" s="107">
        <f t="shared" si="66"/>
        <v>36002.08729166667</v>
      </c>
      <c r="P139" s="78">
        <f t="shared" si="64"/>
        <v>53997.91270833333</v>
      </c>
      <c r="Q139" s="39"/>
    </row>
    <row r="140" spans="1:17" ht="30" customHeight="1" x14ac:dyDescent="0.25">
      <c r="A140" s="80">
        <f>+A139+1</f>
        <v>77</v>
      </c>
      <c r="B140" s="108" t="s">
        <v>267</v>
      </c>
      <c r="C140" s="36" t="s">
        <v>422</v>
      </c>
      <c r="D140" s="109" t="s">
        <v>51</v>
      </c>
      <c r="E140" s="108" t="s">
        <v>121</v>
      </c>
      <c r="F140" s="110">
        <v>80000</v>
      </c>
      <c r="G140" s="110">
        <f t="shared" si="61"/>
        <v>2296</v>
      </c>
      <c r="H140" s="82">
        <f t="shared" si="62"/>
        <v>2432</v>
      </c>
      <c r="I140" s="82"/>
      <c r="J140" s="77">
        <f t="shared" si="63"/>
        <v>4728</v>
      </c>
      <c r="K140" s="77">
        <f t="shared" si="39"/>
        <v>75272</v>
      </c>
      <c r="L140" s="77">
        <f t="shared" si="65"/>
        <v>7400.9372916666662</v>
      </c>
      <c r="M140" s="77"/>
      <c r="N140" s="84">
        <v>25</v>
      </c>
      <c r="O140" s="107">
        <f t="shared" si="66"/>
        <v>12153.937291666665</v>
      </c>
      <c r="P140" s="78">
        <f t="shared" si="64"/>
        <v>67846.062708333338</v>
      </c>
    </row>
    <row r="141" spans="1:17" s="39" customFormat="1" ht="30" customHeight="1" x14ac:dyDescent="0.25">
      <c r="A141" s="80">
        <f>+A140+1</f>
        <v>78</v>
      </c>
      <c r="B141" s="108" t="s">
        <v>268</v>
      </c>
      <c r="C141" s="36" t="s">
        <v>421</v>
      </c>
      <c r="D141" s="109" t="s">
        <v>51</v>
      </c>
      <c r="E141" s="108" t="s">
        <v>121</v>
      </c>
      <c r="F141" s="110">
        <v>80000</v>
      </c>
      <c r="G141" s="110">
        <f t="shared" si="61"/>
        <v>2296</v>
      </c>
      <c r="H141" s="82">
        <f t="shared" si="62"/>
        <v>2432</v>
      </c>
      <c r="I141" s="82"/>
      <c r="J141" s="77">
        <f t="shared" si="63"/>
        <v>4728</v>
      </c>
      <c r="K141" s="77">
        <f t="shared" ref="K141:K206" si="67">+F141-J141</f>
        <v>75272</v>
      </c>
      <c r="L141" s="77">
        <f t="shared" si="65"/>
        <v>7400.9372916666662</v>
      </c>
      <c r="M141" s="77"/>
      <c r="N141" s="84">
        <v>25</v>
      </c>
      <c r="O141" s="107">
        <f t="shared" si="66"/>
        <v>12153.937291666665</v>
      </c>
      <c r="P141" s="78">
        <f t="shared" si="64"/>
        <v>67846.062708333338</v>
      </c>
    </row>
    <row r="142" spans="1:17" s="53" customFormat="1" ht="30" customHeight="1" x14ac:dyDescent="0.25">
      <c r="A142" s="80">
        <f>+A141+1</f>
        <v>79</v>
      </c>
      <c r="B142" s="108" t="s">
        <v>269</v>
      </c>
      <c r="C142" s="36" t="s">
        <v>422</v>
      </c>
      <c r="D142" s="109" t="s">
        <v>51</v>
      </c>
      <c r="E142" s="108" t="s">
        <v>122</v>
      </c>
      <c r="F142" s="110">
        <v>80000</v>
      </c>
      <c r="G142" s="110">
        <f t="shared" si="61"/>
        <v>2296</v>
      </c>
      <c r="H142" s="82">
        <f t="shared" si="62"/>
        <v>2432</v>
      </c>
      <c r="I142" s="82"/>
      <c r="J142" s="77">
        <f t="shared" si="63"/>
        <v>4728</v>
      </c>
      <c r="K142" s="77">
        <f t="shared" si="67"/>
        <v>75272</v>
      </c>
      <c r="L142" s="77">
        <f t="shared" si="65"/>
        <v>7400.9372916666662</v>
      </c>
      <c r="M142" s="77"/>
      <c r="N142" s="84">
        <v>2025</v>
      </c>
      <c r="O142" s="107">
        <f t="shared" si="66"/>
        <v>14153.937291666665</v>
      </c>
      <c r="P142" s="78">
        <f t="shared" si="64"/>
        <v>65846.062708333338</v>
      </c>
      <c r="Q142" s="39"/>
    </row>
    <row r="143" spans="1:17" s="87" customFormat="1" ht="30" customHeight="1" x14ac:dyDescent="0.25">
      <c r="A143" s="208" t="s">
        <v>125</v>
      </c>
      <c r="B143" s="209"/>
      <c r="C143" s="209"/>
      <c r="D143" s="209"/>
      <c r="E143" s="210"/>
      <c r="F143" s="37">
        <f>SUM(F137:F142)</f>
        <v>510000</v>
      </c>
      <c r="G143" s="37">
        <f t="shared" ref="F143:P143" si="68">SUM(G137:G142)</f>
        <v>14637</v>
      </c>
      <c r="H143" s="37">
        <f t="shared" si="68"/>
        <v>15504</v>
      </c>
      <c r="I143" s="37">
        <f t="shared" si="68"/>
        <v>3154.9</v>
      </c>
      <c r="J143" s="37">
        <f t="shared" si="68"/>
        <v>33295.9</v>
      </c>
      <c r="K143" s="37">
        <f t="shared" si="68"/>
        <v>476704.1</v>
      </c>
      <c r="L143" s="37">
        <f t="shared" si="68"/>
        <v>50673.648750000008</v>
      </c>
      <c r="M143" s="37">
        <f t="shared" si="68"/>
        <v>0</v>
      </c>
      <c r="N143" s="37">
        <f t="shared" si="68"/>
        <v>25194.9</v>
      </c>
      <c r="O143" s="37">
        <f t="shared" si="68"/>
        <v>109164.44874999998</v>
      </c>
      <c r="P143" s="37">
        <f t="shared" si="68"/>
        <v>400835.55125000014</v>
      </c>
      <c r="Q143" s="47"/>
    </row>
    <row r="144" spans="1:17" s="47" customFormat="1" ht="30" customHeight="1" thickBot="1" x14ac:dyDescent="0.3">
      <c r="A144" s="4"/>
      <c r="B144" s="23"/>
      <c r="C144" s="4"/>
      <c r="D144" s="23"/>
      <c r="E144" s="23"/>
      <c r="F144" s="2"/>
      <c r="G144" s="1"/>
      <c r="H144" s="1"/>
      <c r="I144" s="1"/>
      <c r="J144" s="1"/>
      <c r="K144" s="1"/>
      <c r="L144" s="1"/>
      <c r="M144" s="1"/>
      <c r="N144" s="1"/>
      <c r="O144" s="1"/>
      <c r="P144" s="1"/>
    </row>
    <row r="145" spans="1:17" ht="30" customHeight="1" thickBot="1" x14ac:dyDescent="0.3">
      <c r="A145" s="287" t="s">
        <v>172</v>
      </c>
      <c r="B145" s="288"/>
      <c r="C145" s="288"/>
      <c r="D145" s="288"/>
      <c r="E145" s="288"/>
      <c r="F145" s="214"/>
      <c r="G145" s="214"/>
      <c r="H145" s="214"/>
      <c r="I145" s="214"/>
      <c r="J145" s="214"/>
      <c r="K145" s="214"/>
      <c r="L145" s="214"/>
      <c r="M145" s="214"/>
      <c r="N145" s="214"/>
      <c r="O145" s="214"/>
      <c r="P145" s="214"/>
    </row>
    <row r="146" spans="1:17" s="39" customFormat="1" ht="30" customHeight="1" x14ac:dyDescent="0.25">
      <c r="A146" s="80">
        <f>+A142+1</f>
        <v>80</v>
      </c>
      <c r="B146" s="81" t="s">
        <v>270</v>
      </c>
      <c r="C146" s="80" t="s">
        <v>422</v>
      </c>
      <c r="D146" s="85" t="s">
        <v>51</v>
      </c>
      <c r="E146" s="81" t="s">
        <v>122</v>
      </c>
      <c r="F146" s="82">
        <v>90000</v>
      </c>
      <c r="G146" s="82">
        <f>F146*2.87%</f>
        <v>2583</v>
      </c>
      <c r="H146" s="82">
        <f>+F146*3.04%</f>
        <v>2736</v>
      </c>
      <c r="I146" s="82">
        <v>1577.45</v>
      </c>
      <c r="J146" s="77">
        <f t="shared" si="63"/>
        <v>6896.45</v>
      </c>
      <c r="K146" s="77">
        <f t="shared" si="67"/>
        <v>83103.55</v>
      </c>
      <c r="L146" s="77">
        <f>+IF(K146*12&lt;=416220.01,0,IF(K146*12&lt;=624329.01,(((K146*12-416220.01)*0.15)/12),IF((K146*12&lt;=867123.01),(31216+0.2*(K146*12-624329.01))/12,((79776+0.25*(K146*12-867123.01))/12))))-M146</f>
        <v>9358.8247916666678</v>
      </c>
      <c r="M146" s="77"/>
      <c r="N146" s="84">
        <v>25</v>
      </c>
      <c r="O146" s="107">
        <f t="shared" si="66"/>
        <v>16280.274791666667</v>
      </c>
      <c r="P146" s="78">
        <f>+F146-O146</f>
        <v>73719.72520833333</v>
      </c>
    </row>
    <row r="147" spans="1:17" s="53" customFormat="1" ht="30" customHeight="1" x14ac:dyDescent="0.25">
      <c r="A147" s="80">
        <f>+A146+1</f>
        <v>81</v>
      </c>
      <c r="B147" s="108" t="s">
        <v>189</v>
      </c>
      <c r="C147" s="36" t="s">
        <v>421</v>
      </c>
      <c r="D147" s="108" t="s">
        <v>51</v>
      </c>
      <c r="E147" s="108" t="s">
        <v>121</v>
      </c>
      <c r="F147" s="110">
        <v>90000</v>
      </c>
      <c r="G147" s="82">
        <f>F147*2.87%</f>
        <v>2583</v>
      </c>
      <c r="H147" s="82">
        <f>+F147*3.04%</f>
        <v>2736</v>
      </c>
      <c r="I147" s="82"/>
      <c r="J147" s="77">
        <f t="shared" si="63"/>
        <v>5319</v>
      </c>
      <c r="K147" s="77">
        <f t="shared" si="67"/>
        <v>84681</v>
      </c>
      <c r="L147" s="77">
        <f>+IF(K147*12&lt;=416220.01,0,IF(K147*12&lt;=624329.01,(((K147*12-416220.01)*0.15)/12),IF((K147*12&lt;=867123.01),(31216+0.2*(K147*12-624329.01))/12,((79776+0.25*(K147*12-867123.01))/12))))-M147</f>
        <v>9753.1872916666671</v>
      </c>
      <c r="M147" s="77"/>
      <c r="N147" s="84">
        <v>25</v>
      </c>
      <c r="O147" s="107">
        <f t="shared" si="66"/>
        <v>15097.187291666667</v>
      </c>
      <c r="P147" s="78">
        <f>+F147-O147</f>
        <v>74902.812708333338</v>
      </c>
      <c r="Q147" s="39"/>
    </row>
    <row r="148" spans="1:17" s="53" customFormat="1" ht="30" customHeight="1" x14ac:dyDescent="0.25">
      <c r="A148" s="208" t="s">
        <v>125</v>
      </c>
      <c r="B148" s="209"/>
      <c r="C148" s="209"/>
      <c r="D148" s="209"/>
      <c r="E148" s="210"/>
      <c r="F148" s="37">
        <f>SUM(F146:F147)</f>
        <v>180000</v>
      </c>
      <c r="G148" s="37">
        <f t="shared" ref="F148:P148" si="69">SUM(G146:G147)</f>
        <v>5166</v>
      </c>
      <c r="H148" s="37">
        <f t="shared" si="69"/>
        <v>5472</v>
      </c>
      <c r="I148" s="37">
        <f t="shared" si="69"/>
        <v>1577.45</v>
      </c>
      <c r="J148" s="37">
        <f t="shared" si="69"/>
        <v>12215.45</v>
      </c>
      <c r="K148" s="37">
        <f t="shared" si="69"/>
        <v>167784.55</v>
      </c>
      <c r="L148" s="37">
        <f t="shared" si="69"/>
        <v>19112.012083333335</v>
      </c>
      <c r="M148" s="37"/>
      <c r="N148" s="37">
        <f t="shared" si="69"/>
        <v>50</v>
      </c>
      <c r="O148" s="37">
        <f t="shared" si="69"/>
        <v>31377.462083333332</v>
      </c>
      <c r="P148" s="37">
        <f t="shared" si="69"/>
        <v>148622.53791666665</v>
      </c>
      <c r="Q148" s="39"/>
    </row>
    <row r="149" spans="1:17" s="53" customFormat="1" ht="30" customHeight="1" thickBot="1" x14ac:dyDescent="0.3">
      <c r="A149" s="4"/>
      <c r="B149" s="23"/>
      <c r="C149" s="4"/>
      <c r="D149" s="23"/>
      <c r="E149" s="23"/>
      <c r="F149" s="2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39"/>
    </row>
    <row r="150" spans="1:17" s="53" customFormat="1" ht="30" customHeight="1" thickBot="1" x14ac:dyDescent="0.3">
      <c r="A150" s="287" t="s">
        <v>173</v>
      </c>
      <c r="B150" s="288"/>
      <c r="C150" s="288"/>
      <c r="D150" s="288"/>
      <c r="E150" s="288"/>
      <c r="F150" s="214"/>
      <c r="G150" s="214"/>
      <c r="H150" s="214"/>
      <c r="I150" s="214"/>
      <c r="J150" s="214"/>
      <c r="K150" s="214"/>
      <c r="L150" s="214"/>
      <c r="M150" s="214"/>
      <c r="N150" s="214"/>
      <c r="O150" s="214"/>
      <c r="P150" s="214"/>
      <c r="Q150" s="39"/>
    </row>
    <row r="151" spans="1:17" s="53" customFormat="1" ht="30" customHeight="1" x14ac:dyDescent="0.25">
      <c r="A151" s="75">
        <f>+A147+1</f>
        <v>82</v>
      </c>
      <c r="B151" s="112" t="s">
        <v>272</v>
      </c>
      <c r="C151" s="122" t="s">
        <v>421</v>
      </c>
      <c r="D151" s="123" t="s">
        <v>273</v>
      </c>
      <c r="E151" s="108" t="s">
        <v>122</v>
      </c>
      <c r="F151" s="107">
        <v>126500</v>
      </c>
      <c r="G151" s="82">
        <v>3630.55</v>
      </c>
      <c r="H151" s="82">
        <v>3845.6</v>
      </c>
      <c r="I151" s="82">
        <v>1577.45</v>
      </c>
      <c r="J151" s="77">
        <f t="shared" si="63"/>
        <v>9053.6</v>
      </c>
      <c r="K151" s="77">
        <f t="shared" si="67"/>
        <v>117446.39999999999</v>
      </c>
      <c r="L151" s="77">
        <f>+IF(K151*12&lt;=416220.01,0,IF(K151*12&lt;=624329.01,(((K151*12-416220.01)*0.15)/12),IF((K151*12&lt;=867123.01),(31216+0.2*(K151*12-624329.01))/12,((79776+0.25*(K151*12-867123.01))/12))))-M151</f>
        <v>17944.537291666664</v>
      </c>
      <c r="M151" s="77"/>
      <c r="N151" s="84">
        <v>1125</v>
      </c>
      <c r="O151" s="107">
        <f t="shared" si="66"/>
        <v>28123.137291666662</v>
      </c>
      <c r="P151" s="78">
        <f>+F151-O151</f>
        <v>98376.862708333341</v>
      </c>
      <c r="Q151" s="39"/>
    </row>
    <row r="152" spans="1:17" s="47" customFormat="1" ht="30" customHeight="1" x14ac:dyDescent="0.25">
      <c r="A152" s="80">
        <f>A151+1</f>
        <v>83</v>
      </c>
      <c r="B152" s="108" t="s">
        <v>274</v>
      </c>
      <c r="C152" s="36" t="s">
        <v>422</v>
      </c>
      <c r="D152" s="109" t="s">
        <v>51</v>
      </c>
      <c r="E152" s="108" t="s">
        <v>122</v>
      </c>
      <c r="F152" s="110">
        <v>90000</v>
      </c>
      <c r="G152" s="110">
        <f>F152*2.87%</f>
        <v>2583</v>
      </c>
      <c r="H152" s="82">
        <f>+F152*3.04%</f>
        <v>2736</v>
      </c>
      <c r="I152" s="82"/>
      <c r="J152" s="77">
        <f t="shared" si="63"/>
        <v>5319</v>
      </c>
      <c r="K152" s="77">
        <f t="shared" si="67"/>
        <v>84681</v>
      </c>
      <c r="L152" s="77">
        <f t="shared" ref="L152:L155" si="70">+IF(K152*12&lt;=416220.01,0,IF(K152*12&lt;=624329.01,(((K152*12-416220.01)*0.15)/12),IF((K152*12&lt;=867123.01),(31216+0.2*(K152*12-624329.01))/12,((79776+0.25*(K152*12-867123.01))/12))))-M152</f>
        <v>9753.1872916666671</v>
      </c>
      <c r="M152" s="77"/>
      <c r="N152" s="84">
        <v>25</v>
      </c>
      <c r="O152" s="107">
        <f t="shared" si="66"/>
        <v>15097.187291666667</v>
      </c>
      <c r="P152" s="78">
        <f>+F152-O152</f>
        <v>74902.812708333338</v>
      </c>
    </row>
    <row r="153" spans="1:17" ht="29.25" customHeight="1" x14ac:dyDescent="0.25">
      <c r="A153" s="80">
        <f>+A152+1</f>
        <v>84</v>
      </c>
      <c r="B153" s="108" t="s">
        <v>275</v>
      </c>
      <c r="C153" s="36" t="s">
        <v>422</v>
      </c>
      <c r="D153" s="109" t="s">
        <v>51</v>
      </c>
      <c r="E153" s="108" t="s">
        <v>122</v>
      </c>
      <c r="F153" s="110">
        <v>90000</v>
      </c>
      <c r="G153" s="110">
        <f>F153*2.87%</f>
        <v>2583</v>
      </c>
      <c r="H153" s="82">
        <f>+F153*3.04%</f>
        <v>2736</v>
      </c>
      <c r="I153" s="82"/>
      <c r="J153" s="77">
        <f t="shared" si="63"/>
        <v>5319</v>
      </c>
      <c r="K153" s="77">
        <f t="shared" si="67"/>
        <v>84681</v>
      </c>
      <c r="L153" s="77">
        <f t="shared" si="70"/>
        <v>9753.1872916666671</v>
      </c>
      <c r="M153" s="77"/>
      <c r="N153" s="84">
        <v>1125</v>
      </c>
      <c r="O153" s="107">
        <f t="shared" si="66"/>
        <v>16197.187291666667</v>
      </c>
      <c r="P153" s="78">
        <f>+F153-O153</f>
        <v>73802.812708333338</v>
      </c>
    </row>
    <row r="154" spans="1:17" ht="29.25" customHeight="1" x14ac:dyDescent="0.25">
      <c r="A154" s="75">
        <f>+A153+1</f>
        <v>85</v>
      </c>
      <c r="B154" s="108" t="s">
        <v>141</v>
      </c>
      <c r="C154" s="36" t="s">
        <v>422</v>
      </c>
      <c r="D154" s="109" t="s">
        <v>51</v>
      </c>
      <c r="E154" s="108" t="s">
        <v>122</v>
      </c>
      <c r="F154" s="110">
        <v>80000</v>
      </c>
      <c r="G154" s="110">
        <f>F154*2.87%</f>
        <v>2296</v>
      </c>
      <c r="H154" s="82">
        <f>+F154*3.04%</f>
        <v>2432</v>
      </c>
      <c r="I154" s="82"/>
      <c r="J154" s="77">
        <f t="shared" si="63"/>
        <v>4728</v>
      </c>
      <c r="K154" s="77">
        <f t="shared" si="67"/>
        <v>75272</v>
      </c>
      <c r="L154" s="77">
        <f t="shared" si="70"/>
        <v>7400.9372916666662</v>
      </c>
      <c r="M154" s="77"/>
      <c r="N154" s="84">
        <v>1025</v>
      </c>
      <c r="O154" s="107">
        <f t="shared" si="66"/>
        <v>13153.937291666665</v>
      </c>
      <c r="P154" s="78">
        <f>+F154-O154</f>
        <v>66846.062708333338</v>
      </c>
    </row>
    <row r="155" spans="1:17" s="53" customFormat="1" ht="30" customHeight="1" x14ac:dyDescent="0.25">
      <c r="A155" s="80">
        <f>+A154+1</f>
        <v>86</v>
      </c>
      <c r="B155" s="108" t="s">
        <v>71</v>
      </c>
      <c r="C155" s="36" t="s">
        <v>421</v>
      </c>
      <c r="D155" s="109" t="s">
        <v>51</v>
      </c>
      <c r="E155" s="108" t="s">
        <v>122</v>
      </c>
      <c r="F155" s="110">
        <v>80000</v>
      </c>
      <c r="G155" s="110">
        <f>F155*2.87%</f>
        <v>2296</v>
      </c>
      <c r="H155" s="82">
        <f>+F155*3.04%</f>
        <v>2432</v>
      </c>
      <c r="I155" s="82">
        <v>1577.45</v>
      </c>
      <c r="J155" s="77">
        <f t="shared" si="63"/>
        <v>6305.45</v>
      </c>
      <c r="K155" s="77">
        <f t="shared" si="67"/>
        <v>73694.55</v>
      </c>
      <c r="L155" s="77">
        <f t="shared" si="70"/>
        <v>7006.5747916666687</v>
      </c>
      <c r="M155" s="77"/>
      <c r="N155" s="84">
        <v>1525</v>
      </c>
      <c r="O155" s="107">
        <f t="shared" si="66"/>
        <v>14837.024791666669</v>
      </c>
      <c r="P155" s="78">
        <f>+F155-O155</f>
        <v>65162.97520833333</v>
      </c>
      <c r="Q155" s="39"/>
    </row>
    <row r="156" spans="1:17" s="47" customFormat="1" ht="47.45" customHeight="1" x14ac:dyDescent="0.25">
      <c r="A156" s="208" t="s">
        <v>125</v>
      </c>
      <c r="B156" s="209"/>
      <c r="C156" s="209"/>
      <c r="D156" s="209"/>
      <c r="E156" s="210"/>
      <c r="F156" s="37">
        <f>SUM(F151:F155)</f>
        <v>466500</v>
      </c>
      <c r="G156" s="37">
        <f t="shared" ref="F156:P156" si="71">SUM(G151:G155)</f>
        <v>13388.55</v>
      </c>
      <c r="H156" s="37">
        <f t="shared" si="71"/>
        <v>14181.6</v>
      </c>
      <c r="I156" s="37">
        <f t="shared" si="71"/>
        <v>3154.9</v>
      </c>
      <c r="J156" s="37">
        <f t="shared" si="71"/>
        <v>30725.05</v>
      </c>
      <c r="K156" s="37">
        <f t="shared" si="71"/>
        <v>435774.95</v>
      </c>
      <c r="L156" s="37">
        <f t="shared" si="71"/>
        <v>51858.423958333333</v>
      </c>
      <c r="M156" s="37">
        <f t="shared" si="71"/>
        <v>0</v>
      </c>
      <c r="N156" s="37">
        <f t="shared" si="71"/>
        <v>4825</v>
      </c>
      <c r="O156" s="37">
        <f t="shared" si="71"/>
        <v>87408.473958333328</v>
      </c>
      <c r="P156" s="37">
        <f t="shared" si="71"/>
        <v>379091.52604166669</v>
      </c>
    </row>
    <row r="157" spans="1:17" s="47" customFormat="1" ht="37.5" customHeight="1" thickBot="1" x14ac:dyDescent="0.3">
      <c r="A157" s="50"/>
      <c r="B157" s="50"/>
      <c r="C157" s="50"/>
      <c r="D157" s="50"/>
      <c r="E157" s="5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</row>
    <row r="158" spans="1:17" customFormat="1" ht="27" customHeight="1" thickBot="1" x14ac:dyDescent="0.3">
      <c r="A158" s="211" t="s">
        <v>174</v>
      </c>
      <c r="B158" s="212"/>
      <c r="C158" s="212"/>
      <c r="D158" s="212"/>
      <c r="E158" s="212"/>
      <c r="F158" s="212"/>
      <c r="G158" s="212"/>
      <c r="H158" s="212"/>
      <c r="I158" s="212"/>
      <c r="J158" s="212"/>
      <c r="K158" s="212"/>
      <c r="L158" s="212"/>
      <c r="M158" s="212"/>
      <c r="N158" s="212"/>
      <c r="O158" s="212"/>
      <c r="P158" s="212"/>
      <c r="Q158" s="201"/>
    </row>
    <row r="159" spans="1:17" s="39" customFormat="1" ht="30" customHeight="1" x14ac:dyDescent="0.25">
      <c r="A159" s="80">
        <f>+A155+1</f>
        <v>87</v>
      </c>
      <c r="B159" s="108" t="s">
        <v>72</v>
      </c>
      <c r="C159" s="36" t="s">
        <v>422</v>
      </c>
      <c r="D159" s="109" t="s">
        <v>201</v>
      </c>
      <c r="E159" s="108" t="s">
        <v>122</v>
      </c>
      <c r="F159" s="110">
        <v>148500</v>
      </c>
      <c r="G159" s="82">
        <v>4261.95</v>
      </c>
      <c r="H159" s="82">
        <v>4514.3999999999996</v>
      </c>
      <c r="I159" s="82"/>
      <c r="J159" s="77">
        <f t="shared" si="63"/>
        <v>8776.3499999999985</v>
      </c>
      <c r="K159" s="77">
        <f t="shared" si="67"/>
        <v>139723.65</v>
      </c>
      <c r="L159" s="77">
        <f>+IF(K159*12&lt;=416220.01,0,IF(K159*12&lt;=624329.01,(((K159*12-416220.01)*0.15)/12),IF((K159*12&lt;=867123.01),(31216+0.2*(K159*12-624329.01))/12,((79776+0.25*(K159*12-867123.01))/12))))-M159</f>
        <v>23513.849791666664</v>
      </c>
      <c r="M159" s="77"/>
      <c r="N159" s="84">
        <v>13528.73</v>
      </c>
      <c r="O159" s="107">
        <f t="shared" si="66"/>
        <v>45818.929791666662</v>
      </c>
      <c r="P159" s="84">
        <f>+F159-O159</f>
        <v>102681.07020833335</v>
      </c>
    </row>
    <row r="160" spans="1:17" s="53" customFormat="1" ht="30" customHeight="1" x14ac:dyDescent="0.25">
      <c r="A160" s="36">
        <f>+A159+1</f>
        <v>88</v>
      </c>
      <c r="B160" s="108" t="s">
        <v>460</v>
      </c>
      <c r="C160" s="36" t="s">
        <v>422</v>
      </c>
      <c r="D160" s="109" t="s">
        <v>66</v>
      </c>
      <c r="E160" s="108" t="s">
        <v>229</v>
      </c>
      <c r="F160" s="110">
        <v>50000</v>
      </c>
      <c r="G160" s="82">
        <f>+F160*2.87%</f>
        <v>1435</v>
      </c>
      <c r="H160" s="82">
        <f>+F160*3.04%</f>
        <v>1520</v>
      </c>
      <c r="I160" s="82"/>
      <c r="J160" s="77">
        <f t="shared" si="63"/>
        <v>2955</v>
      </c>
      <c r="K160" s="77">
        <f t="shared" si="67"/>
        <v>47045</v>
      </c>
      <c r="L160" s="77">
        <f>+IF(K160*12&lt;=416220.01,0,IF(K160*12&lt;=624329.01,(((K160*12-416220.01)*0.15)/12),IF((K160*12&lt;=867123.01),(31216+0.2*(K160*12-624329.01))/12,((79776+0.25*(K160*12-867123.01))/12))))-M160</f>
        <v>1853.9998749999997</v>
      </c>
      <c r="M160" s="77">
        <v>0</v>
      </c>
      <c r="N160" s="84">
        <v>25</v>
      </c>
      <c r="O160" s="107">
        <f t="shared" si="66"/>
        <v>4833.9998749999995</v>
      </c>
      <c r="P160" s="84">
        <f>+F160-O160</f>
        <v>45166.000124999999</v>
      </c>
      <c r="Q160" s="39"/>
    </row>
    <row r="161" spans="1:17" s="53" customFormat="1" ht="30" customHeight="1" x14ac:dyDescent="0.25">
      <c r="A161" s="208" t="s">
        <v>125</v>
      </c>
      <c r="B161" s="209"/>
      <c r="C161" s="209"/>
      <c r="D161" s="209"/>
      <c r="E161" s="210"/>
      <c r="F161" s="37">
        <f>SUM(F159:F160)</f>
        <v>198500</v>
      </c>
      <c r="G161" s="37">
        <f t="shared" ref="G161:P161" si="72">SUM(G159:G160)</f>
        <v>5696.95</v>
      </c>
      <c r="H161" s="37">
        <f t="shared" si="72"/>
        <v>6034.4</v>
      </c>
      <c r="I161" s="37">
        <f t="shared" si="72"/>
        <v>0</v>
      </c>
      <c r="J161" s="37">
        <f t="shared" si="72"/>
        <v>11731.349999999999</v>
      </c>
      <c r="K161" s="37">
        <f t="shared" si="72"/>
        <v>186768.65</v>
      </c>
      <c r="L161" s="37">
        <f t="shared" si="72"/>
        <v>25367.849666666665</v>
      </c>
      <c r="M161" s="37">
        <f t="shared" si="72"/>
        <v>0</v>
      </c>
      <c r="N161" s="37">
        <f t="shared" si="72"/>
        <v>13553.73</v>
      </c>
      <c r="O161" s="37">
        <f t="shared" si="72"/>
        <v>50652.929666666663</v>
      </c>
      <c r="P161" s="37">
        <f t="shared" si="72"/>
        <v>147847.07033333334</v>
      </c>
      <c r="Q161" s="39"/>
    </row>
    <row r="162" spans="1:17" s="47" customFormat="1" ht="37.5" customHeight="1" thickBot="1" x14ac:dyDescent="0.3">
      <c r="A162" s="222"/>
      <c r="B162" s="222"/>
      <c r="C162" s="222"/>
      <c r="D162" s="222"/>
      <c r="E162" s="222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</row>
    <row r="163" spans="1:17" customFormat="1" ht="27" customHeight="1" thickBot="1" x14ac:dyDescent="0.3">
      <c r="A163" s="211" t="s">
        <v>643</v>
      </c>
      <c r="B163" s="212"/>
      <c r="C163" s="212"/>
      <c r="D163" s="212"/>
      <c r="E163" s="212"/>
      <c r="F163" s="212"/>
      <c r="G163" s="212"/>
      <c r="H163" s="212"/>
      <c r="I163" s="212"/>
      <c r="J163" s="212"/>
      <c r="K163" s="212"/>
      <c r="L163" s="212"/>
      <c r="M163" s="212"/>
      <c r="N163" s="212"/>
      <c r="O163" s="212"/>
      <c r="P163" s="212"/>
      <c r="Q163" s="201"/>
    </row>
    <row r="164" spans="1:17" s="53" customFormat="1" ht="30" customHeight="1" x14ac:dyDescent="0.25">
      <c r="A164" s="75">
        <f>+A160+1</f>
        <v>89</v>
      </c>
      <c r="B164" s="108" t="s">
        <v>50</v>
      </c>
      <c r="C164" s="36" t="s">
        <v>422</v>
      </c>
      <c r="D164" s="108" t="s">
        <v>51</v>
      </c>
      <c r="E164" s="108" t="s">
        <v>198</v>
      </c>
      <c r="F164" s="110">
        <v>90000</v>
      </c>
      <c r="G164" s="82">
        <f>+F164*2.87%</f>
        <v>2583</v>
      </c>
      <c r="H164" s="82">
        <f>+F164*3.04%</f>
        <v>2736</v>
      </c>
      <c r="I164" s="82"/>
      <c r="J164" s="77">
        <f t="shared" ref="J164" si="73">+G164+H164+I164</f>
        <v>5319</v>
      </c>
      <c r="K164" s="77">
        <f t="shared" ref="K164" si="74">+F164-J164</f>
        <v>84681</v>
      </c>
      <c r="L164" s="77">
        <f>+IF(K164*12&lt;=416220.01,0,IF(K164*12&lt;=624329.01,(((K164*12-416220.01)*0.15)/12),IF((K164*12&lt;=867123.01),(31216+0.2*(K164*12-624329.01))/12,((79776+0.25*(K164*12-867123.01))/12))))-M164</f>
        <v>9753.1872916666671</v>
      </c>
      <c r="M164" s="77"/>
      <c r="N164" s="84">
        <v>25</v>
      </c>
      <c r="O164" s="107">
        <f t="shared" ref="O164" si="75">+N164+I164+H164+G164+L164</f>
        <v>15097.187291666667</v>
      </c>
      <c r="P164" s="84">
        <f>+F164-O164</f>
        <v>74902.812708333338</v>
      </c>
      <c r="Q164" s="39"/>
    </row>
    <row r="165" spans="1:17" s="53" customFormat="1" ht="30" customHeight="1" x14ac:dyDescent="0.25">
      <c r="A165" s="208" t="s">
        <v>125</v>
      </c>
      <c r="B165" s="209"/>
      <c r="C165" s="209"/>
      <c r="D165" s="209"/>
      <c r="E165" s="210"/>
      <c r="F165" s="37">
        <f>SUM(F164:F164)</f>
        <v>90000</v>
      </c>
      <c r="G165" s="37">
        <f t="shared" ref="F165:P165" si="76">SUM(G164:G164)</f>
        <v>2583</v>
      </c>
      <c r="H165" s="37">
        <f t="shared" si="76"/>
        <v>2736</v>
      </c>
      <c r="I165" s="37">
        <f t="shared" si="76"/>
        <v>0</v>
      </c>
      <c r="J165" s="37">
        <f t="shared" si="76"/>
        <v>5319</v>
      </c>
      <c r="K165" s="37">
        <f t="shared" si="76"/>
        <v>84681</v>
      </c>
      <c r="L165" s="37">
        <f t="shared" si="76"/>
        <v>9753.1872916666671</v>
      </c>
      <c r="M165" s="37">
        <f t="shared" si="76"/>
        <v>0</v>
      </c>
      <c r="N165" s="37">
        <f t="shared" si="76"/>
        <v>25</v>
      </c>
      <c r="O165" s="37">
        <f t="shared" si="76"/>
        <v>15097.187291666667</v>
      </c>
      <c r="P165" s="37">
        <f t="shared" si="76"/>
        <v>74902.812708333338</v>
      </c>
      <c r="Q165" s="39"/>
    </row>
    <row r="166" spans="1:17" s="53" customFormat="1" ht="30" customHeight="1" thickBot="1" x14ac:dyDescent="0.3">
      <c r="A166"/>
      <c r="B166"/>
      <c r="C166" s="13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 s="39"/>
    </row>
    <row r="167" spans="1:17" s="31" customFormat="1" ht="30" customHeight="1" thickBot="1" x14ac:dyDescent="0.3">
      <c r="A167" s="287" t="s">
        <v>175</v>
      </c>
      <c r="B167" s="288"/>
      <c r="C167" s="288"/>
      <c r="D167" s="288"/>
      <c r="E167" s="288"/>
      <c r="F167" s="214"/>
      <c r="G167" s="214"/>
      <c r="H167" s="214"/>
      <c r="I167" s="214"/>
      <c r="J167" s="214"/>
      <c r="K167" s="214"/>
      <c r="L167" s="214"/>
      <c r="M167" s="214"/>
      <c r="N167" s="214"/>
      <c r="O167" s="214"/>
      <c r="P167" s="214"/>
      <c r="Q167" s="124"/>
    </row>
    <row r="168" spans="1:17" s="39" customFormat="1" ht="30" customHeight="1" x14ac:dyDescent="0.25">
      <c r="A168" s="80">
        <f>+A164+1</f>
        <v>90</v>
      </c>
      <c r="B168" s="108" t="s">
        <v>190</v>
      </c>
      <c r="C168" s="36" t="s">
        <v>422</v>
      </c>
      <c r="D168" s="109" t="s">
        <v>51</v>
      </c>
      <c r="E168" s="108" t="s">
        <v>122</v>
      </c>
      <c r="F168" s="110">
        <v>100000</v>
      </c>
      <c r="G168" s="110">
        <f>F168*2.87%</f>
        <v>2870</v>
      </c>
      <c r="H168" s="82">
        <f>+F168*3.04%</f>
        <v>3040</v>
      </c>
      <c r="I168" s="82">
        <v>3154.9</v>
      </c>
      <c r="J168" s="77">
        <f t="shared" si="63"/>
        <v>9064.9</v>
      </c>
      <c r="K168" s="77">
        <f>+F168-J168</f>
        <v>90935.1</v>
      </c>
      <c r="L168" s="77">
        <f>+IF(K168*12&lt;=416220.01,0,IF(K168*12&lt;=624329.01,(((K168*12-416220.01)*0.15)/12),IF((K168*12&lt;=867123.01),(31216+0.2*(K168*12-624329.01))/12,((79776+0.25*(K168*12-867123.01))/12))))-M168</f>
        <v>11316.71229166667</v>
      </c>
      <c r="M168" s="77"/>
      <c r="N168" s="84">
        <v>25</v>
      </c>
      <c r="O168" s="107">
        <f t="shared" si="66"/>
        <v>20406.612291666672</v>
      </c>
      <c r="P168" s="78">
        <f>+F168-O168</f>
        <v>79593.387708333321</v>
      </c>
    </row>
    <row r="169" spans="1:17" s="39" customFormat="1" ht="30" customHeight="1" x14ac:dyDescent="0.25">
      <c r="A169" s="80">
        <f>+A168+1</f>
        <v>91</v>
      </c>
      <c r="B169" s="108" t="s">
        <v>277</v>
      </c>
      <c r="C169" s="36" t="s">
        <v>422</v>
      </c>
      <c r="D169" s="109" t="s">
        <v>51</v>
      </c>
      <c r="E169" s="108" t="s">
        <v>122</v>
      </c>
      <c r="F169" s="110">
        <v>95000</v>
      </c>
      <c r="G169" s="110">
        <f>F169*2.87%</f>
        <v>2726.5</v>
      </c>
      <c r="H169" s="82">
        <f>+F169*3.04%</f>
        <v>2888</v>
      </c>
      <c r="I169" s="82"/>
      <c r="J169" s="77">
        <f t="shared" si="63"/>
        <v>5614.5</v>
      </c>
      <c r="K169" s="77">
        <f t="shared" si="67"/>
        <v>89385.5</v>
      </c>
      <c r="L169" s="77">
        <f t="shared" ref="L169:L171" si="77">+IF(K169*12&lt;=416220.01,0,IF(K169*12&lt;=624329.01,(((K169*12-416220.01)*0.15)/12),IF((K169*12&lt;=867123.01),(31216+0.2*(K169*12-624329.01))/12,((79776+0.25*(K169*12-867123.01))/12))))-M169</f>
        <v>10929.312291666667</v>
      </c>
      <c r="M169" s="77"/>
      <c r="N169" s="84">
        <v>105</v>
      </c>
      <c r="O169" s="107">
        <f t="shared" si="66"/>
        <v>16648.812291666669</v>
      </c>
      <c r="P169" s="78">
        <f>+F169-O169</f>
        <v>78351.187708333338</v>
      </c>
    </row>
    <row r="170" spans="1:17" s="39" customFormat="1" ht="30" customHeight="1" x14ac:dyDescent="0.25">
      <c r="A170" s="80">
        <f>+A169+1</f>
        <v>92</v>
      </c>
      <c r="B170" s="108" t="s">
        <v>278</v>
      </c>
      <c r="C170" s="36" t="s">
        <v>421</v>
      </c>
      <c r="D170" s="109" t="s">
        <v>51</v>
      </c>
      <c r="E170" s="108" t="s">
        <v>122</v>
      </c>
      <c r="F170" s="110">
        <v>90000</v>
      </c>
      <c r="G170" s="110">
        <f>F170*2.87%</f>
        <v>2583</v>
      </c>
      <c r="H170" s="82">
        <f>F170*3.04%</f>
        <v>2736</v>
      </c>
      <c r="I170" s="82"/>
      <c r="J170" s="77">
        <f t="shared" si="63"/>
        <v>5319</v>
      </c>
      <c r="K170" s="77">
        <f t="shared" si="67"/>
        <v>84681</v>
      </c>
      <c r="L170" s="77">
        <f t="shared" si="77"/>
        <v>9753.1872916666671</v>
      </c>
      <c r="M170" s="77"/>
      <c r="N170" s="84">
        <v>65</v>
      </c>
      <c r="O170" s="107">
        <f t="shared" si="66"/>
        <v>15137.187291666667</v>
      </c>
      <c r="P170" s="78">
        <f>+F170-O170</f>
        <v>74862.812708333338</v>
      </c>
    </row>
    <row r="171" spans="1:17" s="39" customFormat="1" ht="30" customHeight="1" x14ac:dyDescent="0.25">
      <c r="A171" s="75">
        <f>+A170+1</f>
        <v>93</v>
      </c>
      <c r="B171" s="108" t="s">
        <v>47</v>
      </c>
      <c r="C171" s="36" t="s">
        <v>421</v>
      </c>
      <c r="D171" s="108" t="s">
        <v>51</v>
      </c>
      <c r="E171" s="108" t="s">
        <v>121</v>
      </c>
      <c r="F171" s="110">
        <v>80000</v>
      </c>
      <c r="G171" s="110">
        <f>F171*2.87%</f>
        <v>2296</v>
      </c>
      <c r="H171" s="82">
        <f>+F171*3.04%</f>
        <v>2432</v>
      </c>
      <c r="I171" s="82">
        <v>1577.45</v>
      </c>
      <c r="J171" s="77">
        <f t="shared" si="63"/>
        <v>6305.45</v>
      </c>
      <c r="K171" s="77">
        <f t="shared" si="67"/>
        <v>73694.55</v>
      </c>
      <c r="L171" s="77">
        <f t="shared" si="77"/>
        <v>7006.5747916666687</v>
      </c>
      <c r="M171" s="77"/>
      <c r="N171" s="84">
        <v>205</v>
      </c>
      <c r="O171" s="107">
        <f t="shared" si="66"/>
        <v>13517.024791666669</v>
      </c>
      <c r="P171" s="78">
        <f>+F171-O171</f>
        <v>66482.97520833333</v>
      </c>
    </row>
    <row r="172" spans="1:17" s="53" customFormat="1" ht="30" customHeight="1" x14ac:dyDescent="0.25">
      <c r="A172" s="208" t="s">
        <v>125</v>
      </c>
      <c r="B172" s="209"/>
      <c r="C172" s="209"/>
      <c r="D172" s="209"/>
      <c r="E172" s="210"/>
      <c r="F172" s="37">
        <f>SUM(F168:F171)</f>
        <v>365000</v>
      </c>
      <c r="G172" s="37">
        <f t="shared" ref="F172:O172" si="78">SUM(G168:G171)</f>
        <v>10475.5</v>
      </c>
      <c r="H172" s="37">
        <f t="shared" si="78"/>
        <v>11096</v>
      </c>
      <c r="I172" s="37">
        <f t="shared" si="78"/>
        <v>4732.3500000000004</v>
      </c>
      <c r="J172" s="37">
        <f t="shared" si="78"/>
        <v>26303.850000000002</v>
      </c>
      <c r="K172" s="37">
        <f t="shared" si="78"/>
        <v>338696.14999999997</v>
      </c>
      <c r="L172" s="37">
        <f t="shared" si="78"/>
        <v>39005.786666666674</v>
      </c>
      <c r="M172" s="37">
        <f t="shared" si="78"/>
        <v>0</v>
      </c>
      <c r="N172" s="37">
        <f t="shared" si="78"/>
        <v>400</v>
      </c>
      <c r="O172" s="37">
        <f t="shared" si="78"/>
        <v>65709.636666666673</v>
      </c>
      <c r="P172" s="37">
        <f>SUM(P168:P171)</f>
        <v>299290.36333333334</v>
      </c>
      <c r="Q172" s="39"/>
    </row>
    <row r="173" spans="1:17" s="39" customFormat="1" ht="30" customHeight="1" thickBot="1" x14ac:dyDescent="0.3">
      <c r="A173" s="222"/>
      <c r="B173" s="222"/>
      <c r="C173" s="222"/>
      <c r="D173" s="222"/>
      <c r="E173" s="222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</row>
    <row r="174" spans="1:17" s="39" customFormat="1" ht="30" customHeight="1" thickBot="1" x14ac:dyDescent="0.3">
      <c r="A174" s="211" t="s">
        <v>291</v>
      </c>
      <c r="B174" s="212"/>
      <c r="C174" s="212"/>
      <c r="D174" s="212"/>
      <c r="E174" s="212"/>
      <c r="F174" s="212"/>
      <c r="G174" s="212"/>
      <c r="H174" s="212"/>
      <c r="I174" s="212"/>
      <c r="J174" s="212"/>
      <c r="K174" s="212"/>
      <c r="L174" s="212"/>
      <c r="M174" s="212"/>
      <c r="N174" s="212"/>
      <c r="O174" s="212"/>
      <c r="P174" s="212"/>
    </row>
    <row r="175" spans="1:17" s="47" customFormat="1" ht="30.75" customHeight="1" thickBot="1" x14ac:dyDescent="0.3">
      <c r="A175" s="211" t="s">
        <v>292</v>
      </c>
      <c r="B175" s="212"/>
      <c r="C175" s="212"/>
      <c r="D175" s="212"/>
      <c r="E175" s="212"/>
      <c r="F175" s="212"/>
      <c r="G175" s="212"/>
      <c r="H175" s="212"/>
      <c r="I175" s="212"/>
      <c r="J175" s="212"/>
      <c r="K175" s="212"/>
      <c r="L175" s="212"/>
      <c r="M175" s="212"/>
      <c r="N175" s="212"/>
      <c r="O175" s="212"/>
      <c r="P175" s="212"/>
    </row>
    <row r="176" spans="1:17" s="47" customFormat="1" ht="30.75" customHeight="1" x14ac:dyDescent="0.25">
      <c r="A176" s="80">
        <f>+A171+1</f>
        <v>94</v>
      </c>
      <c r="B176" s="108" t="s">
        <v>280</v>
      </c>
      <c r="C176" s="36" t="s">
        <v>422</v>
      </c>
      <c r="D176" s="126" t="s">
        <v>574</v>
      </c>
      <c r="E176" s="108" t="s">
        <v>121</v>
      </c>
      <c r="F176" s="110">
        <v>120000</v>
      </c>
      <c r="G176" s="110">
        <f>F176*2.87%</f>
        <v>3444</v>
      </c>
      <c r="H176" s="82">
        <f>+F176*3.04%</f>
        <v>3648</v>
      </c>
      <c r="I176" s="82"/>
      <c r="J176" s="77">
        <f t="shared" si="63"/>
        <v>7092</v>
      </c>
      <c r="K176" s="77">
        <f t="shared" si="67"/>
        <v>112908</v>
      </c>
      <c r="L176" s="77">
        <f>+IF(K176*12&lt;=416220.01,0,IF(K176*12&lt;=624329.01,(((K176*12-416220.01)*0.15)/12),IF((K176*12&lt;=867123.01),(31216+0.2*(K176*12-624329.01))/12,((79776+0.25*(K176*12-867123.01))/12))))-M176</f>
        <v>16809.937291666665</v>
      </c>
      <c r="M176" s="77"/>
      <c r="N176" s="84">
        <v>25</v>
      </c>
      <c r="O176" s="107">
        <f t="shared" si="66"/>
        <v>23926.937291666665</v>
      </c>
      <c r="P176" s="84">
        <f>+F176-O176</f>
        <v>96073.062708333338</v>
      </c>
    </row>
    <row r="177" spans="1:17" s="53" customFormat="1" ht="30" customHeight="1" x14ac:dyDescent="0.25">
      <c r="A177" s="157">
        <f>+A176+1</f>
        <v>95</v>
      </c>
      <c r="B177" s="113" t="s">
        <v>573</v>
      </c>
      <c r="C177" s="174" t="s">
        <v>422</v>
      </c>
      <c r="D177" s="126" t="s">
        <v>279</v>
      </c>
      <c r="E177" s="108" t="s">
        <v>121</v>
      </c>
      <c r="F177" s="110">
        <v>90000</v>
      </c>
      <c r="G177" s="110">
        <f>F177*2.87%</f>
        <v>2583</v>
      </c>
      <c r="H177" s="82">
        <f>+F177*3.04%</f>
        <v>2736</v>
      </c>
      <c r="I177" s="82"/>
      <c r="J177" s="77">
        <f t="shared" si="63"/>
        <v>5319</v>
      </c>
      <c r="K177" s="77">
        <f t="shared" si="67"/>
        <v>84681</v>
      </c>
      <c r="L177" s="77">
        <f>+IF(K177*12&lt;=416220.01,0,IF(K177*12&lt;=624329.01,(((K177*12-416220.01)*0.15)/12),IF((K177*12&lt;=867123.01),(31216+0.2*(K177*12-624329.01))/12,((79776+0.25*(K177*12-867123.01))/12))))-M177</f>
        <v>9753.1872916666671</v>
      </c>
      <c r="M177" s="77"/>
      <c r="N177" s="84">
        <v>25</v>
      </c>
      <c r="O177" s="107">
        <f t="shared" si="66"/>
        <v>15097.187291666667</v>
      </c>
      <c r="P177" s="84">
        <f>+F177-O177</f>
        <v>74902.812708333338</v>
      </c>
      <c r="Q177" s="39"/>
    </row>
    <row r="178" spans="1:17" s="39" customFormat="1" ht="30" customHeight="1" x14ac:dyDescent="0.25">
      <c r="A178" s="208" t="s">
        <v>125</v>
      </c>
      <c r="B178" s="209"/>
      <c r="C178" s="209"/>
      <c r="D178" s="209"/>
      <c r="E178" s="210"/>
      <c r="F178" s="37">
        <f>SUM(F176:F177)</f>
        <v>210000</v>
      </c>
      <c r="G178" s="37">
        <f t="shared" ref="G178:P178" si="79">SUM(G176:G177)</f>
        <v>6027</v>
      </c>
      <c r="H178" s="37">
        <f t="shared" si="79"/>
        <v>6384</v>
      </c>
      <c r="I178" s="37">
        <f t="shared" si="79"/>
        <v>0</v>
      </c>
      <c r="J178" s="37">
        <f t="shared" si="79"/>
        <v>12411</v>
      </c>
      <c r="K178" s="37">
        <f>SUM(K176:K177)</f>
        <v>197589</v>
      </c>
      <c r="L178" s="37">
        <f t="shared" si="79"/>
        <v>26563.124583333331</v>
      </c>
      <c r="M178" s="37">
        <f t="shared" si="79"/>
        <v>0</v>
      </c>
      <c r="N178" s="37">
        <f t="shared" si="79"/>
        <v>50</v>
      </c>
      <c r="O178" s="37">
        <f t="shared" si="79"/>
        <v>39024.124583333331</v>
      </c>
      <c r="P178" s="37">
        <f t="shared" si="79"/>
        <v>170975.87541666668</v>
      </c>
    </row>
    <row r="179" spans="1:17" s="39" customFormat="1" ht="24" customHeight="1" thickBot="1" x14ac:dyDescent="0.3">
      <c r="C179" s="41"/>
    </row>
    <row r="180" spans="1:17" s="53" customFormat="1" ht="51" customHeight="1" thickBot="1" x14ac:dyDescent="0.3">
      <c r="A180" s="211" t="s">
        <v>90</v>
      </c>
      <c r="B180" s="212"/>
      <c r="C180" s="212"/>
      <c r="D180" s="212"/>
      <c r="E180" s="212"/>
      <c r="F180" s="212"/>
      <c r="G180" s="212"/>
      <c r="H180" s="212"/>
      <c r="I180" s="212"/>
      <c r="J180" s="212"/>
      <c r="K180" s="212"/>
      <c r="L180" s="212"/>
      <c r="M180" s="212"/>
      <c r="N180" s="212"/>
      <c r="O180" s="212"/>
      <c r="P180" s="212"/>
      <c r="Q180" s="39"/>
    </row>
    <row r="181" spans="1:17" s="53" customFormat="1" ht="30" customHeight="1" x14ac:dyDescent="0.25">
      <c r="A181" s="80">
        <f>+A177+1</f>
        <v>96</v>
      </c>
      <c r="B181" s="108" t="s">
        <v>77</v>
      </c>
      <c r="C181" s="36" t="s">
        <v>421</v>
      </c>
      <c r="D181" s="126" t="s">
        <v>575</v>
      </c>
      <c r="E181" s="108" t="s">
        <v>121</v>
      </c>
      <c r="F181" s="107">
        <v>120000</v>
      </c>
      <c r="G181" s="77">
        <f>F181*2.87%</f>
        <v>3444</v>
      </c>
      <c r="H181" s="77">
        <f>+F181*3.04%</f>
        <v>3648</v>
      </c>
      <c r="I181" s="77"/>
      <c r="J181" s="77">
        <f t="shared" si="63"/>
        <v>7092</v>
      </c>
      <c r="K181" s="77">
        <f t="shared" si="67"/>
        <v>112908</v>
      </c>
      <c r="L181" s="77">
        <f>+IF(K181*12&lt;=416220.01,0,IF(K181*12&lt;=624329.01,(((K181*12-416220.01)*0.15)/12),IF((K181*12&lt;=867123.01),(31216+0.2*(K181*12-624329.01))/12,((79776+0.25*(K181*12-867123.01))/12))))-M181</f>
        <v>16809.937291666665</v>
      </c>
      <c r="M181" s="77"/>
      <c r="N181" s="84">
        <v>125</v>
      </c>
      <c r="O181" s="107">
        <f t="shared" si="66"/>
        <v>24026.937291666665</v>
      </c>
      <c r="P181" s="84">
        <f>+F181-O181</f>
        <v>95973.062708333338</v>
      </c>
      <c r="Q181" s="39"/>
    </row>
    <row r="182" spans="1:17" s="53" customFormat="1" ht="30" customHeight="1" thickBot="1" x14ac:dyDescent="0.3">
      <c r="A182" s="208" t="s">
        <v>125</v>
      </c>
      <c r="B182" s="209"/>
      <c r="C182" s="209"/>
      <c r="D182" s="209"/>
      <c r="E182" s="210"/>
      <c r="F182" s="37">
        <f>SUM(F181:F181)</f>
        <v>120000</v>
      </c>
      <c r="G182" s="37">
        <f t="shared" ref="F182:P182" si="80">SUM(G181:G181)</f>
        <v>3444</v>
      </c>
      <c r="H182" s="37">
        <f t="shared" si="80"/>
        <v>3648</v>
      </c>
      <c r="I182" s="37">
        <f t="shared" si="80"/>
        <v>0</v>
      </c>
      <c r="J182" s="37">
        <f t="shared" si="80"/>
        <v>7092</v>
      </c>
      <c r="K182" s="37">
        <f t="shared" si="80"/>
        <v>112908</v>
      </c>
      <c r="L182" s="37">
        <f t="shared" si="80"/>
        <v>16809.937291666665</v>
      </c>
      <c r="M182" s="37">
        <f t="shared" si="80"/>
        <v>0</v>
      </c>
      <c r="N182" s="37">
        <f t="shared" si="80"/>
        <v>125</v>
      </c>
      <c r="O182" s="37">
        <f t="shared" si="80"/>
        <v>24026.937291666665</v>
      </c>
      <c r="P182" s="37">
        <f t="shared" si="80"/>
        <v>95973.062708333338</v>
      </c>
      <c r="Q182" s="39"/>
    </row>
    <row r="183" spans="1:17" s="39" customFormat="1" ht="30" customHeight="1" thickBot="1" x14ac:dyDescent="0.3">
      <c r="A183" s="211" t="s">
        <v>91</v>
      </c>
      <c r="B183" s="212"/>
      <c r="C183" s="212"/>
      <c r="D183" s="212"/>
      <c r="E183" s="212"/>
      <c r="F183" s="212"/>
      <c r="G183" s="212"/>
      <c r="H183" s="212"/>
      <c r="I183" s="212"/>
      <c r="J183" s="212"/>
      <c r="K183" s="212"/>
      <c r="L183" s="212"/>
      <c r="M183" s="212"/>
      <c r="N183" s="212"/>
      <c r="O183" s="212"/>
      <c r="P183" s="212"/>
    </row>
    <row r="184" spans="1:17" s="39" customFormat="1" ht="25.5" customHeight="1" x14ac:dyDescent="0.25">
      <c r="A184" s="75">
        <f>+A181+1</f>
        <v>97</v>
      </c>
      <c r="B184" s="112" t="s">
        <v>281</v>
      </c>
      <c r="C184" s="122" t="s">
        <v>422</v>
      </c>
      <c r="D184" s="123" t="s">
        <v>465</v>
      </c>
      <c r="E184" s="108" t="s">
        <v>122</v>
      </c>
      <c r="F184" s="107">
        <v>170500</v>
      </c>
      <c r="G184" s="82">
        <v>4893.3500000000004</v>
      </c>
      <c r="H184" s="107">
        <f>+F184*3.04%</f>
        <v>5183.2</v>
      </c>
      <c r="I184" s="82">
        <v>1577.45</v>
      </c>
      <c r="J184" s="77">
        <f t="shared" si="63"/>
        <v>11654</v>
      </c>
      <c r="K184" s="77">
        <f t="shared" si="67"/>
        <v>158846</v>
      </c>
      <c r="L184" s="77">
        <f>+IF(K184*12&lt;=416220.01,0,IF(K184*12&lt;=624329.01,(((K184*12-416220.01)*0.15)/12),IF((K184*12&lt;=867123.01),(31216+0.2*(K184*12-624329.01))/12,((79776+0.25*(K184*12-867123.01))/12))))-M184</f>
        <v>28294.437291666665</v>
      </c>
      <c r="M184" s="77"/>
      <c r="N184" s="84">
        <v>25</v>
      </c>
      <c r="O184" s="107">
        <f t="shared" si="66"/>
        <v>39973.437291666662</v>
      </c>
      <c r="P184" s="84">
        <f>+F184-O184</f>
        <v>130526.56270833334</v>
      </c>
    </row>
    <row r="185" spans="1:17" s="53" customFormat="1" ht="30" customHeight="1" x14ac:dyDescent="0.25">
      <c r="A185" s="75">
        <f>+A184+1</f>
        <v>98</v>
      </c>
      <c r="B185" s="112" t="s">
        <v>14</v>
      </c>
      <c r="C185" s="122" t="s">
        <v>422</v>
      </c>
      <c r="D185" s="147" t="s">
        <v>107</v>
      </c>
      <c r="E185" s="112" t="s">
        <v>198</v>
      </c>
      <c r="F185" s="107">
        <v>135000</v>
      </c>
      <c r="G185" s="107">
        <f>F185*2.87%</f>
        <v>3874.5</v>
      </c>
      <c r="H185" s="107">
        <f>+F185*3.04%</f>
        <v>4104</v>
      </c>
      <c r="I185" s="107"/>
      <c r="J185" s="77">
        <f t="shared" si="63"/>
        <v>7978.5</v>
      </c>
      <c r="K185" s="77">
        <f t="shared" si="67"/>
        <v>127021.5</v>
      </c>
      <c r="L185" s="77">
        <f>+IF(K185*12&lt;=416220.01,0,IF(K185*12&lt;=624329.01,(((K185*12-416220.01)*0.15)/12),IF((K185*12&lt;=867123.01),(31216+0.2*(K185*12-624329.01))/12,((79776+0.25*(K185*12-867123.01))/12))))-M185</f>
        <v>20338.312291666665</v>
      </c>
      <c r="M185" s="77"/>
      <c r="N185" s="78">
        <v>25</v>
      </c>
      <c r="O185" s="107">
        <f t="shared" si="66"/>
        <v>28341.812291666665</v>
      </c>
      <c r="P185" s="111">
        <f>+F185-O185</f>
        <v>106658.18770833334</v>
      </c>
      <c r="Q185" s="39"/>
    </row>
    <row r="186" spans="1:17" s="53" customFormat="1" ht="30" customHeight="1" x14ac:dyDescent="0.25">
      <c r="A186" s="75">
        <f>+A185+1</f>
        <v>99</v>
      </c>
      <c r="B186" s="108" t="s">
        <v>15</v>
      </c>
      <c r="C186" s="122" t="s">
        <v>422</v>
      </c>
      <c r="D186" s="123" t="s">
        <v>542</v>
      </c>
      <c r="E186" s="108" t="s">
        <v>121</v>
      </c>
      <c r="F186" s="110">
        <v>110000</v>
      </c>
      <c r="G186" s="110">
        <f>F186*2.87%</f>
        <v>3157</v>
      </c>
      <c r="H186" s="82">
        <f>+F186*3.04%</f>
        <v>3344</v>
      </c>
      <c r="I186" s="82"/>
      <c r="J186" s="77">
        <f>+G186+H186+I186</f>
        <v>6501</v>
      </c>
      <c r="K186" s="77">
        <f>+F186-J186</f>
        <v>103499</v>
      </c>
      <c r="L186" s="77">
        <f>+IF(K186*12&lt;=416220.01,0,IF(K186*12&lt;=624329.01,(((K186*12-416220.01)*0.15)/12),IF((K186*12&lt;=867123.01),(31216+0.2*(K186*12-624329.01))/12,((79776+0.25*(K186*12-867123.01))/12))))-M186</f>
        <v>14457.687291666667</v>
      </c>
      <c r="M186" s="77"/>
      <c r="N186" s="78">
        <v>25</v>
      </c>
      <c r="O186" s="107">
        <f>+N186+I186+H186+G186+L186</f>
        <v>20983.687291666669</v>
      </c>
      <c r="P186" s="78">
        <f>+F186-O186</f>
        <v>89016.312708333338</v>
      </c>
      <c r="Q186" s="39"/>
    </row>
    <row r="187" spans="1:17" s="53" customFormat="1" ht="30" customHeight="1" x14ac:dyDescent="0.25">
      <c r="A187" s="208" t="s">
        <v>125</v>
      </c>
      <c r="B187" s="209"/>
      <c r="C187" s="209"/>
      <c r="D187" s="209"/>
      <c r="E187" s="210"/>
      <c r="F187" s="37">
        <f>SUM(F184:F186)</f>
        <v>415500</v>
      </c>
      <c r="G187" s="37">
        <f t="shared" ref="G187:P187" si="81">SUM(G184:G186)</f>
        <v>11924.85</v>
      </c>
      <c r="H187" s="37">
        <f t="shared" si="81"/>
        <v>12631.2</v>
      </c>
      <c r="I187" s="37">
        <f t="shared" si="81"/>
        <v>1577.45</v>
      </c>
      <c r="J187" s="37">
        <f t="shared" si="81"/>
        <v>26133.5</v>
      </c>
      <c r="K187" s="37">
        <f>SUM(K184:K186)</f>
        <v>389366.5</v>
      </c>
      <c r="L187" s="37">
        <f t="shared" si="81"/>
        <v>63090.436874999999</v>
      </c>
      <c r="M187" s="37">
        <f t="shared" si="81"/>
        <v>0</v>
      </c>
      <c r="N187" s="37">
        <f t="shared" si="81"/>
        <v>75</v>
      </c>
      <c r="O187" s="37">
        <f t="shared" si="81"/>
        <v>89298.936874999985</v>
      </c>
      <c r="P187" s="37">
        <f t="shared" si="81"/>
        <v>326201.06312499999</v>
      </c>
      <c r="Q187" s="39"/>
    </row>
    <row r="188" spans="1:17" s="53" customFormat="1" ht="30" customHeight="1" thickBot="1" x14ac:dyDescent="0.3">
      <c r="A188" s="50"/>
      <c r="B188" s="50"/>
      <c r="C188" s="50"/>
      <c r="D188" s="50"/>
      <c r="E188" s="50"/>
      <c r="F188"/>
      <c r="G188"/>
      <c r="H188"/>
      <c r="I188"/>
      <c r="J188"/>
      <c r="K188"/>
      <c r="L188"/>
      <c r="M188"/>
      <c r="N188"/>
      <c r="O188"/>
      <c r="P188"/>
      <c r="Q188" s="39"/>
    </row>
    <row r="189" spans="1:17" s="39" customFormat="1" ht="30" customHeight="1" thickBot="1" x14ac:dyDescent="0.3">
      <c r="A189" s="211" t="s">
        <v>290</v>
      </c>
      <c r="B189" s="212"/>
      <c r="C189" s="212"/>
      <c r="D189" s="212"/>
      <c r="E189" s="212"/>
      <c r="F189" s="212"/>
      <c r="G189" s="212"/>
      <c r="H189" s="212"/>
      <c r="I189" s="212"/>
      <c r="J189" s="212"/>
      <c r="K189" s="212"/>
      <c r="L189" s="212"/>
      <c r="M189" s="212"/>
      <c r="N189" s="212"/>
      <c r="O189" s="212"/>
      <c r="P189" s="212"/>
    </row>
    <row r="190" spans="1:17" s="39" customFormat="1" ht="33" customHeight="1" x14ac:dyDescent="0.25">
      <c r="A190" s="75">
        <f>+A186+1</f>
        <v>100</v>
      </c>
      <c r="B190" s="81" t="s">
        <v>58</v>
      </c>
      <c r="C190" s="80" t="s">
        <v>422</v>
      </c>
      <c r="D190" s="85" t="s">
        <v>540</v>
      </c>
      <c r="E190" s="81" t="s">
        <v>121</v>
      </c>
      <c r="F190" s="82">
        <v>115000</v>
      </c>
      <c r="G190" s="82">
        <f>F190*2.87%</f>
        <v>3300.5</v>
      </c>
      <c r="H190" s="82">
        <f>+F190*3.04%</f>
        <v>3496</v>
      </c>
      <c r="I190" s="82">
        <v>1577.45</v>
      </c>
      <c r="J190" s="77">
        <f t="shared" si="63"/>
        <v>8373.9500000000007</v>
      </c>
      <c r="K190" s="77">
        <f t="shared" si="67"/>
        <v>106626.05</v>
      </c>
      <c r="L190" s="77">
        <f t="shared" ref="L190:L193" si="82">+IF(K190*12&lt;=416220.01,0,IF(K190*12&lt;=624329.01,(((K190*12-416220.01)*0.15)/12),IF((K190*12&lt;=867123.01),(31216+0.2*(K190*12-624329.01))/12,((79776+0.25*(K190*12-867123.01))/12))))-M190</f>
        <v>15239.449791666668</v>
      </c>
      <c r="M190" s="77"/>
      <c r="N190" s="84">
        <v>25</v>
      </c>
      <c r="O190" s="107">
        <f t="shared" si="66"/>
        <v>23638.39979166667</v>
      </c>
      <c r="P190" s="78">
        <f>+F190-O190</f>
        <v>91361.60020833333</v>
      </c>
    </row>
    <row r="191" spans="1:17" s="53" customFormat="1" ht="30" customHeight="1" x14ac:dyDescent="0.25">
      <c r="A191" s="75">
        <f t="shared" ref="A191:A193" si="83">+A190+1</f>
        <v>101</v>
      </c>
      <c r="B191" s="81" t="s">
        <v>252</v>
      </c>
      <c r="C191" s="80" t="s">
        <v>422</v>
      </c>
      <c r="D191" s="85" t="s">
        <v>51</v>
      </c>
      <c r="E191" s="81" t="s">
        <v>121</v>
      </c>
      <c r="F191" s="82">
        <v>85000</v>
      </c>
      <c r="G191" s="82">
        <f>F191*2.87%</f>
        <v>2439.5</v>
      </c>
      <c r="H191" s="82">
        <f>+F191*3.04%</f>
        <v>2584</v>
      </c>
      <c r="I191" s="82"/>
      <c r="J191" s="77">
        <f t="shared" si="63"/>
        <v>5023.5</v>
      </c>
      <c r="K191" s="77">
        <f t="shared" si="67"/>
        <v>79976.5</v>
      </c>
      <c r="L191" s="77">
        <f t="shared" si="82"/>
        <v>8577.0622916666671</v>
      </c>
      <c r="M191" s="77"/>
      <c r="N191" s="84">
        <v>7625</v>
      </c>
      <c r="O191" s="107">
        <f t="shared" si="66"/>
        <v>21225.562291666669</v>
      </c>
      <c r="P191" s="78">
        <f>+F191-O191</f>
        <v>63774.437708333331</v>
      </c>
      <c r="Q191" s="39"/>
    </row>
    <row r="192" spans="1:17" s="39" customFormat="1" ht="29.25" customHeight="1" x14ac:dyDescent="0.25">
      <c r="A192" s="75">
        <f t="shared" si="83"/>
        <v>102</v>
      </c>
      <c r="B192" s="246" t="s">
        <v>286</v>
      </c>
      <c r="C192" s="171" t="s">
        <v>422</v>
      </c>
      <c r="D192" s="109" t="s">
        <v>285</v>
      </c>
      <c r="E192" s="172" t="s">
        <v>122</v>
      </c>
      <c r="F192" s="110">
        <v>90000</v>
      </c>
      <c r="G192" s="110">
        <f>F192*2.87%</f>
        <v>2583</v>
      </c>
      <c r="H192" s="82">
        <f>+F192*3.04%</f>
        <v>2736</v>
      </c>
      <c r="I192" s="82"/>
      <c r="J192" s="77">
        <f t="shared" si="63"/>
        <v>5319</v>
      </c>
      <c r="K192" s="77">
        <f t="shared" si="67"/>
        <v>84681</v>
      </c>
      <c r="L192" s="77">
        <f t="shared" si="82"/>
        <v>9753.1872916666671</v>
      </c>
      <c r="M192" s="77"/>
      <c r="N192" s="84">
        <v>25</v>
      </c>
      <c r="O192" s="107">
        <f t="shared" si="66"/>
        <v>15097.187291666667</v>
      </c>
      <c r="P192" s="78">
        <f>+F192-O192</f>
        <v>74902.812708333338</v>
      </c>
    </row>
    <row r="193" spans="1:17" s="53" customFormat="1" ht="30" customHeight="1" x14ac:dyDescent="0.25">
      <c r="A193" s="75">
        <f t="shared" si="83"/>
        <v>103</v>
      </c>
      <c r="B193" s="108" t="s">
        <v>283</v>
      </c>
      <c r="C193" s="36" t="s">
        <v>422</v>
      </c>
      <c r="D193" s="108" t="s">
        <v>66</v>
      </c>
      <c r="E193" s="108" t="s">
        <v>122</v>
      </c>
      <c r="F193" s="110">
        <v>50000</v>
      </c>
      <c r="G193" s="82">
        <f>F193*2.87%</f>
        <v>1435</v>
      </c>
      <c r="H193" s="82">
        <f>+F193*3.04%</f>
        <v>1520</v>
      </c>
      <c r="I193" s="82">
        <v>1577.45</v>
      </c>
      <c r="J193" s="77">
        <f t="shared" si="63"/>
        <v>4532.45</v>
      </c>
      <c r="K193" s="77">
        <f t="shared" si="67"/>
        <v>45467.55</v>
      </c>
      <c r="L193" s="77">
        <f t="shared" si="82"/>
        <v>1617.382375000001</v>
      </c>
      <c r="M193" s="77"/>
      <c r="N193" s="78">
        <v>13526.36</v>
      </c>
      <c r="O193" s="107">
        <f t="shared" si="66"/>
        <v>19676.192375000002</v>
      </c>
      <c r="P193" s="84">
        <f>+F193-O193</f>
        <v>30323.807624999998</v>
      </c>
      <c r="Q193" s="39"/>
    </row>
    <row r="194" spans="1:17" s="87" customFormat="1" ht="30" customHeight="1" x14ac:dyDescent="0.25">
      <c r="A194" s="208" t="s">
        <v>125</v>
      </c>
      <c r="B194" s="209"/>
      <c r="C194" s="209"/>
      <c r="D194" s="209"/>
      <c r="E194" s="210"/>
      <c r="F194" s="37">
        <f>SUM(F190:F193)</f>
        <v>340000</v>
      </c>
      <c r="G194" s="37">
        <f>SUM(G190:G193)</f>
        <v>9758</v>
      </c>
      <c r="H194" s="37">
        <f>SUM(H190:H193)</f>
        <v>10336</v>
      </c>
      <c r="I194" s="37">
        <f>SUM(I190:I193)</f>
        <v>3154.9</v>
      </c>
      <c r="J194" s="37">
        <f t="shared" ref="J194:M194" si="84">SUM(J190:J193)</f>
        <v>23248.9</v>
      </c>
      <c r="K194" s="37">
        <f>SUM(K190:K193)</f>
        <v>316751.09999999998</v>
      </c>
      <c r="L194" s="37">
        <f>SUM(L190:L193)</f>
        <v>35187.081750000005</v>
      </c>
      <c r="M194" s="37">
        <f t="shared" si="84"/>
        <v>0</v>
      </c>
      <c r="N194" s="37">
        <f>SUM(N190:N193)</f>
        <v>21201.360000000001</v>
      </c>
      <c r="O194" s="37">
        <f>SUM(O190:O193)</f>
        <v>79637.341750000007</v>
      </c>
      <c r="P194" s="37">
        <f>SUM(P190:P193)</f>
        <v>260362.65824999998</v>
      </c>
      <c r="Q194" s="47"/>
    </row>
    <row r="195" spans="1:17" s="53" customFormat="1" ht="30" customHeight="1" thickBot="1" x14ac:dyDescent="0.3">
      <c r="A195" s="41"/>
      <c r="B195" s="48"/>
      <c r="C195" s="139"/>
      <c r="D195" s="48"/>
      <c r="E195" s="48"/>
      <c r="F195" s="4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</row>
    <row r="196" spans="1:17" s="39" customFormat="1" ht="30" customHeight="1" thickBot="1" x14ac:dyDescent="0.3">
      <c r="A196" s="211" t="s">
        <v>92</v>
      </c>
      <c r="B196" s="212"/>
      <c r="C196" s="212"/>
      <c r="D196" s="212"/>
      <c r="E196" s="212"/>
      <c r="F196" s="212"/>
      <c r="G196" s="212"/>
      <c r="H196" s="212"/>
      <c r="I196" s="212"/>
      <c r="J196" s="212"/>
      <c r="K196" s="212"/>
      <c r="L196" s="212"/>
      <c r="M196" s="212"/>
      <c r="N196" s="212"/>
      <c r="O196" s="212"/>
      <c r="P196" s="212"/>
    </row>
    <row r="197" spans="1:17" s="53" customFormat="1" ht="30" customHeight="1" x14ac:dyDescent="0.25">
      <c r="A197" s="80">
        <f>+A193+1</f>
        <v>104</v>
      </c>
      <c r="B197" s="112" t="s">
        <v>74</v>
      </c>
      <c r="C197" s="122" t="s">
        <v>422</v>
      </c>
      <c r="D197" s="123" t="s">
        <v>576</v>
      </c>
      <c r="E197" s="112" t="s">
        <v>121</v>
      </c>
      <c r="F197" s="110">
        <v>110000</v>
      </c>
      <c r="G197" s="82">
        <f t="shared" ref="G197:G200" si="85">F197*2.87%</f>
        <v>3157</v>
      </c>
      <c r="H197" s="82">
        <f t="shared" ref="H197:H200" si="86">+F197*3.04%</f>
        <v>3344</v>
      </c>
      <c r="I197" s="82"/>
      <c r="J197" s="77">
        <f t="shared" si="63"/>
        <v>6501</v>
      </c>
      <c r="K197" s="77">
        <f t="shared" si="67"/>
        <v>103499</v>
      </c>
      <c r="L197" s="77">
        <f>+IF(K197*12&lt;=416220.01,0,IF(K197*12&lt;=624329.01,(((K197*12-416220.01)*0.15)/12),IF((K197*12&lt;=867123.01),(31216+0.2*(K197*12-624329.01))/12,((79776+0.25*(K197*12-867123.01))/12))))-M197</f>
        <v>14457.687291666667</v>
      </c>
      <c r="M197" s="77"/>
      <c r="N197" s="78">
        <v>3025</v>
      </c>
      <c r="O197" s="107">
        <f t="shared" si="66"/>
        <v>23983.687291666669</v>
      </c>
      <c r="P197" s="78">
        <f t="shared" ref="P197:P202" si="87">+F197-O197</f>
        <v>86016.312708333338</v>
      </c>
      <c r="Q197" s="39"/>
    </row>
    <row r="198" spans="1:17" s="39" customFormat="1" ht="31.5" customHeight="1" x14ac:dyDescent="0.25">
      <c r="A198" s="80">
        <f t="shared" ref="A198:A201" si="88">+A197+1</f>
        <v>105</v>
      </c>
      <c r="B198" s="108" t="s">
        <v>86</v>
      </c>
      <c r="C198" s="36" t="s">
        <v>422</v>
      </c>
      <c r="D198" s="109" t="s">
        <v>287</v>
      </c>
      <c r="E198" s="108" t="s">
        <v>121</v>
      </c>
      <c r="F198" s="110">
        <v>90000</v>
      </c>
      <c r="G198" s="82">
        <f t="shared" si="85"/>
        <v>2583</v>
      </c>
      <c r="H198" s="82">
        <f t="shared" si="86"/>
        <v>2736</v>
      </c>
      <c r="I198" s="82">
        <v>1577.45</v>
      </c>
      <c r="J198" s="77">
        <f t="shared" si="63"/>
        <v>6896.45</v>
      </c>
      <c r="K198" s="77">
        <f t="shared" si="67"/>
        <v>83103.55</v>
      </c>
      <c r="L198" s="77">
        <f t="shared" ref="L198:L202" si="89">+IF(K198*12&lt;=416220.01,0,IF(K198*12&lt;=624329.01,(((K198*12-416220.01)*0.15)/12),IF((K198*12&lt;=867123.01),(31216+0.2*(K198*12-624329.01))/12,((79776+0.25*(K198*12-867123.01))/12))))-M198</f>
        <v>9358.8247916666678</v>
      </c>
      <c r="M198" s="77"/>
      <c r="N198" s="84">
        <v>25</v>
      </c>
      <c r="O198" s="107">
        <f t="shared" si="66"/>
        <v>16280.274791666667</v>
      </c>
      <c r="P198" s="78">
        <f t="shared" si="87"/>
        <v>73719.72520833333</v>
      </c>
    </row>
    <row r="199" spans="1:17" s="39" customFormat="1" ht="33" customHeight="1" x14ac:dyDescent="0.25">
      <c r="A199" s="80">
        <f>+A198+1</f>
        <v>106</v>
      </c>
      <c r="B199" s="108" t="s">
        <v>73</v>
      </c>
      <c r="C199" s="36" t="s">
        <v>422</v>
      </c>
      <c r="D199" s="109" t="s">
        <v>576</v>
      </c>
      <c r="E199" s="108" t="s">
        <v>121</v>
      </c>
      <c r="F199" s="110">
        <v>110000</v>
      </c>
      <c r="G199" s="82">
        <f t="shared" si="85"/>
        <v>3157</v>
      </c>
      <c r="H199" s="82">
        <f t="shared" si="86"/>
        <v>3344</v>
      </c>
      <c r="I199" s="82"/>
      <c r="J199" s="77">
        <f t="shared" si="63"/>
        <v>6501</v>
      </c>
      <c r="K199" s="77">
        <f t="shared" si="67"/>
        <v>103499</v>
      </c>
      <c r="L199" s="77">
        <f t="shared" si="89"/>
        <v>14457.687291666667</v>
      </c>
      <c r="M199" s="77"/>
      <c r="N199" s="84">
        <v>2025</v>
      </c>
      <c r="O199" s="107">
        <f>+N199+I199+H199+G199+L199</f>
        <v>22983.687291666669</v>
      </c>
      <c r="P199" s="78">
        <f t="shared" si="87"/>
        <v>87016.312708333338</v>
      </c>
    </row>
    <row r="200" spans="1:17" s="53" customFormat="1" ht="30" customHeight="1" x14ac:dyDescent="0.25">
      <c r="A200" s="80">
        <f t="shared" si="88"/>
        <v>107</v>
      </c>
      <c r="B200" s="108" t="s">
        <v>261</v>
      </c>
      <c r="C200" s="36" t="s">
        <v>422</v>
      </c>
      <c r="D200" s="109" t="s">
        <v>287</v>
      </c>
      <c r="E200" s="108" t="s">
        <v>121</v>
      </c>
      <c r="F200" s="110">
        <v>80000</v>
      </c>
      <c r="G200" s="82">
        <f t="shared" si="85"/>
        <v>2296</v>
      </c>
      <c r="H200" s="82">
        <f t="shared" si="86"/>
        <v>2432</v>
      </c>
      <c r="I200" s="82"/>
      <c r="J200" s="77">
        <f t="shared" si="63"/>
        <v>4728</v>
      </c>
      <c r="K200" s="77">
        <f t="shared" si="67"/>
        <v>75272</v>
      </c>
      <c r="L200" s="77">
        <f t="shared" si="89"/>
        <v>7400.9372916666662</v>
      </c>
      <c r="M200" s="77"/>
      <c r="N200" s="84">
        <v>25</v>
      </c>
      <c r="O200" s="107">
        <f t="shared" si="66"/>
        <v>12153.937291666665</v>
      </c>
      <c r="P200" s="78">
        <f t="shared" si="87"/>
        <v>67846.062708333338</v>
      </c>
      <c r="Q200" s="39"/>
    </row>
    <row r="201" spans="1:17" s="39" customFormat="1" ht="30" customHeight="1" x14ac:dyDescent="0.25">
      <c r="A201" s="75">
        <f t="shared" si="88"/>
        <v>108</v>
      </c>
      <c r="B201" s="169" t="s">
        <v>284</v>
      </c>
      <c r="C201" s="170" t="s">
        <v>422</v>
      </c>
      <c r="D201" s="109" t="s">
        <v>287</v>
      </c>
      <c r="E201" s="108" t="s">
        <v>121</v>
      </c>
      <c r="F201" s="110">
        <v>80000</v>
      </c>
      <c r="G201" s="110">
        <f>F201*2.87%</f>
        <v>2296</v>
      </c>
      <c r="H201" s="82">
        <f>+F201*3.04%</f>
        <v>2432</v>
      </c>
      <c r="I201" s="82">
        <v>3154.9</v>
      </c>
      <c r="J201" s="77">
        <f t="shared" si="63"/>
        <v>7882.9</v>
      </c>
      <c r="K201" s="77">
        <f t="shared" si="67"/>
        <v>72117.100000000006</v>
      </c>
      <c r="L201" s="77">
        <f t="shared" si="89"/>
        <v>6619.2698333333346</v>
      </c>
      <c r="M201" s="77"/>
      <c r="N201" s="84">
        <v>25</v>
      </c>
      <c r="O201" s="107">
        <f t="shared" si="66"/>
        <v>14527.169833333333</v>
      </c>
      <c r="P201" s="78">
        <f t="shared" si="87"/>
        <v>65472.830166666667</v>
      </c>
    </row>
    <row r="202" spans="1:17" s="39" customFormat="1" ht="37.5" customHeight="1" x14ac:dyDescent="0.25">
      <c r="A202" s="122">
        <f>+A201+1</f>
        <v>109</v>
      </c>
      <c r="B202" s="108" t="s">
        <v>138</v>
      </c>
      <c r="C202" s="36" t="s">
        <v>422</v>
      </c>
      <c r="D202" s="108" t="s">
        <v>66</v>
      </c>
      <c r="E202" s="108" t="s">
        <v>229</v>
      </c>
      <c r="F202" s="110">
        <v>45000</v>
      </c>
      <c r="G202" s="110">
        <f>F202*2.87%</f>
        <v>1291.5</v>
      </c>
      <c r="H202" s="110">
        <f>+F202*3.04%</f>
        <v>1368</v>
      </c>
      <c r="I202" s="110"/>
      <c r="J202" s="77">
        <f t="shared" si="63"/>
        <v>2659.5</v>
      </c>
      <c r="K202" s="77">
        <f t="shared" si="67"/>
        <v>42340.5</v>
      </c>
      <c r="L202" s="77">
        <f t="shared" si="89"/>
        <v>1148.3248749999998</v>
      </c>
      <c r="M202" s="77"/>
      <c r="N202" s="78">
        <f>1000+25</f>
        <v>1025</v>
      </c>
      <c r="O202" s="107">
        <f t="shared" si="66"/>
        <v>4832.8248750000002</v>
      </c>
      <c r="P202" s="111">
        <f t="shared" si="87"/>
        <v>40167.175125000002</v>
      </c>
    </row>
    <row r="203" spans="1:17" s="39" customFormat="1" ht="28.5" customHeight="1" x14ac:dyDescent="0.25">
      <c r="A203" s="208" t="s">
        <v>125</v>
      </c>
      <c r="B203" s="209"/>
      <c r="C203" s="209"/>
      <c r="D203" s="209"/>
      <c r="E203" s="210"/>
      <c r="F203" s="37">
        <f>SUM(F197:F202)</f>
        <v>515000</v>
      </c>
      <c r="G203" s="37">
        <f t="shared" ref="F203:P203" si="90">SUM(G197:G202)</f>
        <v>14780.5</v>
      </c>
      <c r="H203" s="37">
        <f t="shared" si="90"/>
        <v>15656</v>
      </c>
      <c r="I203" s="37">
        <f t="shared" si="90"/>
        <v>4732.3500000000004</v>
      </c>
      <c r="J203" s="37">
        <f t="shared" si="90"/>
        <v>35168.85</v>
      </c>
      <c r="K203" s="37">
        <f t="shared" si="90"/>
        <v>479831.15</v>
      </c>
      <c r="L203" s="37">
        <f t="shared" si="90"/>
        <v>53442.731375000003</v>
      </c>
      <c r="M203" s="37">
        <f t="shared" si="90"/>
        <v>0</v>
      </c>
      <c r="N203" s="37">
        <f t="shared" si="90"/>
        <v>6150</v>
      </c>
      <c r="O203" s="37">
        <f t="shared" si="90"/>
        <v>94761.581375000009</v>
      </c>
      <c r="P203" s="37">
        <f t="shared" si="90"/>
        <v>420238.41862499999</v>
      </c>
    </row>
    <row r="204" spans="1:17" s="39" customFormat="1" ht="30" customHeight="1" thickBot="1" x14ac:dyDescent="0.3">
      <c r="A204" s="50"/>
      <c r="B204" s="50"/>
      <c r="C204" s="50"/>
      <c r="D204" s="50"/>
      <c r="E204" s="50"/>
      <c r="F204"/>
      <c r="G204"/>
      <c r="H204"/>
      <c r="I204"/>
      <c r="J204"/>
      <c r="K204"/>
      <c r="L204"/>
      <c r="M204"/>
      <c r="N204"/>
      <c r="O204"/>
      <c r="P204"/>
    </row>
    <row r="205" spans="1:17" s="53" customFormat="1" ht="30" customHeight="1" thickBot="1" x14ac:dyDescent="0.3">
      <c r="A205" s="211" t="s">
        <v>205</v>
      </c>
      <c r="B205" s="212"/>
      <c r="C205" s="212"/>
      <c r="D205" s="212"/>
      <c r="E205" s="212"/>
      <c r="F205" s="212"/>
      <c r="G205" s="212"/>
      <c r="H205" s="212"/>
      <c r="I205" s="212"/>
      <c r="J205" s="212"/>
      <c r="K205" s="212"/>
      <c r="L205" s="212"/>
      <c r="M205" s="212"/>
      <c r="N205" s="212"/>
      <c r="O205" s="212"/>
      <c r="P205" s="212"/>
      <c r="Q205" s="39"/>
    </row>
    <row r="206" spans="1:17" s="39" customFormat="1" ht="30" customHeight="1" x14ac:dyDescent="0.25">
      <c r="A206" s="122">
        <f>+A202+1</f>
        <v>110</v>
      </c>
      <c r="B206" s="112" t="s">
        <v>184</v>
      </c>
      <c r="C206" s="122" t="s">
        <v>422</v>
      </c>
      <c r="D206" s="112" t="s">
        <v>289</v>
      </c>
      <c r="E206" s="112" t="s">
        <v>121</v>
      </c>
      <c r="F206" s="134">
        <v>55000</v>
      </c>
      <c r="G206" s="77">
        <f>F206*2.87%</f>
        <v>1578.5</v>
      </c>
      <c r="H206" s="77">
        <f>+F206*3.04%</f>
        <v>1672</v>
      </c>
      <c r="I206" s="135"/>
      <c r="J206" s="77">
        <f t="shared" ref="J206:J263" si="91">+G206+H206+I206</f>
        <v>3250.5</v>
      </c>
      <c r="K206" s="77">
        <f t="shared" si="67"/>
        <v>51749.5</v>
      </c>
      <c r="L206" s="77">
        <f t="shared" ref="L206:L210" si="92">+IF(K206*12&lt;=416220.01,0,IF(K206*12&lt;=624329.01,(((K206*12-416220.01)*0.15)/12),IF((K206*12&lt;=867123.01),(31216+0.2*(K206*12-624329.01))/12,((79776+0.25*(K206*12-867123.01))/12))))</f>
        <v>2559.6748749999997</v>
      </c>
      <c r="M206" s="77"/>
      <c r="N206" s="78">
        <v>11290.95</v>
      </c>
      <c r="O206" s="107">
        <f t="shared" ref="O206:O263" si="93">+N206+I206+H206+G206+L206</f>
        <v>17101.124875000001</v>
      </c>
      <c r="P206" s="78">
        <f>+F206-O206</f>
        <v>37898.875124999999</v>
      </c>
    </row>
    <row r="207" spans="1:17" s="39" customFormat="1" ht="30" customHeight="1" x14ac:dyDescent="0.25">
      <c r="A207" s="208" t="s">
        <v>125</v>
      </c>
      <c r="B207" s="209"/>
      <c r="C207" s="209"/>
      <c r="D207" s="209"/>
      <c r="E207" s="210"/>
      <c r="F207" s="37">
        <f>+F206</f>
        <v>55000</v>
      </c>
      <c r="G207" s="37">
        <f t="shared" ref="F207:P207" si="94">+G206</f>
        <v>1578.5</v>
      </c>
      <c r="H207" s="37">
        <f t="shared" si="94"/>
        <v>1672</v>
      </c>
      <c r="I207" s="37">
        <f t="shared" si="94"/>
        <v>0</v>
      </c>
      <c r="J207" s="37">
        <f t="shared" si="94"/>
        <v>3250.5</v>
      </c>
      <c r="K207" s="37">
        <f t="shared" si="94"/>
        <v>51749.5</v>
      </c>
      <c r="L207" s="37">
        <f t="shared" si="94"/>
        <v>2559.6748749999997</v>
      </c>
      <c r="M207" s="37"/>
      <c r="N207" s="37">
        <f t="shared" si="94"/>
        <v>11290.95</v>
      </c>
      <c r="O207" s="37">
        <f t="shared" si="94"/>
        <v>17101.124875000001</v>
      </c>
      <c r="P207" s="37">
        <f t="shared" si="94"/>
        <v>37898.875124999999</v>
      </c>
    </row>
    <row r="208" spans="1:17" s="53" customFormat="1" ht="30" customHeight="1" thickBot="1" x14ac:dyDescent="0.3">
      <c r="A208" s="50"/>
      <c r="B208" s="50"/>
      <c r="C208" s="50"/>
      <c r="D208" s="50"/>
      <c r="E208" s="50"/>
      <c r="F208" s="64"/>
      <c r="G208"/>
      <c r="H208"/>
      <c r="I208"/>
      <c r="J208"/>
      <c r="K208"/>
      <c r="L208"/>
      <c r="M208"/>
      <c r="N208"/>
      <c r="O208"/>
      <c r="P208"/>
      <c r="Q208" s="39"/>
    </row>
    <row r="209" spans="1:17" s="79" customFormat="1" ht="30" customHeight="1" thickBot="1" x14ac:dyDescent="0.3">
      <c r="A209" s="211" t="s">
        <v>293</v>
      </c>
      <c r="B209" s="212"/>
      <c r="C209" s="212"/>
      <c r="D209" s="212"/>
      <c r="E209" s="212"/>
      <c r="F209" s="212"/>
      <c r="G209" s="212"/>
      <c r="H209" s="212"/>
      <c r="I209" s="212"/>
      <c r="J209" s="212"/>
      <c r="K209" s="212"/>
      <c r="L209" s="212"/>
      <c r="M209" s="212"/>
      <c r="N209" s="212"/>
      <c r="O209" s="212"/>
      <c r="P209" s="212"/>
      <c r="Q209" s="32"/>
    </row>
    <row r="210" spans="1:17" s="53" customFormat="1" ht="30" customHeight="1" x14ac:dyDescent="0.25">
      <c r="A210" s="75">
        <f>+A206+1</f>
        <v>111</v>
      </c>
      <c r="B210" s="112" t="s">
        <v>11</v>
      </c>
      <c r="C210" s="122" t="s">
        <v>422</v>
      </c>
      <c r="D210" s="123" t="s">
        <v>111</v>
      </c>
      <c r="E210" s="112" t="s">
        <v>121</v>
      </c>
      <c r="F210" s="107">
        <v>190000</v>
      </c>
      <c r="G210" s="107">
        <f>F210*2.87%</f>
        <v>5453</v>
      </c>
      <c r="H210" s="77">
        <f>187020*3.04%</f>
        <v>5685.4080000000004</v>
      </c>
      <c r="I210" s="77"/>
      <c r="J210" s="77">
        <f t="shared" si="91"/>
        <v>11138.407999999999</v>
      </c>
      <c r="K210" s="77">
        <f t="shared" ref="K210:K268" si="95">+F210-J210</f>
        <v>178861.592</v>
      </c>
      <c r="L210" s="77">
        <f t="shared" si="92"/>
        <v>33298.33529166667</v>
      </c>
      <c r="M210" s="77"/>
      <c r="N210" s="78">
        <v>25</v>
      </c>
      <c r="O210" s="107">
        <f t="shared" si="93"/>
        <v>44461.743291666673</v>
      </c>
      <c r="P210" s="78">
        <f>+F210-O210</f>
        <v>145538.25670833333</v>
      </c>
      <c r="Q210" s="39"/>
    </row>
    <row r="211" spans="1:17" s="39" customFormat="1" ht="30" customHeight="1" x14ac:dyDescent="0.25">
      <c r="A211" s="36">
        <f>+A210+1</f>
        <v>112</v>
      </c>
      <c r="B211" s="108" t="s">
        <v>101</v>
      </c>
      <c r="C211" s="36" t="s">
        <v>421</v>
      </c>
      <c r="D211" s="108" t="s">
        <v>96</v>
      </c>
      <c r="E211" s="108" t="s">
        <v>122</v>
      </c>
      <c r="F211" s="110">
        <v>70000</v>
      </c>
      <c r="G211" s="110">
        <f t="shared" ref="G211" si="96">F211*2.87%</f>
        <v>2009</v>
      </c>
      <c r="H211" s="110">
        <f t="shared" ref="H211" si="97">+F211*3.04%</f>
        <v>2128</v>
      </c>
      <c r="I211" s="110">
        <v>1577.45</v>
      </c>
      <c r="J211" s="77">
        <f>+G211+H211+I211</f>
        <v>5714.45</v>
      </c>
      <c r="K211" s="77">
        <f>+F211-J211</f>
        <v>64285.55</v>
      </c>
      <c r="L211" s="77">
        <f>+IF(K211*12&lt;=416220.01,0,IF(K211*12&lt;=624329.01,(((K211*12-416220.01)*0.15)/12),IF((K211*12&lt;=867123.01),(31216+0.2*(K211*12-624329.01))/12,((79776+0.25*(K211*12-867123.01))/12))))-M211</f>
        <v>5052.9598333333352</v>
      </c>
      <c r="M211" s="77"/>
      <c r="N211" s="78">
        <v>9208.18</v>
      </c>
      <c r="O211" s="107">
        <f>+N211+I211+H211+G211+L211</f>
        <v>19975.589833333335</v>
      </c>
      <c r="P211" s="111">
        <f>+F211-O211</f>
        <v>50024.410166666668</v>
      </c>
    </row>
    <row r="212" spans="1:17" s="39" customFormat="1" ht="30" customHeight="1" thickBot="1" x14ac:dyDescent="0.3">
      <c r="A212" s="208" t="s">
        <v>125</v>
      </c>
      <c r="B212" s="209"/>
      <c r="C212" s="209"/>
      <c r="D212" s="209"/>
      <c r="E212" s="210"/>
      <c r="F212" s="37">
        <f>+SUM(F210:F211)</f>
        <v>260000</v>
      </c>
      <c r="G212" s="37">
        <f t="shared" ref="G212:P212" si="98">+SUM(G210:G211)</f>
        <v>7462</v>
      </c>
      <c r="H212" s="37">
        <f t="shared" si="98"/>
        <v>7813.4080000000004</v>
      </c>
      <c r="I212" s="37">
        <f t="shared" si="98"/>
        <v>1577.45</v>
      </c>
      <c r="J212" s="37">
        <f t="shared" si="98"/>
        <v>16852.858</v>
      </c>
      <c r="K212" s="37">
        <f t="shared" si="98"/>
        <v>243147.14199999999</v>
      </c>
      <c r="L212" s="37">
        <f t="shared" si="98"/>
        <v>38351.295125000004</v>
      </c>
      <c r="M212" s="37">
        <f t="shared" si="98"/>
        <v>0</v>
      </c>
      <c r="N212" s="37">
        <f t="shared" si="98"/>
        <v>9233.18</v>
      </c>
      <c r="O212" s="37">
        <f t="shared" si="98"/>
        <v>64437.333125000005</v>
      </c>
      <c r="P212" s="37">
        <f t="shared" si="98"/>
        <v>195562.666875</v>
      </c>
    </row>
    <row r="213" spans="1:17" s="47" customFormat="1" ht="30" customHeight="1" thickBot="1" x14ac:dyDescent="0.3">
      <c r="A213" s="216" t="s">
        <v>294</v>
      </c>
      <c r="B213" s="217"/>
      <c r="C213" s="217"/>
      <c r="D213" s="217"/>
      <c r="E213" s="217"/>
      <c r="F213" s="217"/>
      <c r="G213" s="217"/>
      <c r="H213" s="217"/>
      <c r="I213" s="217"/>
      <c r="J213" s="217"/>
      <c r="K213" s="217"/>
      <c r="L213" s="217"/>
      <c r="M213" s="217"/>
      <c r="N213" s="217"/>
      <c r="O213" s="217"/>
      <c r="P213" s="217"/>
    </row>
    <row r="214" spans="1:17" s="40" customFormat="1" ht="30" customHeight="1" x14ac:dyDescent="0.25">
      <c r="A214" s="75">
        <f>+A211+1</f>
        <v>113</v>
      </c>
      <c r="B214" s="112" t="s">
        <v>12</v>
      </c>
      <c r="C214" s="122" t="s">
        <v>422</v>
      </c>
      <c r="D214" s="147" t="s">
        <v>112</v>
      </c>
      <c r="E214" s="108" t="s">
        <v>121</v>
      </c>
      <c r="F214" s="107">
        <v>135000</v>
      </c>
      <c r="G214" s="77">
        <f>F214*2.87%</f>
        <v>3874.5</v>
      </c>
      <c r="H214" s="77">
        <f>+F214*3.04%</f>
        <v>4104</v>
      </c>
      <c r="I214" s="77"/>
      <c r="J214" s="77">
        <f t="shared" si="91"/>
        <v>7978.5</v>
      </c>
      <c r="K214" s="77">
        <f t="shared" si="95"/>
        <v>127021.5</v>
      </c>
      <c r="L214" s="77">
        <f>+IF(K214*12&lt;=416220.01,0,IF(K214*12&lt;=624329.01,(((K214*12-416220.01)*0.15)/12),IF((K214*12&lt;=867123.01),(31216+0.2*(K214*12-624329.01))/12,((79776+0.25*(K214*12-867123.01))/12))))-M214</f>
        <v>20338.312291666665</v>
      </c>
      <c r="M214" s="77"/>
      <c r="N214" s="78">
        <v>2185</v>
      </c>
      <c r="O214" s="107">
        <f t="shared" si="93"/>
        <v>30501.812291666665</v>
      </c>
      <c r="P214" s="78">
        <f>+F214-O214</f>
        <v>104498.18770833334</v>
      </c>
    </row>
    <row r="215" spans="1:17" s="53" customFormat="1" ht="30" customHeight="1" x14ac:dyDescent="0.25">
      <c r="A215" s="80">
        <f>+A214+1</f>
        <v>114</v>
      </c>
      <c r="B215" s="108" t="s">
        <v>295</v>
      </c>
      <c r="C215" s="36" t="s">
        <v>421</v>
      </c>
      <c r="D215" s="108" t="s">
        <v>113</v>
      </c>
      <c r="E215" s="108" t="s">
        <v>122</v>
      </c>
      <c r="F215" s="110">
        <v>70000</v>
      </c>
      <c r="G215" s="82">
        <f>F215*2.87%</f>
        <v>2009</v>
      </c>
      <c r="H215" s="82">
        <f>+F215*3.04%</f>
        <v>2128</v>
      </c>
      <c r="I215" s="77"/>
      <c r="J215" s="77">
        <f t="shared" si="91"/>
        <v>4137</v>
      </c>
      <c r="K215" s="77">
        <f t="shared" si="95"/>
        <v>65863</v>
      </c>
      <c r="L215" s="77">
        <f t="shared" ref="L215:L216" si="99">+IF(K215*12&lt;=416220.01,0,IF(K215*12&lt;=624329.01,(((K215*12-416220.01)*0.15)/12),IF((K215*12&lt;=867123.01),(31216+0.2*(K215*12-624329.01))/12,((79776+0.25*(K215*12-867123.01))/12))))-M215</f>
        <v>5368.4498333333331</v>
      </c>
      <c r="M215" s="77"/>
      <c r="N215" s="78">
        <f>21844.41+25</f>
        <v>21869.41</v>
      </c>
      <c r="O215" s="107">
        <f t="shared" si="93"/>
        <v>31374.859833333332</v>
      </c>
      <c r="P215" s="78">
        <f>+F215-O215</f>
        <v>38625.140166666664</v>
      </c>
      <c r="Q215" s="39"/>
    </row>
    <row r="216" spans="1:17" s="39" customFormat="1" ht="30" customHeight="1" x14ac:dyDescent="0.25">
      <c r="A216" s="75">
        <f>+A215+1</f>
        <v>115</v>
      </c>
      <c r="B216" s="108" t="s">
        <v>348</v>
      </c>
      <c r="C216" s="36" t="s">
        <v>422</v>
      </c>
      <c r="D216" s="108" t="s">
        <v>510</v>
      </c>
      <c r="E216" s="108" t="s">
        <v>121</v>
      </c>
      <c r="F216" s="110">
        <v>45000</v>
      </c>
      <c r="G216" s="82">
        <f>F216*2.87%</f>
        <v>1291.5</v>
      </c>
      <c r="H216" s="82">
        <f>+F216*3.04%</f>
        <v>1368</v>
      </c>
      <c r="I216" s="82"/>
      <c r="J216" s="77">
        <f t="shared" si="91"/>
        <v>2659.5</v>
      </c>
      <c r="K216" s="77">
        <f t="shared" si="95"/>
        <v>42340.5</v>
      </c>
      <c r="L216" s="77">
        <f t="shared" si="99"/>
        <v>1148.3248749999998</v>
      </c>
      <c r="M216" s="77"/>
      <c r="N216" s="78">
        <v>3065</v>
      </c>
      <c r="O216" s="107">
        <f t="shared" si="93"/>
        <v>6872.8248750000002</v>
      </c>
      <c r="P216" s="84">
        <f>+F216-O216</f>
        <v>38127.175125000002</v>
      </c>
    </row>
    <row r="217" spans="1:17" s="39" customFormat="1" ht="30" customHeight="1" x14ac:dyDescent="0.25">
      <c r="A217" s="208" t="s">
        <v>125</v>
      </c>
      <c r="B217" s="209"/>
      <c r="C217" s="209"/>
      <c r="D217" s="209"/>
      <c r="E217" s="210"/>
      <c r="F217" s="37">
        <f>SUM(F214:F216)</f>
        <v>250000</v>
      </c>
      <c r="G217" s="37">
        <f t="shared" ref="F217:P217" si="100">SUM(G214:G216)</f>
        <v>7175</v>
      </c>
      <c r="H217" s="37">
        <f t="shared" si="100"/>
        <v>7600</v>
      </c>
      <c r="I217" s="37">
        <f t="shared" si="100"/>
        <v>0</v>
      </c>
      <c r="J217" s="37">
        <f t="shared" si="100"/>
        <v>14775</v>
      </c>
      <c r="K217" s="37">
        <f t="shared" si="100"/>
        <v>235225</v>
      </c>
      <c r="L217" s="37">
        <f t="shared" si="100"/>
        <v>26855.086999999996</v>
      </c>
      <c r="M217" s="37">
        <f t="shared" si="100"/>
        <v>0</v>
      </c>
      <c r="N217" s="37">
        <f t="shared" si="100"/>
        <v>27119.41</v>
      </c>
      <c r="O217" s="37">
        <f t="shared" si="100"/>
        <v>68749.497000000003</v>
      </c>
      <c r="P217" s="37">
        <f t="shared" si="100"/>
        <v>181250.50300000003</v>
      </c>
    </row>
    <row r="218" spans="1:17" s="39" customFormat="1" ht="30" customHeight="1" thickBot="1" x14ac:dyDescent="0.3">
      <c r="A218" s="44"/>
      <c r="B218" s="42"/>
      <c r="C218" s="44"/>
      <c r="D218" s="43"/>
      <c r="E218" s="43"/>
      <c r="G218" s="32"/>
      <c r="H218" s="32"/>
      <c r="I218" s="32"/>
      <c r="J218" s="32"/>
      <c r="K218" s="32"/>
      <c r="L218" s="32"/>
      <c r="M218" s="32"/>
      <c r="N218" s="32"/>
      <c r="O218" s="32"/>
      <c r="P218" s="32"/>
    </row>
    <row r="219" spans="1:17" s="53" customFormat="1" ht="30" customHeight="1" thickBot="1" x14ac:dyDescent="0.3">
      <c r="A219" s="216" t="s">
        <v>296</v>
      </c>
      <c r="B219" s="217"/>
      <c r="C219" s="217"/>
      <c r="D219" s="217"/>
      <c r="E219" s="217"/>
      <c r="F219" s="217"/>
      <c r="G219" s="217"/>
      <c r="H219" s="217"/>
      <c r="I219" s="217"/>
      <c r="J219" s="217"/>
      <c r="K219" s="217"/>
      <c r="L219" s="217"/>
      <c r="M219" s="217"/>
      <c r="N219" s="217"/>
      <c r="O219" s="217"/>
      <c r="P219" s="217"/>
      <c r="Q219" s="39"/>
    </row>
    <row r="220" spans="1:17" s="87" customFormat="1" ht="30" customHeight="1" x14ac:dyDescent="0.25">
      <c r="A220" s="80">
        <f>+A216+1</f>
        <v>116</v>
      </c>
      <c r="B220" s="108" t="s">
        <v>297</v>
      </c>
      <c r="C220" s="36" t="s">
        <v>421</v>
      </c>
      <c r="D220" s="108" t="s">
        <v>93</v>
      </c>
      <c r="E220" s="108" t="s">
        <v>198</v>
      </c>
      <c r="F220" s="110">
        <v>100000</v>
      </c>
      <c r="G220" s="110">
        <f>F220*2.87%</f>
        <v>2870</v>
      </c>
      <c r="H220" s="110">
        <f>+F220*3.04%</f>
        <v>3040</v>
      </c>
      <c r="I220" s="110"/>
      <c r="J220" s="77">
        <f t="shared" si="91"/>
        <v>5910</v>
      </c>
      <c r="K220" s="77">
        <f>+F220-J220</f>
        <v>94090</v>
      </c>
      <c r="L220" s="77">
        <f t="shared" ref="L220:L258" si="101">+IF(K220*12&lt;=416220.01,0,IF(K220*12&lt;=624329.01,(((K220*12-416220.01)*0.15)/12),IF((K220*12&lt;=867123.01),(31216+0.2*(K220*12-624329.01))/12,((79776+0.25*(K220*12-867123.01))/12))))</f>
        <v>12105.437291666667</v>
      </c>
      <c r="M220" s="77"/>
      <c r="N220" s="78">
        <v>25</v>
      </c>
      <c r="O220" s="107">
        <f t="shared" si="93"/>
        <v>18040.437291666669</v>
      </c>
      <c r="P220" s="78">
        <f>+F220-O220</f>
        <v>81959.562708333338</v>
      </c>
      <c r="Q220" s="47"/>
    </row>
    <row r="221" spans="1:17" s="87" customFormat="1" ht="30" customHeight="1" x14ac:dyDescent="0.25">
      <c r="A221" s="208" t="s">
        <v>125</v>
      </c>
      <c r="B221" s="209"/>
      <c r="C221" s="209"/>
      <c r="D221" s="209"/>
      <c r="E221" s="210"/>
      <c r="F221" s="37">
        <f>SUM(F220)</f>
        <v>100000</v>
      </c>
      <c r="G221" s="37">
        <f t="shared" ref="F221:P221" si="102">SUM(G220)</f>
        <v>2870</v>
      </c>
      <c r="H221" s="37">
        <f t="shared" si="102"/>
        <v>3040</v>
      </c>
      <c r="I221" s="37">
        <f t="shared" si="102"/>
        <v>0</v>
      </c>
      <c r="J221" s="37">
        <f t="shared" si="102"/>
        <v>5910</v>
      </c>
      <c r="K221" s="37">
        <f>SUM(K220)</f>
        <v>94090</v>
      </c>
      <c r="L221" s="37">
        <f t="shared" si="102"/>
        <v>12105.437291666667</v>
      </c>
      <c r="M221" s="37"/>
      <c r="N221" s="37">
        <f t="shared" si="102"/>
        <v>25</v>
      </c>
      <c r="O221" s="37">
        <f t="shared" si="102"/>
        <v>18040.437291666669</v>
      </c>
      <c r="P221" s="37">
        <f t="shared" si="102"/>
        <v>81959.562708333338</v>
      </c>
      <c r="Q221" s="47"/>
    </row>
    <row r="222" spans="1:17" s="39" customFormat="1" ht="30" customHeight="1" thickBot="1" x14ac:dyDescent="0.3">
      <c r="A222" s="50"/>
      <c r="B222" s="50"/>
      <c r="C222" s="50"/>
      <c r="D222" s="50"/>
      <c r="E222" s="5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</row>
    <row r="223" spans="1:17" s="39" customFormat="1" ht="30" customHeight="1" thickBot="1" x14ac:dyDescent="0.3">
      <c r="A223" s="216" t="s">
        <v>450</v>
      </c>
      <c r="B223" s="217"/>
      <c r="C223" s="217"/>
      <c r="D223" s="217"/>
      <c r="E223" s="217"/>
      <c r="F223" s="217"/>
      <c r="G223" s="217"/>
      <c r="H223" s="217"/>
      <c r="I223" s="217"/>
      <c r="J223" s="217"/>
      <c r="K223" s="217"/>
      <c r="L223" s="217"/>
      <c r="M223" s="217"/>
      <c r="N223" s="217"/>
      <c r="O223" s="217"/>
      <c r="P223" s="217"/>
    </row>
    <row r="224" spans="1:17" s="79" customFormat="1" ht="30" customHeight="1" x14ac:dyDescent="0.25">
      <c r="A224" s="80">
        <f>+A220+1</f>
        <v>117</v>
      </c>
      <c r="B224" s="108" t="s">
        <v>13</v>
      </c>
      <c r="C224" s="36" t="s">
        <v>421</v>
      </c>
      <c r="D224" s="126" t="s">
        <v>93</v>
      </c>
      <c r="E224" s="108" t="s">
        <v>198</v>
      </c>
      <c r="F224" s="110">
        <v>85000</v>
      </c>
      <c r="G224" s="82">
        <v>2439.5</v>
      </c>
      <c r="H224" s="82">
        <v>2584</v>
      </c>
      <c r="I224" s="82">
        <v>1577.45</v>
      </c>
      <c r="J224" s="77">
        <f t="shared" si="91"/>
        <v>6600.95</v>
      </c>
      <c r="K224" s="77">
        <f t="shared" si="95"/>
        <v>78399.05</v>
      </c>
      <c r="L224" s="77">
        <f t="shared" si="101"/>
        <v>8182.6997916666687</v>
      </c>
      <c r="M224" s="77"/>
      <c r="N224" s="78">
        <v>1025</v>
      </c>
      <c r="O224" s="107">
        <f t="shared" si="93"/>
        <v>15808.649791666669</v>
      </c>
      <c r="P224" s="78">
        <f>+F224-O224</f>
        <v>69191.35020833333</v>
      </c>
      <c r="Q224" s="32"/>
    </row>
    <row r="225" spans="1:17" s="39" customFormat="1" ht="30" customHeight="1" x14ac:dyDescent="0.25">
      <c r="A225" s="208" t="s">
        <v>125</v>
      </c>
      <c r="B225" s="209"/>
      <c r="C225" s="209"/>
      <c r="D225" s="209"/>
      <c r="E225" s="210"/>
      <c r="F225" s="37">
        <f>SUM(F224)</f>
        <v>85000</v>
      </c>
      <c r="G225" s="37">
        <f t="shared" ref="F225:P225" si="103">SUM(G224)</f>
        <v>2439.5</v>
      </c>
      <c r="H225" s="37">
        <f t="shared" si="103"/>
        <v>2584</v>
      </c>
      <c r="I225" s="37">
        <f t="shared" si="103"/>
        <v>1577.45</v>
      </c>
      <c r="J225" s="37">
        <f t="shared" si="103"/>
        <v>6600.95</v>
      </c>
      <c r="K225" s="37">
        <f>SUM(K224)</f>
        <v>78399.05</v>
      </c>
      <c r="L225" s="37">
        <f t="shared" si="103"/>
        <v>8182.6997916666687</v>
      </c>
      <c r="M225" s="37"/>
      <c r="N225" s="37">
        <f t="shared" si="103"/>
        <v>1025</v>
      </c>
      <c r="O225" s="37">
        <f t="shared" si="103"/>
        <v>15808.649791666669</v>
      </c>
      <c r="P225" s="37">
        <f t="shared" si="103"/>
        <v>69191.35020833333</v>
      </c>
    </row>
    <row r="226" spans="1:17" s="39" customFormat="1" ht="30" customHeight="1" thickBot="1" x14ac:dyDescent="0.3">
      <c r="C226" s="41"/>
    </row>
    <row r="227" spans="1:17" s="39" customFormat="1" ht="30" customHeight="1" thickBot="1" x14ac:dyDescent="0.3">
      <c r="A227" s="211" t="s">
        <v>299</v>
      </c>
      <c r="B227" s="212"/>
      <c r="C227" s="212"/>
      <c r="D227" s="212"/>
      <c r="E227" s="212"/>
      <c r="F227" s="212"/>
      <c r="G227" s="212"/>
      <c r="H227" s="212"/>
      <c r="I227" s="212"/>
      <c r="J227" s="212"/>
      <c r="K227" s="212"/>
      <c r="L227" s="212"/>
      <c r="M227" s="212"/>
      <c r="N227" s="212"/>
      <c r="O227" s="212"/>
      <c r="P227" s="212"/>
    </row>
    <row r="228" spans="1:17" s="53" customFormat="1" ht="30" customHeight="1" x14ac:dyDescent="0.25">
      <c r="A228" s="75">
        <f>+A224+1</f>
        <v>118</v>
      </c>
      <c r="B228" s="112" t="s">
        <v>300</v>
      </c>
      <c r="C228" s="122" t="s">
        <v>422</v>
      </c>
      <c r="D228" s="147" t="s">
        <v>301</v>
      </c>
      <c r="E228" s="108" t="s">
        <v>121</v>
      </c>
      <c r="F228" s="107">
        <v>135000</v>
      </c>
      <c r="G228" s="77">
        <f>F228*2.87%</f>
        <v>3874.5</v>
      </c>
      <c r="H228" s="77">
        <f>F228*3.04%</f>
        <v>4104</v>
      </c>
      <c r="I228" s="77">
        <v>1577.45</v>
      </c>
      <c r="J228" s="77">
        <f t="shared" si="91"/>
        <v>9555.9500000000007</v>
      </c>
      <c r="K228" s="77">
        <f t="shared" si="95"/>
        <v>125444.05</v>
      </c>
      <c r="L228" s="77">
        <f>+IF(K228*12&lt;=416220.01,0,IF(K228*12&lt;=624329.01,(((K228*12-416220.01)*0.15)/12),IF((K228*12&lt;=867123.01),(31216+0.2*(K228*12-624329.01))/12,((79776+0.25*(K228*12-867123.01))/12))))-M228</f>
        <v>19943.94979166667</v>
      </c>
      <c r="M228" s="77"/>
      <c r="N228" s="78">
        <v>25</v>
      </c>
      <c r="O228" s="107">
        <f t="shared" si="93"/>
        <v>29524.89979166667</v>
      </c>
      <c r="P228" s="77">
        <f>+F228-O228</f>
        <v>105475.10020833333</v>
      </c>
      <c r="Q228" s="39"/>
    </row>
    <row r="229" spans="1:17" s="90" customFormat="1" ht="30" customHeight="1" x14ac:dyDescent="0.25">
      <c r="A229" s="80">
        <f>+A228+1</f>
        <v>119</v>
      </c>
      <c r="B229" s="108" t="s">
        <v>16</v>
      </c>
      <c r="C229" s="36" t="s">
        <v>422</v>
      </c>
      <c r="D229" s="108" t="s">
        <v>302</v>
      </c>
      <c r="E229" s="108" t="s">
        <v>122</v>
      </c>
      <c r="F229" s="110">
        <v>80000</v>
      </c>
      <c r="G229" s="82">
        <f>F229*2.87%</f>
        <v>2296</v>
      </c>
      <c r="H229" s="82">
        <f>+F229*3.04%</f>
        <v>2432</v>
      </c>
      <c r="I229" s="82">
        <v>4732.3500000000004</v>
      </c>
      <c r="J229" s="77">
        <f t="shared" si="91"/>
        <v>9460.35</v>
      </c>
      <c r="K229" s="77">
        <f t="shared" si="95"/>
        <v>70539.649999999994</v>
      </c>
      <c r="L229" s="77">
        <f>+IF(K229*12&lt;=416220.01,0,IF(K229*12&lt;=624329.01,(((K229*12-416220.01)*0.15)/12),IF((K229*12&lt;=867123.01),(31216+0.2*(K229*12-624329.01))/12,((79776+0.25*(K229*12-867123.01))/12))))-M229</f>
        <v>6303.7798333333312</v>
      </c>
      <c r="M229" s="77"/>
      <c r="N229" s="78">
        <v>1825</v>
      </c>
      <c r="O229" s="107">
        <f t="shared" si="93"/>
        <v>17589.129833333332</v>
      </c>
      <c r="P229" s="77">
        <f>+F229-O229</f>
        <v>62410.870166666668</v>
      </c>
      <c r="Q229" s="242"/>
    </row>
    <row r="230" spans="1:17" s="90" customFormat="1" ht="30" customHeight="1" x14ac:dyDescent="0.25">
      <c r="A230" s="208" t="s">
        <v>125</v>
      </c>
      <c r="B230" s="209"/>
      <c r="C230" s="209"/>
      <c r="D230" s="209"/>
      <c r="E230" s="210"/>
      <c r="F230" s="37">
        <f>SUM(F228:F229)</f>
        <v>215000</v>
      </c>
      <c r="G230" s="37">
        <f t="shared" ref="F230:P230" si="104">SUM(G228:G229)</f>
        <v>6170.5</v>
      </c>
      <c r="H230" s="37">
        <f t="shared" si="104"/>
        <v>6536</v>
      </c>
      <c r="I230" s="37">
        <f t="shared" si="104"/>
        <v>6309.8</v>
      </c>
      <c r="J230" s="37">
        <f t="shared" si="104"/>
        <v>19016.300000000003</v>
      </c>
      <c r="K230" s="37">
        <f t="shared" si="104"/>
        <v>195983.7</v>
      </c>
      <c r="L230" s="37">
        <f t="shared" si="104"/>
        <v>26247.729625</v>
      </c>
      <c r="M230" s="37">
        <f t="shared" si="104"/>
        <v>0</v>
      </c>
      <c r="N230" s="37">
        <f t="shared" si="104"/>
        <v>1850</v>
      </c>
      <c r="O230" s="37">
        <f t="shared" si="104"/>
        <v>47114.029625000003</v>
      </c>
      <c r="P230" s="37">
        <f t="shared" si="104"/>
        <v>167885.970375</v>
      </c>
      <c r="Q230" s="242"/>
    </row>
    <row r="231" spans="1:17" s="39" customFormat="1" ht="30" customHeight="1" thickBot="1" x14ac:dyDescent="0.3">
      <c r="A231" s="50"/>
      <c r="B231" s="50"/>
      <c r="C231" s="50"/>
      <c r="D231" s="50"/>
      <c r="E231" s="50"/>
      <c r="F231"/>
      <c r="G231"/>
      <c r="H231"/>
      <c r="I231"/>
      <c r="J231"/>
      <c r="K231"/>
      <c r="L231"/>
      <c r="M231"/>
      <c r="N231"/>
      <c r="O231"/>
      <c r="P231"/>
    </row>
    <row r="232" spans="1:17" s="39" customFormat="1" ht="30" customHeight="1" thickBot="1" x14ac:dyDescent="0.3">
      <c r="A232" s="211" t="s">
        <v>303</v>
      </c>
      <c r="B232" s="212"/>
      <c r="C232" s="212"/>
      <c r="D232" s="212"/>
      <c r="E232" s="212"/>
      <c r="F232" s="212"/>
      <c r="G232" s="212"/>
      <c r="H232" s="212"/>
      <c r="I232" s="212"/>
      <c r="J232" s="212"/>
      <c r="K232" s="212"/>
      <c r="L232" s="212"/>
      <c r="M232" s="212"/>
      <c r="N232" s="212"/>
      <c r="O232" s="212"/>
      <c r="P232" s="212"/>
    </row>
    <row r="233" spans="1:17" s="53" customFormat="1" ht="30" customHeight="1" x14ac:dyDescent="0.25">
      <c r="A233" s="80">
        <f>+A229+1</f>
        <v>120</v>
      </c>
      <c r="B233" s="108" t="s">
        <v>109</v>
      </c>
      <c r="C233" s="36" t="s">
        <v>422</v>
      </c>
      <c r="D233" s="108" t="s">
        <v>110</v>
      </c>
      <c r="E233" s="108" t="s">
        <v>122</v>
      </c>
      <c r="F233" s="110">
        <v>100000</v>
      </c>
      <c r="G233" s="82">
        <f>F233*2.87%</f>
        <v>2870</v>
      </c>
      <c r="H233" s="82">
        <f>+F233*3.04%</f>
        <v>3040</v>
      </c>
      <c r="I233" s="82"/>
      <c r="J233" s="77">
        <f t="shared" si="91"/>
        <v>5910</v>
      </c>
      <c r="K233" s="77">
        <f>+F233-J233</f>
        <v>94090</v>
      </c>
      <c r="L233" s="77">
        <f>+IF(K233*12&lt;=416220.01,0,IF(K233*12&lt;=624329.01,(((K233*12-416220.01)*0.15)/12),IF((K233*12&lt;=867123.01),(31216+0.2*(K233*12-624329.01))/12,((79776+0.25*(K233*12-867123.01))/12))))-M233</f>
        <v>12105.437291666667</v>
      </c>
      <c r="M233" s="77"/>
      <c r="N233" s="78">
        <v>5025</v>
      </c>
      <c r="O233" s="107">
        <f t="shared" si="93"/>
        <v>23040.437291666669</v>
      </c>
      <c r="P233" s="77">
        <f>+F233-O233</f>
        <v>76959.562708333338</v>
      </c>
      <c r="Q233" s="39"/>
    </row>
    <row r="234" spans="1:17" s="39" customFormat="1" ht="30" customHeight="1" x14ac:dyDescent="0.25">
      <c r="A234" s="208" t="s">
        <v>125</v>
      </c>
      <c r="B234" s="209"/>
      <c r="C234" s="209"/>
      <c r="D234" s="209"/>
      <c r="E234" s="210"/>
      <c r="F234" s="37">
        <f>SUM(F233:F233)</f>
        <v>100000</v>
      </c>
      <c r="G234" s="37">
        <f t="shared" ref="F234:P234" si="105">SUM(G233:G233)</f>
        <v>2870</v>
      </c>
      <c r="H234" s="37">
        <f t="shared" si="105"/>
        <v>3040</v>
      </c>
      <c r="I234" s="37">
        <f t="shared" si="105"/>
        <v>0</v>
      </c>
      <c r="J234" s="37">
        <f t="shared" si="105"/>
        <v>5910</v>
      </c>
      <c r="K234" s="37">
        <f t="shared" si="105"/>
        <v>94090</v>
      </c>
      <c r="L234" s="37">
        <f t="shared" si="105"/>
        <v>12105.437291666667</v>
      </c>
      <c r="M234" s="37">
        <f t="shared" si="105"/>
        <v>0</v>
      </c>
      <c r="N234" s="37">
        <f t="shared" si="105"/>
        <v>5025</v>
      </c>
      <c r="O234" s="37">
        <f t="shared" si="105"/>
        <v>23040.437291666669</v>
      </c>
      <c r="P234" s="37">
        <f t="shared" si="105"/>
        <v>76959.562708333338</v>
      </c>
    </row>
    <row r="235" spans="1:17" s="39" customFormat="1" ht="30" customHeight="1" thickBot="1" x14ac:dyDescent="0.3">
      <c r="A235" s="41"/>
      <c r="B235" s="48"/>
      <c r="C235" s="139"/>
      <c r="D235" s="48"/>
      <c r="E235" s="48"/>
      <c r="F235" s="49"/>
    </row>
    <row r="236" spans="1:17" s="39" customFormat="1" ht="30" customHeight="1" x14ac:dyDescent="0.25">
      <c r="A236" s="220" t="s">
        <v>206</v>
      </c>
      <c r="B236" s="221"/>
      <c r="C236" s="221"/>
      <c r="D236" s="221"/>
      <c r="E236" s="221"/>
      <c r="F236" s="221"/>
      <c r="G236" s="221"/>
      <c r="H236" s="221"/>
      <c r="I236" s="221"/>
      <c r="J236" s="221"/>
      <c r="K236" s="221"/>
      <c r="L236" s="221"/>
      <c r="M236" s="221"/>
      <c r="N236" s="221"/>
      <c r="O236" s="221"/>
      <c r="P236" s="221"/>
    </row>
    <row r="237" spans="1:17" s="39" customFormat="1" ht="30" customHeight="1" x14ac:dyDescent="0.25">
      <c r="A237" s="80">
        <f>+A233+1</f>
        <v>121</v>
      </c>
      <c r="B237" s="108" t="s">
        <v>596</v>
      </c>
      <c r="C237" s="36" t="s">
        <v>422</v>
      </c>
      <c r="D237" s="108" t="s">
        <v>22</v>
      </c>
      <c r="E237" s="172" t="s">
        <v>229</v>
      </c>
      <c r="F237" s="110">
        <v>35000</v>
      </c>
      <c r="G237" s="82">
        <f>F237*2.87%</f>
        <v>1004.5</v>
      </c>
      <c r="H237" s="82">
        <f>+F237*3.04%</f>
        <v>1064</v>
      </c>
      <c r="I237" s="82"/>
      <c r="J237" s="77">
        <f t="shared" si="91"/>
        <v>2068.5</v>
      </c>
      <c r="K237" s="77">
        <f t="shared" si="95"/>
        <v>32931.5</v>
      </c>
      <c r="L237" s="77">
        <f t="shared" si="101"/>
        <v>0</v>
      </c>
      <c r="M237" s="77"/>
      <c r="N237" s="82">
        <v>5343.89</v>
      </c>
      <c r="O237" s="107">
        <f t="shared" si="93"/>
        <v>7412.39</v>
      </c>
      <c r="P237" s="77">
        <f>+F237-O237</f>
        <v>27587.61</v>
      </c>
    </row>
    <row r="238" spans="1:17" s="39" customFormat="1" ht="30" customHeight="1" x14ac:dyDescent="0.25">
      <c r="A238" s="80">
        <f>+A237+1</f>
        <v>122</v>
      </c>
      <c r="B238" s="108" t="s">
        <v>673</v>
      </c>
      <c r="C238" s="36" t="s">
        <v>422</v>
      </c>
      <c r="D238" s="108" t="s">
        <v>22</v>
      </c>
      <c r="E238" s="172" t="s">
        <v>229</v>
      </c>
      <c r="F238" s="110">
        <v>30000</v>
      </c>
      <c r="G238" s="82">
        <f>F238*2.87%</f>
        <v>861</v>
      </c>
      <c r="H238" s="82">
        <f>+F238*3.04%</f>
        <v>912</v>
      </c>
      <c r="I238" s="82"/>
      <c r="J238" s="77">
        <f t="shared" ref="J238:J239" si="106">+G238+H238+I238</f>
        <v>1773</v>
      </c>
      <c r="K238" s="77">
        <f t="shared" ref="K238" si="107">+F238-J238</f>
        <v>28227</v>
      </c>
      <c r="L238" s="77"/>
      <c r="M238" s="77"/>
      <c r="N238" s="82">
        <f>25+40</f>
        <v>65</v>
      </c>
      <c r="O238" s="107">
        <f t="shared" ref="O238:O239" si="108">+N238+I238+H238+G238+L238</f>
        <v>1838</v>
      </c>
      <c r="P238" s="77">
        <f>+F238-O238</f>
        <v>28162</v>
      </c>
    </row>
    <row r="239" spans="1:17" s="39" customFormat="1" ht="30" customHeight="1" x14ac:dyDescent="0.25">
      <c r="A239" s="157">
        <f>+A238+1</f>
        <v>123</v>
      </c>
      <c r="B239" s="108" t="s">
        <v>213</v>
      </c>
      <c r="C239" s="174" t="s">
        <v>422</v>
      </c>
      <c r="D239" s="108" t="s">
        <v>689</v>
      </c>
      <c r="E239" s="172" t="s">
        <v>229</v>
      </c>
      <c r="F239" s="110">
        <v>25000</v>
      </c>
      <c r="G239" s="82">
        <f>F239*2.87%</f>
        <v>717.5</v>
      </c>
      <c r="H239" s="82">
        <f>+F239*3.04%</f>
        <v>760</v>
      </c>
      <c r="I239" s="82">
        <v>0</v>
      </c>
      <c r="J239" s="77">
        <f t="shared" si="106"/>
        <v>1477.5</v>
      </c>
      <c r="K239" s="77">
        <v>23522.5</v>
      </c>
      <c r="L239" s="77">
        <v>0</v>
      </c>
      <c r="M239" s="82">
        <f t="shared" ref="M239" si="109">L239*2.87%</f>
        <v>0</v>
      </c>
      <c r="N239" s="82">
        <v>1125</v>
      </c>
      <c r="O239" s="107">
        <f t="shared" si="108"/>
        <v>2602.5</v>
      </c>
      <c r="P239" s="77">
        <f>+F239-O239</f>
        <v>22397.5</v>
      </c>
    </row>
    <row r="240" spans="1:17" s="39" customFormat="1" ht="30" customHeight="1" x14ac:dyDescent="0.25">
      <c r="A240" s="208" t="s">
        <v>125</v>
      </c>
      <c r="B240" s="209"/>
      <c r="C240" s="209"/>
      <c r="D240" s="209"/>
      <c r="E240" s="210"/>
      <c r="F240" s="37">
        <f>SUM(F237:F239)</f>
        <v>90000</v>
      </c>
      <c r="G240" s="37">
        <f>SUM(G237:G239)</f>
        <v>2583</v>
      </c>
      <c r="H240" s="37">
        <f>SUM(H237:H239)</f>
        <v>2736</v>
      </c>
      <c r="I240" s="37">
        <f t="shared" ref="I240:P240" si="110">SUM(I237:I239)</f>
        <v>0</v>
      </c>
      <c r="J240" s="37">
        <f t="shared" si="110"/>
        <v>5319</v>
      </c>
      <c r="K240" s="37">
        <f t="shared" si="110"/>
        <v>84681</v>
      </c>
      <c r="L240" s="37">
        <f t="shared" si="110"/>
        <v>0</v>
      </c>
      <c r="M240" s="37">
        <f t="shared" si="110"/>
        <v>0</v>
      </c>
      <c r="N240" s="37">
        <f t="shared" si="110"/>
        <v>6533.89</v>
      </c>
      <c r="O240" s="37">
        <f t="shared" si="110"/>
        <v>11852.89</v>
      </c>
      <c r="P240" s="37">
        <f t="shared" si="110"/>
        <v>78147.11</v>
      </c>
    </row>
    <row r="241" spans="1:17" s="53" customFormat="1" ht="30" customHeight="1" thickBot="1" x14ac:dyDescent="0.3">
      <c r="A241" s="51"/>
      <c r="B241" s="45"/>
      <c r="C241" s="50"/>
      <c r="D241" s="52"/>
      <c r="E241" s="52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39"/>
    </row>
    <row r="242" spans="1:17" s="53" customFormat="1" ht="30" customHeight="1" thickBot="1" x14ac:dyDescent="0.3">
      <c r="A242" s="211" t="s">
        <v>85</v>
      </c>
      <c r="B242" s="212"/>
      <c r="C242" s="212"/>
      <c r="D242" s="212"/>
      <c r="E242" s="212"/>
      <c r="F242" s="212"/>
      <c r="G242" s="212"/>
      <c r="H242" s="212"/>
      <c r="I242" s="212"/>
      <c r="J242" s="212"/>
      <c r="K242" s="212"/>
      <c r="L242" s="212"/>
      <c r="M242" s="212"/>
      <c r="N242" s="212"/>
      <c r="O242" s="212"/>
      <c r="P242" s="212"/>
      <c r="Q242" s="39"/>
    </row>
    <row r="243" spans="1:17" s="53" customFormat="1" ht="30" customHeight="1" x14ac:dyDescent="0.25">
      <c r="A243" s="80">
        <f>+A239+1</f>
        <v>124</v>
      </c>
      <c r="B243" s="108" t="s">
        <v>10</v>
      </c>
      <c r="C243" s="36" t="s">
        <v>422</v>
      </c>
      <c r="D243" s="108" t="s">
        <v>94</v>
      </c>
      <c r="E243" s="108" t="s">
        <v>122</v>
      </c>
      <c r="F243" s="110">
        <v>50000</v>
      </c>
      <c r="G243" s="110">
        <f>F243*2.87%</f>
        <v>1435</v>
      </c>
      <c r="H243" s="82">
        <f>+F243*3.04%</f>
        <v>1520</v>
      </c>
      <c r="I243" s="82"/>
      <c r="J243" s="77">
        <f t="shared" si="91"/>
        <v>2955</v>
      </c>
      <c r="K243" s="77">
        <f t="shared" si="95"/>
        <v>47045</v>
      </c>
      <c r="L243" s="77">
        <f>+IF(K243*12&lt;=416220.01,0,IF(K243*12&lt;=624329.01,(((K243*12-416220.01)*0.15)/12),IF((K243*12&lt;=867123.01),(31216+0.2*(K243*12-624329.01))/12,((79776+0.25*(K243*12-867123.01))/12))))-M243</f>
        <v>1853.9998749999997</v>
      </c>
      <c r="M243" s="77"/>
      <c r="N243" s="78">
        <v>125</v>
      </c>
      <c r="O243" s="107">
        <f t="shared" si="93"/>
        <v>4933.9998749999995</v>
      </c>
      <c r="P243" s="77">
        <f>+F243-O243</f>
        <v>45066.000124999999</v>
      </c>
      <c r="Q243" s="39"/>
    </row>
    <row r="244" spans="1:17" s="39" customFormat="1" ht="30" customHeight="1" x14ac:dyDescent="0.25">
      <c r="A244" s="208" t="s">
        <v>125</v>
      </c>
      <c r="B244" s="209"/>
      <c r="C244" s="209"/>
      <c r="D244" s="209"/>
      <c r="E244" s="210"/>
      <c r="F244" s="37">
        <f>SUM(F243:F243)</f>
        <v>50000</v>
      </c>
      <c r="G244" s="37">
        <f t="shared" ref="F244:P244" si="111">SUM(G243:G243)</f>
        <v>1435</v>
      </c>
      <c r="H244" s="37">
        <f t="shared" si="111"/>
        <v>1520</v>
      </c>
      <c r="I244" s="37">
        <f t="shared" si="111"/>
        <v>0</v>
      </c>
      <c r="J244" s="37">
        <f t="shared" si="111"/>
        <v>2955</v>
      </c>
      <c r="K244" s="37">
        <f t="shared" si="111"/>
        <v>47045</v>
      </c>
      <c r="L244" s="37">
        <f t="shared" si="111"/>
        <v>1853.9998749999997</v>
      </c>
      <c r="M244" s="37">
        <f t="shared" si="111"/>
        <v>0</v>
      </c>
      <c r="N244" s="37">
        <f t="shared" si="111"/>
        <v>125</v>
      </c>
      <c r="O244" s="37">
        <f t="shared" si="111"/>
        <v>4933.9998749999995</v>
      </c>
      <c r="P244" s="37">
        <f t="shared" si="111"/>
        <v>45066.000124999999</v>
      </c>
    </row>
    <row r="245" spans="1:17" s="53" customFormat="1" ht="30" customHeight="1" thickBot="1" x14ac:dyDescent="0.3">
      <c r="A245" s="50"/>
      <c r="B245" s="50"/>
      <c r="C245" s="50"/>
      <c r="D245" s="50"/>
      <c r="E245" s="50"/>
      <c r="F245"/>
      <c r="G245"/>
      <c r="H245"/>
      <c r="I245"/>
      <c r="J245"/>
      <c r="K245"/>
      <c r="L245"/>
      <c r="M245"/>
      <c r="N245"/>
      <c r="O245"/>
      <c r="P245"/>
      <c r="Q245" s="39"/>
    </row>
    <row r="246" spans="1:17" s="39" customFormat="1" ht="30" customHeight="1" thickBot="1" x14ac:dyDescent="0.3">
      <c r="A246" s="211" t="s">
        <v>176</v>
      </c>
      <c r="B246" s="212"/>
      <c r="C246" s="212"/>
      <c r="D246" s="212"/>
      <c r="E246" s="212"/>
      <c r="F246" s="212"/>
      <c r="G246" s="212"/>
      <c r="H246" s="212"/>
      <c r="I246" s="212"/>
      <c r="J246" s="212"/>
      <c r="K246" s="212"/>
      <c r="L246" s="212"/>
      <c r="M246" s="212"/>
      <c r="N246" s="212"/>
      <c r="O246" s="212"/>
      <c r="P246" s="212"/>
    </row>
    <row r="247" spans="1:17" s="87" customFormat="1" ht="30" customHeight="1" x14ac:dyDescent="0.25">
      <c r="A247" s="75">
        <f>+A243+1</f>
        <v>125</v>
      </c>
      <c r="B247" s="76" t="s">
        <v>7</v>
      </c>
      <c r="C247" s="75" t="s">
        <v>422</v>
      </c>
      <c r="D247" s="76" t="s">
        <v>6</v>
      </c>
      <c r="E247" s="76" t="s">
        <v>122</v>
      </c>
      <c r="F247" s="77">
        <v>54500</v>
      </c>
      <c r="G247" s="77">
        <f>F247*2.87%</f>
        <v>1564.15</v>
      </c>
      <c r="H247" s="77">
        <f>+F247*3.04%</f>
        <v>1656.8</v>
      </c>
      <c r="I247" s="77">
        <v>3154.9</v>
      </c>
      <c r="J247" s="77">
        <f t="shared" si="91"/>
        <v>6375.85</v>
      </c>
      <c r="K247" s="77">
        <f t="shared" si="95"/>
        <v>48124.15</v>
      </c>
      <c r="L247" s="77">
        <f>+IF(K247*12&lt;=416220.01,0,IF(K247*12&lt;=624329.01,(((K247*12-416220.01)*0.15)/12),IF((K247*12&lt;=867123.01),(31216+0.2*(K247*12-624329.01))/12,((79776+0.25*(K247*12-867123.01))/12))))-M247</f>
        <v>2015.8723750000006</v>
      </c>
      <c r="M247" s="77"/>
      <c r="N247" s="78">
        <v>125</v>
      </c>
      <c r="O247" s="107">
        <f t="shared" si="93"/>
        <v>8516.7223750000012</v>
      </c>
      <c r="P247" s="77">
        <f>+F247-O247</f>
        <v>45983.277625000002</v>
      </c>
      <c r="Q247" s="47"/>
    </row>
    <row r="248" spans="1:17" s="53" customFormat="1" ht="30" customHeight="1" x14ac:dyDescent="0.25">
      <c r="A248" s="36">
        <f>+A247+1</f>
        <v>126</v>
      </c>
      <c r="B248" s="108" t="s">
        <v>513</v>
      </c>
      <c r="C248" s="36" t="s">
        <v>421</v>
      </c>
      <c r="D248" s="108" t="s">
        <v>197</v>
      </c>
      <c r="E248" s="108" t="s">
        <v>229</v>
      </c>
      <c r="F248" s="110">
        <v>50000</v>
      </c>
      <c r="G248" s="110">
        <f>F248*2.87%</f>
        <v>1435</v>
      </c>
      <c r="H248" s="110">
        <f>+F248*3.04%</f>
        <v>1520</v>
      </c>
      <c r="I248" s="110"/>
      <c r="J248" s="77">
        <f t="shared" si="91"/>
        <v>2955</v>
      </c>
      <c r="K248" s="77">
        <f t="shared" si="95"/>
        <v>47045</v>
      </c>
      <c r="L248" s="77">
        <f t="shared" ref="L248:L249" si="112">+IF(K248*12&lt;=416220.01,0,IF(K248*12&lt;=624329.01,(((K248*12-416220.01)*0.15)/12),IF((K248*12&lt;=867123.01),(31216+0.2*(K248*12-624329.01))/12,((79776+0.25*(K248*12-867123.01))/12))))-M248</f>
        <v>1853.9998749999997</v>
      </c>
      <c r="M248" s="77"/>
      <c r="N248" s="84">
        <v>25</v>
      </c>
      <c r="O248" s="107">
        <f t="shared" si="93"/>
        <v>4833.9998749999995</v>
      </c>
      <c r="P248" s="107">
        <f>+F248-O248</f>
        <v>45166.000124999999</v>
      </c>
      <c r="Q248" s="39"/>
    </row>
    <row r="249" spans="1:17" s="53" customFormat="1" ht="30" customHeight="1" x14ac:dyDescent="0.25">
      <c r="A249" s="80">
        <f>+A248+1</f>
        <v>127</v>
      </c>
      <c r="B249" s="81" t="s">
        <v>305</v>
      </c>
      <c r="C249" s="80" t="s">
        <v>421</v>
      </c>
      <c r="D249" s="81" t="s">
        <v>6</v>
      </c>
      <c r="E249" s="81" t="s">
        <v>122</v>
      </c>
      <c r="F249" s="82">
        <v>49500</v>
      </c>
      <c r="G249" s="82">
        <f>F249*2.87%</f>
        <v>1420.65</v>
      </c>
      <c r="H249" s="82">
        <f>+F249*3.04%</f>
        <v>1504.8</v>
      </c>
      <c r="I249" s="82"/>
      <c r="J249" s="77">
        <f t="shared" si="91"/>
        <v>2925.45</v>
      </c>
      <c r="K249" s="77">
        <f t="shared" si="95"/>
        <v>46574.55</v>
      </c>
      <c r="L249" s="77">
        <f t="shared" si="112"/>
        <v>1783.432375000001</v>
      </c>
      <c r="M249" s="77"/>
      <c r="N249" s="78">
        <v>125</v>
      </c>
      <c r="O249" s="107">
        <f t="shared" si="93"/>
        <v>4833.882375000001</v>
      </c>
      <c r="P249" s="77">
        <f>+F249-O249</f>
        <v>44666.117624999999</v>
      </c>
      <c r="Q249" s="39"/>
    </row>
    <row r="250" spans="1:17" s="39" customFormat="1" ht="30" customHeight="1" x14ac:dyDescent="0.25">
      <c r="A250" s="208" t="s">
        <v>125</v>
      </c>
      <c r="B250" s="209"/>
      <c r="C250" s="209"/>
      <c r="D250" s="209"/>
      <c r="E250" s="210"/>
      <c r="F250" s="37">
        <f>SUM(F247:F249)</f>
        <v>154000</v>
      </c>
      <c r="G250" s="37">
        <f t="shared" ref="F250:P250" si="113">SUM(G247:G249)</f>
        <v>4419.8</v>
      </c>
      <c r="H250" s="37">
        <f t="shared" si="113"/>
        <v>4681.6000000000004</v>
      </c>
      <c r="I250" s="37">
        <f t="shared" si="113"/>
        <v>3154.9</v>
      </c>
      <c r="J250" s="37">
        <f t="shared" si="113"/>
        <v>12256.3</v>
      </c>
      <c r="K250" s="37">
        <f t="shared" si="113"/>
        <v>141743.70000000001</v>
      </c>
      <c r="L250" s="37">
        <f t="shared" si="113"/>
        <v>5653.3046250000016</v>
      </c>
      <c r="M250" s="37">
        <f t="shared" si="113"/>
        <v>0</v>
      </c>
      <c r="N250" s="37">
        <f t="shared" si="113"/>
        <v>275</v>
      </c>
      <c r="O250" s="37">
        <f t="shared" si="113"/>
        <v>18184.604625</v>
      </c>
      <c r="P250" s="37">
        <f t="shared" si="113"/>
        <v>135815.39537500002</v>
      </c>
    </row>
    <row r="251" spans="1:17" s="39" customFormat="1" ht="30" customHeight="1" thickBot="1" x14ac:dyDescent="0.3">
      <c r="A251" s="44"/>
      <c r="B251" s="42"/>
      <c r="C251" s="44"/>
      <c r="D251" s="42"/>
      <c r="E251" s="42"/>
    </row>
    <row r="252" spans="1:17" s="53" customFormat="1" ht="30" customHeight="1" thickBot="1" x14ac:dyDescent="0.3">
      <c r="A252" s="211" t="s">
        <v>177</v>
      </c>
      <c r="B252" s="212"/>
      <c r="C252" s="212"/>
      <c r="D252" s="212"/>
      <c r="E252" s="212"/>
      <c r="F252" s="212"/>
      <c r="G252" s="212"/>
      <c r="H252" s="212"/>
      <c r="I252" s="212"/>
      <c r="J252" s="212"/>
      <c r="K252" s="212"/>
      <c r="L252" s="212"/>
      <c r="M252" s="212"/>
      <c r="N252" s="212"/>
      <c r="O252" s="212"/>
      <c r="P252" s="212"/>
      <c r="Q252" s="39"/>
    </row>
    <row r="253" spans="1:17" s="53" customFormat="1" ht="30" customHeight="1" x14ac:dyDescent="0.25">
      <c r="A253" s="80">
        <f>+A249+1</f>
        <v>128</v>
      </c>
      <c r="B253" s="108" t="s">
        <v>192</v>
      </c>
      <c r="C253" s="36" t="s">
        <v>421</v>
      </c>
      <c r="D253" s="108" t="s">
        <v>9</v>
      </c>
      <c r="E253" s="108" t="s">
        <v>122</v>
      </c>
      <c r="F253" s="110">
        <v>80000</v>
      </c>
      <c r="G253" s="110">
        <f>F253*2.87%</f>
        <v>2296</v>
      </c>
      <c r="H253" s="82">
        <f>+F253*3.04%</f>
        <v>2432</v>
      </c>
      <c r="I253" s="82"/>
      <c r="J253" s="77">
        <f t="shared" si="91"/>
        <v>4728</v>
      </c>
      <c r="K253" s="77">
        <f t="shared" si="95"/>
        <v>75272</v>
      </c>
      <c r="L253" s="77">
        <f>+IF(K253*12&lt;=416220.01,0,IF(K253*12&lt;=624329.01,(((K253*12-416220.01)*0.15)/12),IF((K253*12&lt;=867123.01),(31216+0.2*(K253*12-624329.01))/12,((79776+0.25*(K253*12-867123.01))/12))))-M253</f>
        <v>7400.9372916666662</v>
      </c>
      <c r="M253" s="77"/>
      <c r="N253" s="78">
        <v>2733.48</v>
      </c>
      <c r="O253" s="107">
        <f t="shared" si="93"/>
        <v>14862.417291666665</v>
      </c>
      <c r="P253" s="78">
        <f>+F253-O253</f>
        <v>65137.582708333335</v>
      </c>
      <c r="Q253" s="39"/>
    </row>
    <row r="254" spans="1:17" s="39" customFormat="1" ht="30" customHeight="1" x14ac:dyDescent="0.25">
      <c r="A254" s="75">
        <f>+A253+1</f>
        <v>129</v>
      </c>
      <c r="B254" s="112" t="s">
        <v>304</v>
      </c>
      <c r="C254" s="122" t="s">
        <v>421</v>
      </c>
      <c r="D254" s="112" t="s">
        <v>197</v>
      </c>
      <c r="E254" s="112" t="s">
        <v>229</v>
      </c>
      <c r="F254" s="107">
        <v>60000</v>
      </c>
      <c r="G254" s="173">
        <f>F254*2.87%</f>
        <v>1722</v>
      </c>
      <c r="H254" s="89">
        <f>+F254*3.04%</f>
        <v>1824</v>
      </c>
      <c r="I254" s="89"/>
      <c r="J254" s="77">
        <f t="shared" si="91"/>
        <v>3546</v>
      </c>
      <c r="K254" s="77">
        <f t="shared" si="95"/>
        <v>56454</v>
      </c>
      <c r="L254" s="77">
        <f>+IF(K254*12&lt;=416220.01,0,IF(K254*12&lt;=624329.01,(((K254*12-416220.01)*0.15)/12),IF((K254*12&lt;=867123.01),(31216+0.2*(K254*12-624329.01))/12,((79776+0.25*(K254*12-867123.01))/12))))-M254</f>
        <v>3486.6498333333329</v>
      </c>
      <c r="M254" s="77"/>
      <c r="N254" s="78">
        <v>25</v>
      </c>
      <c r="O254" s="107">
        <f t="shared" si="93"/>
        <v>7057.6498333333329</v>
      </c>
      <c r="P254" s="89">
        <f>+F254-O254</f>
        <v>52942.350166666671</v>
      </c>
    </row>
    <row r="255" spans="1:17" s="39" customFormat="1" ht="30" customHeight="1" x14ac:dyDescent="0.25">
      <c r="A255" s="208" t="s">
        <v>125</v>
      </c>
      <c r="B255" s="209"/>
      <c r="C255" s="209"/>
      <c r="D255" s="209"/>
      <c r="E255" s="210"/>
      <c r="F255" s="37">
        <f>SUM(F253:F254)</f>
        <v>140000</v>
      </c>
      <c r="G255" s="37">
        <f t="shared" ref="F255:P255" si="114">SUM(G253:G254)</f>
        <v>4018</v>
      </c>
      <c r="H255" s="37">
        <f t="shared" si="114"/>
        <v>4256</v>
      </c>
      <c r="I255" s="37">
        <f t="shared" si="114"/>
        <v>0</v>
      </c>
      <c r="J255" s="37">
        <f t="shared" si="114"/>
        <v>8274</v>
      </c>
      <c r="K255" s="37">
        <f t="shared" si="114"/>
        <v>131726</v>
      </c>
      <c r="L255" s="37">
        <f t="shared" si="114"/>
        <v>10887.587124999998</v>
      </c>
      <c r="M255" s="37">
        <f t="shared" si="114"/>
        <v>0</v>
      </c>
      <c r="N255" s="37">
        <f t="shared" si="114"/>
        <v>2758.48</v>
      </c>
      <c r="O255" s="37">
        <f t="shared" si="114"/>
        <v>21920.067124999998</v>
      </c>
      <c r="P255" s="37">
        <f t="shared" si="114"/>
        <v>118079.932875</v>
      </c>
    </row>
    <row r="256" spans="1:17" s="39" customFormat="1" ht="30" customHeight="1" thickBot="1" x14ac:dyDescent="0.3">
      <c r="A256" s="44"/>
      <c r="B256" s="42"/>
      <c r="C256" s="44"/>
      <c r="D256" s="42"/>
      <c r="E256" s="42"/>
    </row>
    <row r="257" spans="1:17" s="53" customFormat="1" ht="30" customHeight="1" thickBot="1" x14ac:dyDescent="0.3">
      <c r="A257" s="287" t="s">
        <v>307</v>
      </c>
      <c r="B257" s="288"/>
      <c r="C257" s="288"/>
      <c r="D257" s="288"/>
      <c r="E257" s="214"/>
      <c r="F257" s="214"/>
      <c r="G257" s="214"/>
      <c r="H257" s="214"/>
      <c r="I257" s="214"/>
      <c r="J257" s="214"/>
      <c r="K257" s="214"/>
      <c r="L257" s="214"/>
      <c r="M257" s="214"/>
      <c r="N257" s="214"/>
      <c r="O257" s="214"/>
      <c r="P257" s="214"/>
      <c r="Q257" s="39"/>
    </row>
    <row r="258" spans="1:17" s="53" customFormat="1" ht="30" customHeight="1" x14ac:dyDescent="0.25">
      <c r="A258" s="80">
        <f>+A254+1</f>
        <v>130</v>
      </c>
      <c r="B258" s="108" t="s">
        <v>4</v>
      </c>
      <c r="C258" s="36" t="s">
        <v>421</v>
      </c>
      <c r="D258" s="108" t="s">
        <v>449</v>
      </c>
      <c r="E258" s="108" t="s">
        <v>122</v>
      </c>
      <c r="F258" s="110">
        <v>105000</v>
      </c>
      <c r="G258" s="110">
        <f>F258*2.87%</f>
        <v>3013.5</v>
      </c>
      <c r="H258" s="82">
        <f>+F258*3.04%</f>
        <v>3192</v>
      </c>
      <c r="I258" s="82">
        <v>3154.9</v>
      </c>
      <c r="J258" s="77">
        <f t="shared" si="91"/>
        <v>9360.4</v>
      </c>
      <c r="K258" s="77">
        <f t="shared" si="95"/>
        <v>95639.6</v>
      </c>
      <c r="L258" s="77">
        <f t="shared" si="101"/>
        <v>12492.83729166667</v>
      </c>
      <c r="M258" s="77"/>
      <c r="N258" s="78">
        <v>25</v>
      </c>
      <c r="O258" s="107">
        <f t="shared" si="93"/>
        <v>21878.237291666672</v>
      </c>
      <c r="P258" s="78">
        <f>+F258-O258</f>
        <v>83121.762708333321</v>
      </c>
      <c r="Q258" s="39"/>
    </row>
    <row r="259" spans="1:17" s="39" customFormat="1" ht="30" customHeight="1" x14ac:dyDescent="0.25">
      <c r="A259" s="208" t="s">
        <v>125</v>
      </c>
      <c r="B259" s="209"/>
      <c r="C259" s="209"/>
      <c r="D259" s="209"/>
      <c r="E259" s="210"/>
      <c r="F259" s="37">
        <f>SUM(F258:F258)</f>
        <v>105000</v>
      </c>
      <c r="G259" s="37">
        <f t="shared" ref="F259:P259" si="115">SUM(G258:G258)</f>
        <v>3013.5</v>
      </c>
      <c r="H259" s="37">
        <f t="shared" si="115"/>
        <v>3192</v>
      </c>
      <c r="I259" s="37">
        <f t="shared" si="115"/>
        <v>3154.9</v>
      </c>
      <c r="J259" s="37">
        <f t="shared" si="115"/>
        <v>9360.4</v>
      </c>
      <c r="K259" s="37">
        <f t="shared" si="115"/>
        <v>95639.6</v>
      </c>
      <c r="L259" s="37">
        <f t="shared" si="115"/>
        <v>12492.83729166667</v>
      </c>
      <c r="M259" s="37"/>
      <c r="N259" s="37">
        <f t="shared" si="115"/>
        <v>25</v>
      </c>
      <c r="O259" s="37">
        <f t="shared" si="115"/>
        <v>21878.237291666672</v>
      </c>
      <c r="P259" s="37">
        <f t="shared" si="115"/>
        <v>83121.762708333321</v>
      </c>
    </row>
    <row r="260" spans="1:17" s="39" customFormat="1" ht="30" customHeight="1" thickBot="1" x14ac:dyDescent="0.3">
      <c r="A260" s="50"/>
      <c r="B260" s="50"/>
      <c r="C260" s="50"/>
      <c r="D260" s="50"/>
      <c r="E260" s="50"/>
      <c r="F260"/>
      <c r="G260"/>
      <c r="H260"/>
      <c r="I260"/>
      <c r="J260"/>
      <c r="K260"/>
      <c r="L260"/>
      <c r="M260"/>
      <c r="N260"/>
      <c r="O260"/>
      <c r="P260"/>
    </row>
    <row r="261" spans="1:17" s="53" customFormat="1" ht="30" customHeight="1" thickBot="1" x14ac:dyDescent="0.3">
      <c r="A261" s="216" t="s">
        <v>308</v>
      </c>
      <c r="B261" s="217"/>
      <c r="C261" s="217"/>
      <c r="D261" s="217"/>
      <c r="E261" s="217"/>
      <c r="F261" s="217"/>
      <c r="G261" s="217"/>
      <c r="H261" s="217"/>
      <c r="I261" s="217"/>
      <c r="J261" s="217"/>
      <c r="K261" s="217"/>
      <c r="L261" s="217"/>
      <c r="M261" s="217"/>
      <c r="N261" s="217"/>
      <c r="O261" s="217"/>
      <c r="P261" s="217"/>
      <c r="Q261" s="39"/>
    </row>
    <row r="262" spans="1:17" s="87" customFormat="1" ht="30" customHeight="1" x14ac:dyDescent="0.25">
      <c r="A262" s="80">
        <f>+A258+1</f>
        <v>131</v>
      </c>
      <c r="B262" s="108" t="s">
        <v>309</v>
      </c>
      <c r="C262" s="36" t="s">
        <v>421</v>
      </c>
      <c r="D262" s="108" t="s">
        <v>83</v>
      </c>
      <c r="E262" s="108" t="s">
        <v>121</v>
      </c>
      <c r="F262" s="110">
        <v>90000</v>
      </c>
      <c r="G262" s="82">
        <f>F262*2.87%</f>
        <v>2583</v>
      </c>
      <c r="H262" s="82">
        <f>+F262*3.04%</f>
        <v>2736</v>
      </c>
      <c r="I262" s="82"/>
      <c r="J262" s="77">
        <f t="shared" si="91"/>
        <v>5319</v>
      </c>
      <c r="K262" s="77">
        <f t="shared" si="95"/>
        <v>84681</v>
      </c>
      <c r="L262" s="77">
        <f>+IF(K262*12&lt;=416220.01,0,IF(K262*12&lt;=624329.01,(((K262*12-416220.01)*0.15)/12),IF((K262*12&lt;=867123.01),(31216+0.2*(K262*12-624329.01))/12,((79776+0.25*(K262*12-867123.01))/12))))-M262</f>
        <v>9753.1872916666671</v>
      </c>
      <c r="M262" s="77"/>
      <c r="N262" s="78">
        <v>25</v>
      </c>
      <c r="O262" s="107">
        <f t="shared" si="93"/>
        <v>15097.187291666667</v>
      </c>
      <c r="P262" s="78">
        <f>+F262-O262</f>
        <v>74902.812708333338</v>
      </c>
      <c r="Q262" s="47"/>
    </row>
    <row r="263" spans="1:17" s="53" customFormat="1" ht="30" customHeight="1" x14ac:dyDescent="0.25">
      <c r="A263" s="80">
        <f>+A262+1</f>
        <v>132</v>
      </c>
      <c r="B263" s="108" t="s">
        <v>19</v>
      </c>
      <c r="C263" s="36" t="s">
        <v>421</v>
      </c>
      <c r="D263" s="126" t="s">
        <v>310</v>
      </c>
      <c r="E263" s="108" t="s">
        <v>122</v>
      </c>
      <c r="F263" s="82">
        <v>68000</v>
      </c>
      <c r="G263" s="82">
        <f>F263*2.87%</f>
        <v>1951.6</v>
      </c>
      <c r="H263" s="82">
        <f>+F263*3.04%</f>
        <v>2067.1999999999998</v>
      </c>
      <c r="I263" s="82"/>
      <c r="J263" s="77">
        <f t="shared" si="91"/>
        <v>4018.7999999999997</v>
      </c>
      <c r="K263" s="77">
        <f t="shared" si="95"/>
        <v>63981.2</v>
      </c>
      <c r="L263" s="77">
        <f>+IF(K263*12&lt;=416220.01,0,IF(K263*12&lt;=624329.01,(((K263*12-416220.01)*0.15)/12),IF((K263*12&lt;=867123.01),(31216+0.2*(K263*12-624329.01))/12,((79776+0.25*(K263*12-867123.01))/12))))-M263</f>
        <v>4992.0898333333316</v>
      </c>
      <c r="M263" s="77"/>
      <c r="N263" s="78">
        <f>11471.45+100+25</f>
        <v>11596.45</v>
      </c>
      <c r="O263" s="107">
        <f t="shared" si="93"/>
        <v>20607.339833333332</v>
      </c>
      <c r="P263" s="78">
        <f>+F263-O263</f>
        <v>47392.660166666668</v>
      </c>
      <c r="Q263" s="39"/>
    </row>
    <row r="264" spans="1:17" s="39" customFormat="1" ht="30" customHeight="1" x14ac:dyDescent="0.25">
      <c r="A264" s="208" t="s">
        <v>125</v>
      </c>
      <c r="B264" s="209"/>
      <c r="C264" s="209"/>
      <c r="D264" s="209"/>
      <c r="E264" s="210"/>
      <c r="F264" s="37">
        <f>SUM(F262:F263)</f>
        <v>158000</v>
      </c>
      <c r="G264" s="37">
        <f t="shared" ref="F264:P264" si="116">SUM(G262:G263)</f>
        <v>4534.6000000000004</v>
      </c>
      <c r="H264" s="37">
        <f t="shared" si="116"/>
        <v>4803.2</v>
      </c>
      <c r="I264" s="37">
        <f t="shared" si="116"/>
        <v>0</v>
      </c>
      <c r="J264" s="37">
        <f t="shared" si="116"/>
        <v>9337.7999999999993</v>
      </c>
      <c r="K264" s="37">
        <f t="shared" si="116"/>
        <v>148662.20000000001</v>
      </c>
      <c r="L264" s="37">
        <f t="shared" si="116"/>
        <v>14745.277124999999</v>
      </c>
      <c r="M264" s="37">
        <f t="shared" si="116"/>
        <v>0</v>
      </c>
      <c r="N264" s="37">
        <f t="shared" si="116"/>
        <v>11621.45</v>
      </c>
      <c r="O264" s="37">
        <f t="shared" si="116"/>
        <v>35704.527125000001</v>
      </c>
      <c r="P264" s="37">
        <f t="shared" si="116"/>
        <v>122295.47287500001</v>
      </c>
    </row>
    <row r="265" spans="1:17" s="39" customFormat="1" ht="30" customHeight="1" thickBot="1" x14ac:dyDescent="0.3">
      <c r="A265" s="50"/>
      <c r="B265" s="50"/>
      <c r="C265" s="50"/>
      <c r="D265" s="50"/>
      <c r="E265" s="50"/>
      <c r="F265"/>
      <c r="G265"/>
      <c r="H265"/>
      <c r="I265"/>
      <c r="J265"/>
      <c r="K265"/>
      <c r="L265"/>
      <c r="M265"/>
      <c r="N265"/>
      <c r="O265"/>
      <c r="P265"/>
    </row>
    <row r="266" spans="1:17" s="53" customFormat="1" ht="30" customHeight="1" thickBot="1" x14ac:dyDescent="0.3">
      <c r="A266" s="216" t="s">
        <v>312</v>
      </c>
      <c r="B266" s="217"/>
      <c r="C266" s="217"/>
      <c r="D266" s="217"/>
      <c r="E266" s="217"/>
      <c r="F266" s="217"/>
      <c r="G266" s="217"/>
      <c r="H266" s="217"/>
      <c r="I266" s="217"/>
      <c r="J266" s="217"/>
      <c r="K266" s="217"/>
      <c r="L266" s="217"/>
      <c r="M266" s="217"/>
      <c r="N266" s="217"/>
      <c r="O266" s="217"/>
      <c r="P266" s="217"/>
      <c r="Q266" s="39"/>
    </row>
    <row r="267" spans="1:17" s="53" customFormat="1" ht="30" customHeight="1" x14ac:dyDescent="0.25">
      <c r="A267" s="80">
        <f>+A263+1</f>
        <v>133</v>
      </c>
      <c r="B267" s="108" t="s">
        <v>311</v>
      </c>
      <c r="C267" s="36" t="s">
        <v>421</v>
      </c>
      <c r="D267" s="108" t="s">
        <v>95</v>
      </c>
      <c r="E267" s="108" t="s">
        <v>122</v>
      </c>
      <c r="F267" s="110">
        <v>90000</v>
      </c>
      <c r="G267" s="110">
        <f>F267*2.87%</f>
        <v>2583</v>
      </c>
      <c r="H267" s="110">
        <f>+F267*3.04%</f>
        <v>2736</v>
      </c>
      <c r="I267" s="110">
        <v>1577.45</v>
      </c>
      <c r="J267" s="77">
        <f t="shared" ref="J267:J332" si="117">+G267+H267+I267</f>
        <v>6896.45</v>
      </c>
      <c r="K267" s="77">
        <f t="shared" si="95"/>
        <v>83103.55</v>
      </c>
      <c r="L267" s="77">
        <f>+IF(K267*12&lt;=416220.01,0,IF(K267*12&lt;=624329.01,(((K267*12-416220.01)*0.15)/12),IF((K267*12&lt;=867123.01),(31216+0.2*(K267*12-624329.01))/12,((79776+0.25*(K267*12-867123.01))/12))))-M267</f>
        <v>9358.8247916666678</v>
      </c>
      <c r="M267" s="77"/>
      <c r="N267" s="78">
        <v>125</v>
      </c>
      <c r="O267" s="107">
        <f t="shared" ref="O267:O333" si="118">+N267+I267+H267+G267+L267</f>
        <v>16380.274791666667</v>
      </c>
      <c r="P267" s="78">
        <f>+F267-O267</f>
        <v>73619.72520833333</v>
      </c>
      <c r="Q267" s="39"/>
    </row>
    <row r="268" spans="1:17" s="53" customFormat="1" ht="30" customHeight="1" x14ac:dyDescent="0.25">
      <c r="A268" s="80">
        <f>+A267+1</f>
        <v>134</v>
      </c>
      <c r="B268" s="108" t="s">
        <v>18</v>
      </c>
      <c r="C268" s="36" t="s">
        <v>421</v>
      </c>
      <c r="D268" s="126" t="s">
        <v>310</v>
      </c>
      <c r="E268" s="108" t="s">
        <v>122</v>
      </c>
      <c r="F268" s="110">
        <v>68000</v>
      </c>
      <c r="G268" s="82">
        <f>F268*2.87%</f>
        <v>1951.6</v>
      </c>
      <c r="H268" s="82">
        <f>+F268*3.04%</f>
        <v>2067.1999999999998</v>
      </c>
      <c r="I268" s="82"/>
      <c r="J268" s="77">
        <f t="shared" si="117"/>
        <v>4018.7999999999997</v>
      </c>
      <c r="K268" s="77">
        <f t="shared" si="95"/>
        <v>63981.2</v>
      </c>
      <c r="L268" s="77">
        <f>+IF(K268*12&lt;=416220.01,0,IF(K268*12&lt;=624329.01,(((K268*12-416220.01)*0.15)/12),IF((K268*12&lt;=867123.01),(31216+0.2*(K268*12-624329.01))/12,((79776+0.25*(K268*12-867123.01))/12))))-M268</f>
        <v>4992.0898333333316</v>
      </c>
      <c r="M268" s="77"/>
      <c r="N268" s="78">
        <v>15321.23</v>
      </c>
      <c r="O268" s="107">
        <f t="shared" si="118"/>
        <v>24332.11983333333</v>
      </c>
      <c r="P268" s="78">
        <f>+F268-O268</f>
        <v>43667.88016666667</v>
      </c>
      <c r="Q268" s="39"/>
    </row>
    <row r="269" spans="1:17" s="53" customFormat="1" ht="30" customHeight="1" x14ac:dyDescent="0.25">
      <c r="A269" s="208" t="s">
        <v>125</v>
      </c>
      <c r="B269" s="209"/>
      <c r="C269" s="209"/>
      <c r="D269" s="209"/>
      <c r="E269" s="210"/>
      <c r="F269" s="37">
        <f>SUM(F267:F268)</f>
        <v>158000</v>
      </c>
      <c r="G269" s="37">
        <f t="shared" ref="F269:P269" si="119">SUM(G267:G268)</f>
        <v>4534.6000000000004</v>
      </c>
      <c r="H269" s="37">
        <f t="shared" si="119"/>
        <v>4803.2</v>
      </c>
      <c r="I269" s="37">
        <f t="shared" si="119"/>
        <v>1577.45</v>
      </c>
      <c r="J269" s="37">
        <f t="shared" si="119"/>
        <v>10915.25</v>
      </c>
      <c r="K269" s="37">
        <f t="shared" si="119"/>
        <v>147084.75</v>
      </c>
      <c r="L269" s="37">
        <f t="shared" si="119"/>
        <v>14350.914624999999</v>
      </c>
      <c r="M269" s="37">
        <f t="shared" si="119"/>
        <v>0</v>
      </c>
      <c r="N269" s="37">
        <f t="shared" si="119"/>
        <v>15446.23</v>
      </c>
      <c r="O269" s="37">
        <f t="shared" si="119"/>
        <v>40712.394625000001</v>
      </c>
      <c r="P269" s="37">
        <f t="shared" si="119"/>
        <v>117287.605375</v>
      </c>
      <c r="Q269" s="39"/>
    </row>
    <row r="270" spans="1:17" s="39" customFormat="1" ht="30" customHeight="1" thickBot="1" x14ac:dyDescent="0.3">
      <c r="A270" s="50"/>
      <c r="B270" s="50"/>
      <c r="C270" s="50"/>
      <c r="D270" s="50"/>
      <c r="E270" s="5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</row>
    <row r="271" spans="1:17" s="39" customFormat="1" ht="30" customHeight="1" thickBot="1" x14ac:dyDescent="0.3">
      <c r="A271" s="216" t="s">
        <v>230</v>
      </c>
      <c r="B271" s="217"/>
      <c r="C271" s="217"/>
      <c r="D271" s="217"/>
      <c r="E271" s="217"/>
      <c r="F271" s="217"/>
      <c r="G271" s="217"/>
      <c r="H271" s="217"/>
      <c r="I271" s="217"/>
      <c r="J271" s="217"/>
      <c r="K271" s="217"/>
      <c r="L271" s="217"/>
      <c r="M271" s="217"/>
      <c r="N271" s="217"/>
      <c r="O271" s="217"/>
      <c r="P271" s="217"/>
    </row>
    <row r="272" spans="1:17" s="39" customFormat="1" ht="30" customHeight="1" x14ac:dyDescent="0.25">
      <c r="A272" s="80">
        <f>+A268+1</f>
        <v>135</v>
      </c>
      <c r="B272" s="108" t="s">
        <v>231</v>
      </c>
      <c r="C272" s="36" t="s">
        <v>421</v>
      </c>
      <c r="D272" s="108" t="s">
        <v>20</v>
      </c>
      <c r="E272" s="108" t="s">
        <v>122</v>
      </c>
      <c r="F272" s="110">
        <v>65000</v>
      </c>
      <c r="G272" s="110">
        <f>F272*2.87%</f>
        <v>1865.5</v>
      </c>
      <c r="H272" s="82">
        <f>+F272*3.04%</f>
        <v>1976</v>
      </c>
      <c r="I272" s="82">
        <v>1577.45</v>
      </c>
      <c r="J272" s="77">
        <f t="shared" si="117"/>
        <v>5418.95</v>
      </c>
      <c r="K272" s="77">
        <f t="shared" ref="K272:K336" si="120">+F272-J272</f>
        <v>59581.05</v>
      </c>
      <c r="L272" s="77">
        <f>+IF(K272*12&lt;=416220.01,0,IF(K272*12&lt;=624329.01,(((K272*12-416220.01)*0.15)/12),IF((K272*12&lt;=867123.01),(31216+0.2*(K272*12-624329.01))/12,((79776+0.25*(K272*12-867123.01))/12))))-M272</f>
        <v>4112.0598333333355</v>
      </c>
      <c r="M272" s="77"/>
      <c r="N272" s="78">
        <v>12367.23</v>
      </c>
      <c r="O272" s="107">
        <f t="shared" si="118"/>
        <v>21898.239833333337</v>
      </c>
      <c r="P272" s="78">
        <f>+F272-O272</f>
        <v>43101.76016666666</v>
      </c>
    </row>
    <row r="273" spans="1:17" s="39" customFormat="1" ht="30" customHeight="1" x14ac:dyDescent="0.25">
      <c r="A273" s="80">
        <f>+A272+1</f>
        <v>136</v>
      </c>
      <c r="B273" s="108" t="s">
        <v>81</v>
      </c>
      <c r="C273" s="36" t="s">
        <v>421</v>
      </c>
      <c r="D273" s="108" t="s">
        <v>20</v>
      </c>
      <c r="E273" s="108" t="s">
        <v>122</v>
      </c>
      <c r="F273" s="110">
        <v>60000</v>
      </c>
      <c r="G273" s="110">
        <f>F273*2.87%</f>
        <v>1722</v>
      </c>
      <c r="H273" s="82">
        <f>+F273*3.04%</f>
        <v>1824</v>
      </c>
      <c r="I273" s="82"/>
      <c r="J273" s="77">
        <f t="shared" si="117"/>
        <v>3546</v>
      </c>
      <c r="K273" s="77">
        <f t="shared" si="120"/>
        <v>56454</v>
      </c>
      <c r="L273" s="77">
        <f t="shared" ref="L273:L274" si="121">+IF(K273*12&lt;=416220.01,0,IF(K273*12&lt;=624329.01,(((K273*12-416220.01)*0.15)/12),IF((K273*12&lt;=867123.01),(31216+0.2*(K273*12-624329.01))/12,((79776+0.25*(K273*12-867123.01))/12))))-M273</f>
        <v>3486.6498333333329</v>
      </c>
      <c r="M273" s="77"/>
      <c r="N273" s="78">
        <v>125</v>
      </c>
      <c r="O273" s="107">
        <f t="shared" si="118"/>
        <v>7157.6498333333329</v>
      </c>
      <c r="P273" s="78">
        <f>+F273-O273</f>
        <v>52842.350166666671</v>
      </c>
    </row>
    <row r="274" spans="1:17" s="53" customFormat="1" ht="30" customHeight="1" x14ac:dyDescent="0.25">
      <c r="A274" s="80">
        <f>+A273+1</f>
        <v>137</v>
      </c>
      <c r="B274" s="108" t="s">
        <v>458</v>
      </c>
      <c r="C274" s="36" t="s">
        <v>421</v>
      </c>
      <c r="D274" s="108" t="s">
        <v>20</v>
      </c>
      <c r="E274" s="108" t="s">
        <v>122</v>
      </c>
      <c r="F274" s="110">
        <v>60000</v>
      </c>
      <c r="G274" s="110">
        <f>F274*2.87%</f>
        <v>1722</v>
      </c>
      <c r="H274" s="82">
        <f>+F274*3.04%</f>
        <v>1824</v>
      </c>
      <c r="I274" s="82">
        <v>3154.5</v>
      </c>
      <c r="J274" s="77">
        <f t="shared" si="117"/>
        <v>6700.5</v>
      </c>
      <c r="K274" s="77">
        <f t="shared" si="120"/>
        <v>53299.5</v>
      </c>
      <c r="L274" s="77">
        <f t="shared" si="121"/>
        <v>2855.7498333333333</v>
      </c>
      <c r="M274" s="77"/>
      <c r="N274" s="78">
        <v>125</v>
      </c>
      <c r="O274" s="107">
        <f t="shared" si="118"/>
        <v>9681.2498333333333</v>
      </c>
      <c r="P274" s="78">
        <f>+F274-O274</f>
        <v>50318.750166666665</v>
      </c>
      <c r="Q274" s="39"/>
    </row>
    <row r="275" spans="1:17" s="53" customFormat="1" ht="30" customHeight="1" x14ac:dyDescent="0.25">
      <c r="A275" s="208" t="s">
        <v>125</v>
      </c>
      <c r="B275" s="209"/>
      <c r="C275" s="209"/>
      <c r="D275" s="209"/>
      <c r="E275" s="210"/>
      <c r="F275" s="37">
        <f>SUM(F272:F274)</f>
        <v>185000</v>
      </c>
      <c r="G275" s="37">
        <f t="shared" ref="F275:P275" si="122">SUM(G272:G274)</f>
        <v>5309.5</v>
      </c>
      <c r="H275" s="37">
        <f t="shared" si="122"/>
        <v>5624</v>
      </c>
      <c r="I275" s="37">
        <f t="shared" si="122"/>
        <v>4731.95</v>
      </c>
      <c r="J275" s="37">
        <f t="shared" si="122"/>
        <v>15665.45</v>
      </c>
      <c r="K275" s="37">
        <f t="shared" si="122"/>
        <v>169334.55</v>
      </c>
      <c r="L275" s="37">
        <f t="shared" si="122"/>
        <v>10454.459500000001</v>
      </c>
      <c r="M275" s="37">
        <f t="shared" si="122"/>
        <v>0</v>
      </c>
      <c r="N275" s="37">
        <f t="shared" si="122"/>
        <v>12617.23</v>
      </c>
      <c r="O275" s="37">
        <f t="shared" si="122"/>
        <v>38737.139500000005</v>
      </c>
      <c r="P275" s="37">
        <f t="shared" si="122"/>
        <v>146262.86050000001</v>
      </c>
      <c r="Q275" s="39"/>
    </row>
    <row r="276" spans="1:17" s="53" customFormat="1" ht="30" customHeight="1" thickBot="1" x14ac:dyDescent="0.3">
      <c r="A276" s="50"/>
      <c r="B276" s="50"/>
      <c r="C276" s="50"/>
      <c r="D276" s="50"/>
      <c r="E276" s="5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39"/>
    </row>
    <row r="277" spans="1:17" s="53" customFormat="1" ht="30" customHeight="1" thickBot="1" x14ac:dyDescent="0.3">
      <c r="A277" s="211" t="s">
        <v>598</v>
      </c>
      <c r="B277" s="212"/>
      <c r="C277" s="212"/>
      <c r="D277" s="212"/>
      <c r="E277" s="212"/>
      <c r="F277" s="212"/>
      <c r="G277" s="212"/>
      <c r="H277" s="212"/>
      <c r="I277" s="212"/>
      <c r="J277" s="212"/>
      <c r="K277" s="212"/>
      <c r="L277" s="212"/>
      <c r="M277" s="212"/>
      <c r="N277" s="212"/>
      <c r="O277" s="212"/>
      <c r="P277" s="212"/>
      <c r="Q277" s="39"/>
    </row>
    <row r="278" spans="1:17" s="53" customFormat="1" ht="30" customHeight="1" x14ac:dyDescent="0.25">
      <c r="A278" s="80">
        <f>+A274+1</f>
        <v>138</v>
      </c>
      <c r="B278" s="112" t="s">
        <v>597</v>
      </c>
      <c r="C278" s="122" t="s">
        <v>422</v>
      </c>
      <c r="D278" s="123" t="s">
        <v>22</v>
      </c>
      <c r="E278" s="108" t="s">
        <v>121</v>
      </c>
      <c r="F278" s="107">
        <v>40000</v>
      </c>
      <c r="G278" s="107">
        <f>F278*2.87%</f>
        <v>1148</v>
      </c>
      <c r="H278" s="77">
        <f>+F278*3.04%</f>
        <v>1216</v>
      </c>
      <c r="I278" s="77"/>
      <c r="J278" s="77">
        <f t="shared" ref="J278" si="123">+G278+H278+I278</f>
        <v>2364</v>
      </c>
      <c r="K278" s="77">
        <f t="shared" ref="K278" si="124">+F278-J278</f>
        <v>37636</v>
      </c>
      <c r="L278" s="77">
        <f>+IF(K278*12&lt;=416220.01,0,IF(K278*12&lt;=624329.01,(((K278*12-416220.01)*0.15)/12),IF((K278*12&lt;=867123.01),(31216+0.2*(K278*12-624329.01))/12,((79776+0.25*(K278*12-867123.01))/12))))-M278</f>
        <v>-1.2500000013915269E-4</v>
      </c>
      <c r="M278" s="77">
        <v>442.65</v>
      </c>
      <c r="N278" s="84">
        <v>1625</v>
      </c>
      <c r="O278" s="107">
        <f>+N278+I278+H278+G278+L278</f>
        <v>3988.999875</v>
      </c>
      <c r="P278" s="78">
        <f>+F278-O278</f>
        <v>36011.000124999999</v>
      </c>
      <c r="Q278" s="39"/>
    </row>
    <row r="279" spans="1:17" s="39" customFormat="1" ht="30" customHeight="1" x14ac:dyDescent="0.25">
      <c r="A279" s="208" t="s">
        <v>125</v>
      </c>
      <c r="B279" s="209"/>
      <c r="C279" s="209"/>
      <c r="D279" s="209"/>
      <c r="E279" s="210"/>
      <c r="F279" s="37">
        <f>SUM(F278:F278)</f>
        <v>40000</v>
      </c>
      <c r="G279" s="37">
        <f t="shared" ref="F279:P279" si="125">SUM(G278:G278)</f>
        <v>1148</v>
      </c>
      <c r="H279" s="37">
        <f t="shared" si="125"/>
        <v>1216</v>
      </c>
      <c r="I279" s="37">
        <f t="shared" si="125"/>
        <v>0</v>
      </c>
      <c r="J279" s="37">
        <f t="shared" si="125"/>
        <v>2364</v>
      </c>
      <c r="K279" s="37">
        <f t="shared" si="125"/>
        <v>37636</v>
      </c>
      <c r="L279" s="37">
        <f t="shared" si="125"/>
        <v>-1.2500000013915269E-4</v>
      </c>
      <c r="M279" s="37">
        <f t="shared" si="125"/>
        <v>442.65</v>
      </c>
      <c r="N279" s="37">
        <f t="shared" si="125"/>
        <v>1625</v>
      </c>
      <c r="O279" s="37">
        <f t="shared" si="125"/>
        <v>3988.999875</v>
      </c>
      <c r="P279" s="37">
        <f t="shared" si="125"/>
        <v>36011.000124999999</v>
      </c>
    </row>
    <row r="280" spans="1:17" s="79" customFormat="1" ht="30" customHeight="1" thickBot="1" x14ac:dyDescent="0.3">
      <c r="A280" s="50"/>
      <c r="B280" s="50"/>
      <c r="C280" s="50"/>
      <c r="D280" s="50"/>
      <c r="E280" s="5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32"/>
    </row>
    <row r="281" spans="1:17" s="79" customFormat="1" ht="30" customHeight="1" thickBot="1" x14ac:dyDescent="0.3">
      <c r="A281" s="211" t="s">
        <v>313</v>
      </c>
      <c r="B281" s="212"/>
      <c r="C281" s="212"/>
      <c r="D281" s="212"/>
      <c r="E281" s="212"/>
      <c r="F281" s="212"/>
      <c r="G281" s="212"/>
      <c r="H281" s="212"/>
      <c r="I281" s="212"/>
      <c r="J281" s="212"/>
      <c r="K281" s="212"/>
      <c r="L281" s="212"/>
      <c r="M281" s="212"/>
      <c r="N281" s="212"/>
      <c r="O281" s="212"/>
      <c r="P281" s="212"/>
      <c r="Q281" s="32"/>
    </row>
    <row r="282" spans="1:17" s="79" customFormat="1" ht="30" customHeight="1" x14ac:dyDescent="0.25">
      <c r="A282" s="80">
        <f>+A278+1</f>
        <v>139</v>
      </c>
      <c r="B282" s="112" t="s">
        <v>25</v>
      </c>
      <c r="C282" s="122" t="s">
        <v>422</v>
      </c>
      <c r="D282" s="123" t="s">
        <v>193</v>
      </c>
      <c r="E282" s="108" t="s">
        <v>122</v>
      </c>
      <c r="F282" s="107">
        <v>90000</v>
      </c>
      <c r="G282" s="107">
        <f>F282*2.87%</f>
        <v>2583</v>
      </c>
      <c r="H282" s="77">
        <f>+F282*3.04%</f>
        <v>2736</v>
      </c>
      <c r="I282" s="77"/>
      <c r="J282" s="77">
        <f t="shared" si="117"/>
        <v>5319</v>
      </c>
      <c r="K282" s="77">
        <f t="shared" si="120"/>
        <v>84681</v>
      </c>
      <c r="L282" s="77">
        <f>+IF(K282*12&lt;=416220.01,0,IF(K282*12&lt;=624329.01,(((K282*12-416220.01)*0.15)/12),IF((K282*12&lt;=867123.01),(31216+0.2*(K282*12-624329.01))/12,((79776+0.25*(K282*12-867123.01))/12))))-M282</f>
        <v>9753.1872916666671</v>
      </c>
      <c r="M282" s="77"/>
      <c r="N282" s="84">
        <v>25</v>
      </c>
      <c r="O282" s="107">
        <f t="shared" si="118"/>
        <v>15097.187291666667</v>
      </c>
      <c r="P282" s="78">
        <f>+F282-O282</f>
        <v>74902.812708333338</v>
      </c>
      <c r="Q282" s="32"/>
    </row>
    <row r="283" spans="1:17" s="79" customFormat="1" ht="25.5" customHeight="1" x14ac:dyDescent="0.25">
      <c r="A283" s="80">
        <f>+A282+1</f>
        <v>140</v>
      </c>
      <c r="B283" s="108" t="s">
        <v>36</v>
      </c>
      <c r="C283" s="36" t="s">
        <v>422</v>
      </c>
      <c r="D283" s="108" t="s">
        <v>94</v>
      </c>
      <c r="E283" s="108" t="s">
        <v>229</v>
      </c>
      <c r="F283" s="110">
        <v>50000</v>
      </c>
      <c r="G283" s="82">
        <f>F283*2.87%</f>
        <v>1435</v>
      </c>
      <c r="H283" s="77">
        <f>+F283*3.04%</f>
        <v>1520</v>
      </c>
      <c r="I283" s="77">
        <v>1577.45</v>
      </c>
      <c r="J283" s="77">
        <f t="shared" si="117"/>
        <v>4532.45</v>
      </c>
      <c r="K283" s="77">
        <f t="shared" si="120"/>
        <v>45467.55</v>
      </c>
      <c r="L283" s="77">
        <f>+IF(K283*12&lt;=416220.01,0,IF(K283*12&lt;=624329.01,(((K283*12-416220.01)*0.15)/12),IF((K283*12&lt;=867123.01),(31216+0.2*(K283*12-624329.01))/12,((79776+0.25*(K283*12-867123.01))/12))))-M283</f>
        <v>1617.382375000001</v>
      </c>
      <c r="M283" s="77">
        <v>0</v>
      </c>
      <c r="N283" s="84">
        <v>245</v>
      </c>
      <c r="O283" s="107">
        <f t="shared" si="118"/>
        <v>6394.8323750000009</v>
      </c>
      <c r="P283" s="78">
        <f>+F283-O283</f>
        <v>43605.167625000002</v>
      </c>
      <c r="Q283" s="32"/>
    </row>
    <row r="284" spans="1:17" s="86" customFormat="1" ht="30" customHeight="1" thickBot="1" x14ac:dyDescent="0.3">
      <c r="A284" s="208" t="s">
        <v>125</v>
      </c>
      <c r="B284" s="209"/>
      <c r="C284" s="209"/>
      <c r="D284" s="209"/>
      <c r="E284" s="210"/>
      <c r="F284" s="37">
        <f>SUM(F282:F283)</f>
        <v>140000</v>
      </c>
      <c r="G284" s="37">
        <f t="shared" ref="G284:P284" si="126">SUM(G282:G283)</f>
        <v>4018</v>
      </c>
      <c r="H284" s="37">
        <f t="shared" si="126"/>
        <v>4256</v>
      </c>
      <c r="I284" s="37">
        <f t="shared" si="126"/>
        <v>1577.45</v>
      </c>
      <c r="J284" s="37">
        <f t="shared" si="126"/>
        <v>9851.4500000000007</v>
      </c>
      <c r="K284" s="37">
        <f t="shared" si="126"/>
        <v>130148.55</v>
      </c>
      <c r="L284" s="37">
        <f t="shared" si="126"/>
        <v>11370.569666666668</v>
      </c>
      <c r="M284" s="37">
        <f t="shared" si="126"/>
        <v>0</v>
      </c>
      <c r="N284" s="37">
        <f t="shared" si="126"/>
        <v>270</v>
      </c>
      <c r="O284" s="37">
        <f t="shared" si="126"/>
        <v>21492.019666666667</v>
      </c>
      <c r="P284" s="37">
        <f t="shared" si="126"/>
        <v>118507.98033333334</v>
      </c>
      <c r="Q284" s="40"/>
    </row>
    <row r="285" spans="1:17" s="90" customFormat="1" ht="30" customHeight="1" thickBot="1" x14ac:dyDescent="0.3">
      <c r="A285" s="211" t="s">
        <v>314</v>
      </c>
      <c r="B285" s="212"/>
      <c r="C285" s="212"/>
      <c r="D285" s="212"/>
      <c r="E285" s="212"/>
      <c r="F285" s="212"/>
      <c r="G285" s="212"/>
      <c r="H285" s="212"/>
      <c r="I285" s="212"/>
      <c r="J285" s="212"/>
      <c r="K285" s="212"/>
      <c r="L285" s="212"/>
      <c r="M285" s="212"/>
      <c r="N285" s="212"/>
      <c r="O285" s="212"/>
      <c r="P285" s="212"/>
      <c r="Q285" s="242"/>
    </row>
    <row r="286" spans="1:17" s="90" customFormat="1" ht="30" customHeight="1" x14ac:dyDescent="0.25">
      <c r="A286" s="75">
        <f>+A283+1</f>
        <v>141</v>
      </c>
      <c r="B286" s="112" t="s">
        <v>398</v>
      </c>
      <c r="C286" s="122" t="s">
        <v>421</v>
      </c>
      <c r="D286" s="112" t="s">
        <v>315</v>
      </c>
      <c r="E286" s="108" t="s">
        <v>229</v>
      </c>
      <c r="F286" s="107">
        <v>50000</v>
      </c>
      <c r="G286" s="82">
        <f t="shared" ref="G286:G289" si="127">F286*2.87%</f>
        <v>1435</v>
      </c>
      <c r="H286" s="82">
        <f t="shared" ref="H286:H289" si="128">+F286*3.04%</f>
        <v>1520</v>
      </c>
      <c r="I286" s="77"/>
      <c r="J286" s="77">
        <f t="shared" si="117"/>
        <v>2955</v>
      </c>
      <c r="K286" s="77">
        <f t="shared" si="120"/>
        <v>47045</v>
      </c>
      <c r="L286" s="77">
        <f>+IF(K286*12&lt;=416220.01,0,IF(K286*12&lt;=624329.01,(((K286*12-416220.01)*0.15)/12),IF((K286*12&lt;=867123.01),(31216+0.2*(K286*12-624329.01))/12,((79776+0.25*(K286*12-867123.01))/12))))-M286</f>
        <v>1853.9998749999997</v>
      </c>
      <c r="M286" s="77"/>
      <c r="N286" s="78">
        <v>6538.27</v>
      </c>
      <c r="O286" s="107">
        <f>+N286+I286+H286+G286+L286</f>
        <v>11347.269875</v>
      </c>
      <c r="P286" s="78">
        <f t="shared" ref="P286:P316" si="129">+F286-O286</f>
        <v>38652.730125000002</v>
      </c>
      <c r="Q286" s="242"/>
    </row>
    <row r="287" spans="1:17" s="53" customFormat="1" ht="30" customHeight="1" x14ac:dyDescent="0.25">
      <c r="A287" s="75">
        <f>+A286+1</f>
        <v>142</v>
      </c>
      <c r="B287" s="112" t="s">
        <v>150</v>
      </c>
      <c r="C287" s="122" t="s">
        <v>421</v>
      </c>
      <c r="D287" s="112" t="s">
        <v>315</v>
      </c>
      <c r="E287" s="108" t="s">
        <v>229</v>
      </c>
      <c r="F287" s="107">
        <v>35000</v>
      </c>
      <c r="G287" s="82">
        <f t="shared" si="127"/>
        <v>1004.5</v>
      </c>
      <c r="H287" s="82">
        <f t="shared" si="128"/>
        <v>1064</v>
      </c>
      <c r="I287" s="77"/>
      <c r="J287" s="77">
        <f>+G287+H287+I287</f>
        <v>2068.5</v>
      </c>
      <c r="K287" s="77">
        <f t="shared" si="120"/>
        <v>32931.5</v>
      </c>
      <c r="L287" s="77">
        <f t="shared" ref="L287:L316" si="130">+IF(K287*12&lt;=416220.01,0,IF(K287*12&lt;=624329.01,(((K287*12-416220.01)*0.15)/12),IF((K287*12&lt;=867123.01),(31216+0.2*(K287*12-624329.01))/12,((79776+0.25*(K287*12-867123.01))/12))))-M287</f>
        <v>0</v>
      </c>
      <c r="M287" s="77"/>
      <c r="N287" s="78">
        <v>6727.1</v>
      </c>
      <c r="O287" s="107">
        <f t="shared" ref="O287:O316" si="131">+N287+I287+H287+G287+L287</f>
        <v>8795.6</v>
      </c>
      <c r="P287" s="78">
        <f t="shared" si="129"/>
        <v>26204.400000000001</v>
      </c>
      <c r="Q287" s="39"/>
    </row>
    <row r="288" spans="1:17" s="53" customFormat="1" ht="30" customHeight="1" x14ac:dyDescent="0.25">
      <c r="A288" s="75">
        <f>+A287+1</f>
        <v>143</v>
      </c>
      <c r="B288" s="112" t="s">
        <v>480</v>
      </c>
      <c r="C288" s="122" t="s">
        <v>421</v>
      </c>
      <c r="D288" s="112" t="s">
        <v>315</v>
      </c>
      <c r="E288" s="108" t="s">
        <v>229</v>
      </c>
      <c r="F288" s="107">
        <v>45000</v>
      </c>
      <c r="G288" s="82">
        <f>F288*2.87%</f>
        <v>1291.5</v>
      </c>
      <c r="H288" s="82">
        <f t="shared" si="128"/>
        <v>1368</v>
      </c>
      <c r="I288" s="77"/>
      <c r="J288" s="77">
        <f t="shared" si="117"/>
        <v>2659.5</v>
      </c>
      <c r="K288" s="77">
        <f t="shared" si="120"/>
        <v>42340.5</v>
      </c>
      <c r="L288" s="77">
        <v>503.68</v>
      </c>
      <c r="M288" s="77">
        <v>1148.32</v>
      </c>
      <c r="N288" s="78">
        <v>13347.01</v>
      </c>
      <c r="O288" s="107">
        <f t="shared" si="131"/>
        <v>16510.189999999999</v>
      </c>
      <c r="P288" s="78">
        <f t="shared" si="129"/>
        <v>28489.81</v>
      </c>
      <c r="Q288" s="39"/>
    </row>
    <row r="289" spans="1:17" s="53" customFormat="1" ht="30" customHeight="1" x14ac:dyDescent="0.25">
      <c r="A289" s="75">
        <f t="shared" ref="A289:A316" si="132">+A288+1</f>
        <v>144</v>
      </c>
      <c r="B289" s="108" t="s">
        <v>28</v>
      </c>
      <c r="C289" s="36" t="s">
        <v>422</v>
      </c>
      <c r="D289" s="108" t="s">
        <v>97</v>
      </c>
      <c r="E289" s="108" t="s">
        <v>122</v>
      </c>
      <c r="F289" s="110">
        <v>28875</v>
      </c>
      <c r="G289" s="82">
        <f t="shared" si="127"/>
        <v>828.71249999999998</v>
      </c>
      <c r="H289" s="82">
        <f t="shared" si="128"/>
        <v>877.8</v>
      </c>
      <c r="I289" s="82"/>
      <c r="J289" s="77">
        <f t="shared" si="117"/>
        <v>1706.5124999999998</v>
      </c>
      <c r="K289" s="77">
        <f t="shared" si="120"/>
        <v>27168.487499999999</v>
      </c>
      <c r="L289" s="77">
        <f t="shared" si="130"/>
        <v>0</v>
      </c>
      <c r="M289" s="77"/>
      <c r="N289" s="84">
        <v>3304.71</v>
      </c>
      <c r="O289" s="107">
        <f t="shared" si="131"/>
        <v>5011.2224999999999</v>
      </c>
      <c r="P289" s="78">
        <f t="shared" si="129"/>
        <v>23863.7775</v>
      </c>
      <c r="Q289" s="39"/>
    </row>
    <row r="290" spans="1:17" s="53" customFormat="1" ht="30" customHeight="1" x14ac:dyDescent="0.25">
      <c r="A290" s="75">
        <f t="shared" si="132"/>
        <v>145</v>
      </c>
      <c r="B290" s="108" t="s">
        <v>27</v>
      </c>
      <c r="C290" s="36" t="s">
        <v>422</v>
      </c>
      <c r="D290" s="108" t="s">
        <v>97</v>
      </c>
      <c r="E290" s="108" t="s">
        <v>122</v>
      </c>
      <c r="F290" s="110">
        <v>28000</v>
      </c>
      <c r="G290" s="82">
        <f>F290*2.87%</f>
        <v>803.6</v>
      </c>
      <c r="H290" s="82">
        <f>+F290*3.04%</f>
        <v>851.2</v>
      </c>
      <c r="I290" s="82">
        <v>3154.9</v>
      </c>
      <c r="J290" s="77">
        <f t="shared" si="117"/>
        <v>4809.7000000000007</v>
      </c>
      <c r="K290" s="77">
        <f t="shared" si="120"/>
        <v>23190.3</v>
      </c>
      <c r="L290" s="77">
        <f t="shared" si="130"/>
        <v>0</v>
      </c>
      <c r="M290" s="77"/>
      <c r="N290" s="84">
        <v>2025</v>
      </c>
      <c r="O290" s="107">
        <f t="shared" si="131"/>
        <v>6834.7</v>
      </c>
      <c r="P290" s="78">
        <f t="shared" si="129"/>
        <v>21165.3</v>
      </c>
      <c r="Q290" s="39"/>
    </row>
    <row r="291" spans="1:17" s="53" customFormat="1" ht="30" customHeight="1" x14ac:dyDescent="0.25">
      <c r="A291" s="75">
        <f t="shared" si="132"/>
        <v>146</v>
      </c>
      <c r="B291" s="108" t="s">
        <v>194</v>
      </c>
      <c r="C291" s="36" t="s">
        <v>422</v>
      </c>
      <c r="D291" s="108" t="s">
        <v>97</v>
      </c>
      <c r="E291" s="108" t="s">
        <v>122</v>
      </c>
      <c r="F291" s="110">
        <v>28000</v>
      </c>
      <c r="G291" s="82">
        <f t="shared" ref="G291:G309" si="133">F291*2.87%</f>
        <v>803.6</v>
      </c>
      <c r="H291" s="82">
        <f t="shared" ref="H291:H309" si="134">+F291*3.04%</f>
        <v>851.2</v>
      </c>
      <c r="I291" s="82"/>
      <c r="J291" s="77">
        <f t="shared" si="117"/>
        <v>1654.8000000000002</v>
      </c>
      <c r="K291" s="77">
        <f t="shared" si="120"/>
        <v>26345.200000000001</v>
      </c>
      <c r="L291" s="77">
        <f t="shared" si="130"/>
        <v>0</v>
      </c>
      <c r="M291" s="77"/>
      <c r="N291" s="84">
        <f>2226.54+25</f>
        <v>2251.54</v>
      </c>
      <c r="O291" s="107">
        <f t="shared" si="131"/>
        <v>3906.3399999999997</v>
      </c>
      <c r="P291" s="78">
        <f t="shared" si="129"/>
        <v>24093.66</v>
      </c>
      <c r="Q291" s="39"/>
    </row>
    <row r="292" spans="1:17" s="53" customFormat="1" ht="30" customHeight="1" x14ac:dyDescent="0.25">
      <c r="A292" s="75">
        <f t="shared" si="132"/>
        <v>147</v>
      </c>
      <c r="B292" s="108" t="s">
        <v>316</v>
      </c>
      <c r="C292" s="36" t="s">
        <v>422</v>
      </c>
      <c r="D292" s="108" t="s">
        <v>34</v>
      </c>
      <c r="E292" s="108" t="s">
        <v>122</v>
      </c>
      <c r="F292" s="110">
        <v>28000</v>
      </c>
      <c r="G292" s="82">
        <f t="shared" si="133"/>
        <v>803.6</v>
      </c>
      <c r="H292" s="82">
        <f t="shared" si="134"/>
        <v>851.2</v>
      </c>
      <c r="I292" s="82"/>
      <c r="J292" s="77">
        <f t="shared" si="117"/>
        <v>1654.8000000000002</v>
      </c>
      <c r="K292" s="77">
        <f t="shared" si="120"/>
        <v>26345.200000000001</v>
      </c>
      <c r="L292" s="77">
        <f t="shared" si="130"/>
        <v>0</v>
      </c>
      <c r="M292" s="77"/>
      <c r="N292" s="84">
        <v>3165</v>
      </c>
      <c r="O292" s="107">
        <f t="shared" si="131"/>
        <v>4819.8</v>
      </c>
      <c r="P292" s="78">
        <f t="shared" si="129"/>
        <v>23180.2</v>
      </c>
      <c r="Q292" s="39"/>
    </row>
    <row r="293" spans="1:17" s="53" customFormat="1" ht="30" customHeight="1" x14ac:dyDescent="0.25">
      <c r="A293" s="75">
        <f t="shared" si="132"/>
        <v>148</v>
      </c>
      <c r="B293" s="108" t="s">
        <v>30</v>
      </c>
      <c r="C293" s="36" t="s">
        <v>422</v>
      </c>
      <c r="D293" s="108" t="s">
        <v>34</v>
      </c>
      <c r="E293" s="108" t="s">
        <v>229</v>
      </c>
      <c r="F293" s="110">
        <v>28000</v>
      </c>
      <c r="G293" s="82">
        <f t="shared" si="133"/>
        <v>803.6</v>
      </c>
      <c r="H293" s="82">
        <f t="shared" si="134"/>
        <v>851.2</v>
      </c>
      <c r="I293" s="82">
        <v>3154.9</v>
      </c>
      <c r="J293" s="77">
        <f t="shared" si="117"/>
        <v>4809.7000000000007</v>
      </c>
      <c r="K293" s="77">
        <f t="shared" si="120"/>
        <v>23190.3</v>
      </c>
      <c r="L293" s="77">
        <f t="shared" si="130"/>
        <v>0</v>
      </c>
      <c r="M293" s="77"/>
      <c r="N293" s="84">
        <v>1165</v>
      </c>
      <c r="O293" s="107">
        <f t="shared" si="131"/>
        <v>5974.7</v>
      </c>
      <c r="P293" s="78">
        <f t="shared" si="129"/>
        <v>22025.3</v>
      </c>
      <c r="Q293" s="39"/>
    </row>
    <row r="294" spans="1:17" s="53" customFormat="1" ht="30" customHeight="1" x14ac:dyDescent="0.25">
      <c r="A294" s="75">
        <f t="shared" si="132"/>
        <v>149</v>
      </c>
      <c r="B294" s="108" t="s">
        <v>31</v>
      </c>
      <c r="C294" s="36" t="s">
        <v>421</v>
      </c>
      <c r="D294" s="108" t="s">
        <v>34</v>
      </c>
      <c r="E294" s="108" t="s">
        <v>229</v>
      </c>
      <c r="F294" s="110">
        <v>28000</v>
      </c>
      <c r="G294" s="82">
        <f t="shared" si="133"/>
        <v>803.6</v>
      </c>
      <c r="H294" s="82">
        <f t="shared" si="134"/>
        <v>851.2</v>
      </c>
      <c r="I294" s="82"/>
      <c r="J294" s="77">
        <f t="shared" si="117"/>
        <v>1654.8000000000002</v>
      </c>
      <c r="K294" s="77">
        <f t="shared" si="120"/>
        <v>26345.200000000001</v>
      </c>
      <c r="L294" s="77">
        <f t="shared" si="130"/>
        <v>0</v>
      </c>
      <c r="M294" s="77"/>
      <c r="N294" s="84">
        <v>1824.91</v>
      </c>
      <c r="O294" s="107">
        <f t="shared" si="131"/>
        <v>3479.71</v>
      </c>
      <c r="P294" s="78">
        <f t="shared" si="129"/>
        <v>24520.29</v>
      </c>
      <c r="Q294" s="39"/>
    </row>
    <row r="295" spans="1:17" s="53" customFormat="1" ht="30" customHeight="1" x14ac:dyDescent="0.25">
      <c r="A295" s="75">
        <f t="shared" si="132"/>
        <v>150</v>
      </c>
      <c r="B295" s="108" t="s">
        <v>317</v>
      </c>
      <c r="C295" s="36" t="s">
        <v>422</v>
      </c>
      <c r="D295" s="108" t="s">
        <v>34</v>
      </c>
      <c r="E295" s="108" t="s">
        <v>122</v>
      </c>
      <c r="F295" s="110">
        <v>28000</v>
      </c>
      <c r="G295" s="82">
        <f t="shared" si="133"/>
        <v>803.6</v>
      </c>
      <c r="H295" s="82">
        <f t="shared" si="134"/>
        <v>851.2</v>
      </c>
      <c r="I295" s="82"/>
      <c r="J295" s="77">
        <f t="shared" si="117"/>
        <v>1654.8000000000002</v>
      </c>
      <c r="K295" s="77">
        <f t="shared" si="120"/>
        <v>26345.200000000001</v>
      </c>
      <c r="L295" s="77">
        <f t="shared" si="130"/>
        <v>0</v>
      </c>
      <c r="M295" s="77"/>
      <c r="N295" s="84">
        <v>3125</v>
      </c>
      <c r="O295" s="107">
        <f t="shared" si="131"/>
        <v>4779.8</v>
      </c>
      <c r="P295" s="78">
        <f t="shared" si="129"/>
        <v>23220.2</v>
      </c>
      <c r="Q295" s="39"/>
    </row>
    <row r="296" spans="1:17" s="53" customFormat="1" ht="30" customHeight="1" x14ac:dyDescent="0.25">
      <c r="A296" s="75">
        <f t="shared" si="132"/>
        <v>151</v>
      </c>
      <c r="B296" s="108" t="s">
        <v>32</v>
      </c>
      <c r="C296" s="36" t="s">
        <v>422</v>
      </c>
      <c r="D296" s="108" t="s">
        <v>34</v>
      </c>
      <c r="E296" s="108" t="s">
        <v>122</v>
      </c>
      <c r="F296" s="110">
        <v>28000</v>
      </c>
      <c r="G296" s="82">
        <f t="shared" si="133"/>
        <v>803.6</v>
      </c>
      <c r="H296" s="82">
        <f t="shared" si="134"/>
        <v>851.2</v>
      </c>
      <c r="I296" s="82">
        <v>1577.45</v>
      </c>
      <c r="J296" s="77">
        <f t="shared" si="117"/>
        <v>3232.25</v>
      </c>
      <c r="K296" s="77">
        <f t="shared" si="120"/>
        <v>24767.75</v>
      </c>
      <c r="L296" s="77">
        <f t="shared" si="130"/>
        <v>0</v>
      </c>
      <c r="M296" s="77"/>
      <c r="N296" s="84">
        <v>2232.11</v>
      </c>
      <c r="O296" s="107">
        <f t="shared" si="131"/>
        <v>5464.3600000000006</v>
      </c>
      <c r="P296" s="78">
        <f t="shared" si="129"/>
        <v>22535.64</v>
      </c>
      <c r="Q296" s="39"/>
    </row>
    <row r="297" spans="1:17" s="32" customFormat="1" ht="28.5" customHeight="1" x14ac:dyDescent="0.25">
      <c r="A297" s="75">
        <f t="shared" si="132"/>
        <v>152</v>
      </c>
      <c r="B297" s="108" t="s">
        <v>33</v>
      </c>
      <c r="C297" s="36" t="s">
        <v>421</v>
      </c>
      <c r="D297" s="108" t="s">
        <v>34</v>
      </c>
      <c r="E297" s="108" t="s">
        <v>122</v>
      </c>
      <c r="F297" s="110">
        <v>28000</v>
      </c>
      <c r="G297" s="82">
        <f t="shared" si="133"/>
        <v>803.6</v>
      </c>
      <c r="H297" s="82">
        <f t="shared" si="134"/>
        <v>851.2</v>
      </c>
      <c r="I297" s="82"/>
      <c r="J297" s="77">
        <f t="shared" si="117"/>
        <v>1654.8000000000002</v>
      </c>
      <c r="K297" s="77">
        <f t="shared" si="120"/>
        <v>26345.200000000001</v>
      </c>
      <c r="L297" s="77">
        <f t="shared" si="130"/>
        <v>0</v>
      </c>
      <c r="M297" s="77"/>
      <c r="N297" s="84">
        <v>2240.48</v>
      </c>
      <c r="O297" s="107">
        <f t="shared" si="131"/>
        <v>3895.28</v>
      </c>
      <c r="P297" s="78">
        <f t="shared" si="129"/>
        <v>24104.720000000001</v>
      </c>
    </row>
    <row r="298" spans="1:17" s="32" customFormat="1" ht="28.5" customHeight="1" x14ac:dyDescent="0.25">
      <c r="A298" s="75">
        <f t="shared" si="132"/>
        <v>153</v>
      </c>
      <c r="B298" s="108" t="s">
        <v>29</v>
      </c>
      <c r="C298" s="36" t="s">
        <v>421</v>
      </c>
      <c r="D298" s="108" t="s">
        <v>34</v>
      </c>
      <c r="E298" s="108" t="s">
        <v>122</v>
      </c>
      <c r="F298" s="110">
        <v>24000</v>
      </c>
      <c r="G298" s="82">
        <f t="shared" si="133"/>
        <v>688.8</v>
      </c>
      <c r="H298" s="82">
        <f t="shared" si="134"/>
        <v>729.6</v>
      </c>
      <c r="I298" s="82"/>
      <c r="J298" s="77">
        <f t="shared" si="117"/>
        <v>1418.4</v>
      </c>
      <c r="K298" s="77">
        <f t="shared" si="120"/>
        <v>22581.599999999999</v>
      </c>
      <c r="L298" s="77">
        <f t="shared" si="130"/>
        <v>0</v>
      </c>
      <c r="M298" s="77"/>
      <c r="N298" s="84">
        <v>6580.4</v>
      </c>
      <c r="O298" s="107">
        <f t="shared" si="131"/>
        <v>7998.8</v>
      </c>
      <c r="P298" s="78">
        <f t="shared" si="129"/>
        <v>16001.2</v>
      </c>
    </row>
    <row r="299" spans="1:17" s="32" customFormat="1" ht="28.5" customHeight="1" x14ac:dyDescent="0.25">
      <c r="A299" s="75">
        <f t="shared" si="132"/>
        <v>154</v>
      </c>
      <c r="B299" s="108" t="s">
        <v>318</v>
      </c>
      <c r="C299" s="36" t="s">
        <v>422</v>
      </c>
      <c r="D299" s="108" t="s">
        <v>34</v>
      </c>
      <c r="E299" s="108" t="s">
        <v>122</v>
      </c>
      <c r="F299" s="110">
        <v>24000</v>
      </c>
      <c r="G299" s="82">
        <f t="shared" si="133"/>
        <v>688.8</v>
      </c>
      <c r="H299" s="82">
        <f t="shared" si="134"/>
        <v>729.6</v>
      </c>
      <c r="I299" s="82"/>
      <c r="J299" s="77">
        <f t="shared" si="117"/>
        <v>1418.4</v>
      </c>
      <c r="K299" s="77">
        <f t="shared" si="120"/>
        <v>22581.599999999999</v>
      </c>
      <c r="L299" s="77">
        <f t="shared" si="130"/>
        <v>0</v>
      </c>
      <c r="M299" s="77"/>
      <c r="N299" s="84">
        <v>125</v>
      </c>
      <c r="O299" s="107">
        <f t="shared" si="131"/>
        <v>1543.4</v>
      </c>
      <c r="P299" s="78">
        <f t="shared" si="129"/>
        <v>22456.6</v>
      </c>
    </row>
    <row r="300" spans="1:17" s="32" customFormat="1" ht="28.5" customHeight="1" x14ac:dyDescent="0.25">
      <c r="A300" s="75">
        <f t="shared" si="132"/>
        <v>155</v>
      </c>
      <c r="B300" s="108" t="s">
        <v>319</v>
      </c>
      <c r="C300" s="36" t="s">
        <v>421</v>
      </c>
      <c r="D300" s="108" t="s">
        <v>34</v>
      </c>
      <c r="E300" s="108" t="s">
        <v>229</v>
      </c>
      <c r="F300" s="110">
        <v>24000</v>
      </c>
      <c r="G300" s="82">
        <f t="shared" si="133"/>
        <v>688.8</v>
      </c>
      <c r="H300" s="82">
        <f t="shared" si="134"/>
        <v>729.6</v>
      </c>
      <c r="I300" s="82"/>
      <c r="J300" s="77">
        <f t="shared" si="117"/>
        <v>1418.4</v>
      </c>
      <c r="K300" s="77">
        <f t="shared" si="120"/>
        <v>22581.599999999999</v>
      </c>
      <c r="L300" s="77">
        <f t="shared" si="130"/>
        <v>0</v>
      </c>
      <c r="M300" s="77"/>
      <c r="N300" s="84">
        <v>4632.72</v>
      </c>
      <c r="O300" s="107">
        <f t="shared" si="131"/>
        <v>6051.1200000000008</v>
      </c>
      <c r="P300" s="78">
        <f t="shared" si="129"/>
        <v>17948.879999999997</v>
      </c>
    </row>
    <row r="301" spans="1:17" s="32" customFormat="1" ht="28.5" customHeight="1" x14ac:dyDescent="0.25">
      <c r="A301" s="75">
        <f t="shared" si="132"/>
        <v>156</v>
      </c>
      <c r="B301" s="108" t="s">
        <v>320</v>
      </c>
      <c r="C301" s="36" t="s">
        <v>421</v>
      </c>
      <c r="D301" s="108" t="s">
        <v>34</v>
      </c>
      <c r="E301" s="108" t="s">
        <v>229</v>
      </c>
      <c r="F301" s="110">
        <v>24000</v>
      </c>
      <c r="G301" s="82">
        <f t="shared" si="133"/>
        <v>688.8</v>
      </c>
      <c r="H301" s="82">
        <f t="shared" si="134"/>
        <v>729.6</v>
      </c>
      <c r="I301" s="82"/>
      <c r="J301" s="77">
        <f t="shared" si="117"/>
        <v>1418.4</v>
      </c>
      <c r="K301" s="77">
        <f t="shared" si="120"/>
        <v>22581.599999999999</v>
      </c>
      <c r="L301" s="77">
        <f t="shared" si="130"/>
        <v>0</v>
      </c>
      <c r="M301" s="77"/>
      <c r="N301" s="84">
        <v>125</v>
      </c>
      <c r="O301" s="107">
        <f t="shared" si="131"/>
        <v>1543.4</v>
      </c>
      <c r="P301" s="78">
        <f t="shared" si="129"/>
        <v>22456.6</v>
      </c>
    </row>
    <row r="302" spans="1:17" s="32" customFormat="1" ht="28.5" customHeight="1" x14ac:dyDescent="0.25">
      <c r="A302" s="75">
        <f>+A301+1</f>
        <v>157</v>
      </c>
      <c r="B302" s="113" t="s">
        <v>148</v>
      </c>
      <c r="C302" s="174" t="s">
        <v>422</v>
      </c>
      <c r="D302" s="108" t="s">
        <v>34</v>
      </c>
      <c r="E302" s="108" t="s">
        <v>229</v>
      </c>
      <c r="F302" s="110">
        <v>28000</v>
      </c>
      <c r="G302" s="82">
        <f t="shared" si="133"/>
        <v>803.6</v>
      </c>
      <c r="H302" s="82">
        <f t="shared" si="134"/>
        <v>851.2</v>
      </c>
      <c r="I302" s="82"/>
      <c r="J302" s="77">
        <f t="shared" si="117"/>
        <v>1654.8000000000002</v>
      </c>
      <c r="K302" s="77">
        <f t="shared" si="120"/>
        <v>26345.200000000001</v>
      </c>
      <c r="L302" s="77">
        <f t="shared" si="130"/>
        <v>0</v>
      </c>
      <c r="M302" s="77"/>
      <c r="N302" s="84">
        <v>4125</v>
      </c>
      <c r="O302" s="107">
        <f t="shared" si="131"/>
        <v>5779.8</v>
      </c>
      <c r="P302" s="78">
        <f t="shared" si="129"/>
        <v>22220.2</v>
      </c>
    </row>
    <row r="303" spans="1:17" s="32" customFormat="1" ht="28.5" customHeight="1" x14ac:dyDescent="0.25">
      <c r="A303" s="75">
        <f t="shared" si="132"/>
        <v>158</v>
      </c>
      <c r="B303" s="108" t="s">
        <v>323</v>
      </c>
      <c r="C303" s="175" t="s">
        <v>422</v>
      </c>
      <c r="D303" s="108" t="s">
        <v>34</v>
      </c>
      <c r="E303" s="108" t="s">
        <v>229</v>
      </c>
      <c r="F303" s="110">
        <v>28000</v>
      </c>
      <c r="G303" s="82">
        <f t="shared" si="133"/>
        <v>803.6</v>
      </c>
      <c r="H303" s="82">
        <f t="shared" si="134"/>
        <v>851.2</v>
      </c>
      <c r="I303" s="82"/>
      <c r="J303" s="77">
        <f t="shared" si="117"/>
        <v>1654.8000000000002</v>
      </c>
      <c r="K303" s="77">
        <f t="shared" si="120"/>
        <v>26345.200000000001</v>
      </c>
      <c r="L303" s="77">
        <f t="shared" si="130"/>
        <v>0</v>
      </c>
      <c r="M303" s="77"/>
      <c r="N303" s="84">
        <v>5389.64</v>
      </c>
      <c r="O303" s="107">
        <f t="shared" si="131"/>
        <v>7044.4400000000005</v>
      </c>
      <c r="P303" s="78">
        <f t="shared" si="129"/>
        <v>20955.559999999998</v>
      </c>
    </row>
    <row r="304" spans="1:17" s="32" customFormat="1" ht="28.5" customHeight="1" x14ac:dyDescent="0.25">
      <c r="A304" s="75">
        <f t="shared" si="132"/>
        <v>159</v>
      </c>
      <c r="B304" s="108" t="s">
        <v>321</v>
      </c>
      <c r="C304" s="36" t="s">
        <v>422</v>
      </c>
      <c r="D304" s="108" t="s">
        <v>34</v>
      </c>
      <c r="E304" s="108" t="s">
        <v>229</v>
      </c>
      <c r="F304" s="110">
        <v>19200</v>
      </c>
      <c r="G304" s="82">
        <f t="shared" si="133"/>
        <v>551.04</v>
      </c>
      <c r="H304" s="82">
        <f t="shared" si="134"/>
        <v>583.67999999999995</v>
      </c>
      <c r="I304" s="82"/>
      <c r="J304" s="77">
        <f t="shared" si="117"/>
        <v>1134.7199999999998</v>
      </c>
      <c r="K304" s="77">
        <f t="shared" si="120"/>
        <v>18065.28</v>
      </c>
      <c r="L304" s="77">
        <f t="shared" si="130"/>
        <v>0</v>
      </c>
      <c r="M304" s="77"/>
      <c r="N304" s="84">
        <v>245</v>
      </c>
      <c r="O304" s="107">
        <f t="shared" si="131"/>
        <v>1379.7199999999998</v>
      </c>
      <c r="P304" s="78">
        <f t="shared" si="129"/>
        <v>17820.28</v>
      </c>
    </row>
    <row r="305" spans="1:17" s="32" customFormat="1" ht="28.5" customHeight="1" x14ac:dyDescent="0.25">
      <c r="A305" s="75">
        <f t="shared" si="132"/>
        <v>160</v>
      </c>
      <c r="B305" s="108" t="s">
        <v>322</v>
      </c>
      <c r="C305" s="36" t="s">
        <v>422</v>
      </c>
      <c r="D305" s="108" t="s">
        <v>34</v>
      </c>
      <c r="E305" s="108" t="s">
        <v>229</v>
      </c>
      <c r="F305" s="110">
        <v>24000</v>
      </c>
      <c r="G305" s="82">
        <f t="shared" si="133"/>
        <v>688.8</v>
      </c>
      <c r="H305" s="82">
        <f t="shared" si="134"/>
        <v>729.6</v>
      </c>
      <c r="I305" s="82"/>
      <c r="J305" s="77">
        <f t="shared" si="117"/>
        <v>1418.4</v>
      </c>
      <c r="K305" s="77">
        <f t="shared" si="120"/>
        <v>22581.599999999999</v>
      </c>
      <c r="L305" s="77">
        <f t="shared" si="130"/>
        <v>0</v>
      </c>
      <c r="M305" s="77"/>
      <c r="N305" s="84">
        <v>1125</v>
      </c>
      <c r="O305" s="107">
        <f t="shared" si="131"/>
        <v>2543.3999999999996</v>
      </c>
      <c r="P305" s="78">
        <f t="shared" si="129"/>
        <v>21456.6</v>
      </c>
    </row>
    <row r="306" spans="1:17" s="32" customFormat="1" ht="28.5" customHeight="1" x14ac:dyDescent="0.25">
      <c r="A306" s="75">
        <f t="shared" si="132"/>
        <v>161</v>
      </c>
      <c r="B306" s="108" t="s">
        <v>212</v>
      </c>
      <c r="C306" s="36" t="s">
        <v>422</v>
      </c>
      <c r="D306" s="108" t="s">
        <v>34</v>
      </c>
      <c r="E306" s="108" t="s">
        <v>229</v>
      </c>
      <c r="F306" s="110">
        <v>24000</v>
      </c>
      <c r="G306" s="82">
        <f t="shared" si="133"/>
        <v>688.8</v>
      </c>
      <c r="H306" s="82">
        <f t="shared" si="134"/>
        <v>729.6</v>
      </c>
      <c r="I306" s="82"/>
      <c r="J306" s="77">
        <f t="shared" si="117"/>
        <v>1418.4</v>
      </c>
      <c r="K306" s="77">
        <f t="shared" si="120"/>
        <v>22581.599999999999</v>
      </c>
      <c r="L306" s="77">
        <f t="shared" si="130"/>
        <v>0</v>
      </c>
      <c r="M306" s="77"/>
      <c r="N306" s="84">
        <v>5325</v>
      </c>
      <c r="O306" s="107">
        <f t="shared" si="131"/>
        <v>6743.4000000000005</v>
      </c>
      <c r="P306" s="78">
        <f t="shared" si="129"/>
        <v>17256.599999999999</v>
      </c>
    </row>
    <row r="307" spans="1:17" s="39" customFormat="1" ht="30" customHeight="1" x14ac:dyDescent="0.25">
      <c r="A307" s="75">
        <f t="shared" si="132"/>
        <v>162</v>
      </c>
      <c r="B307" s="108" t="s">
        <v>477</v>
      </c>
      <c r="C307" s="174" t="s">
        <v>421</v>
      </c>
      <c r="D307" s="108" t="s">
        <v>34</v>
      </c>
      <c r="E307" s="108" t="s">
        <v>229</v>
      </c>
      <c r="F307" s="110">
        <v>24000</v>
      </c>
      <c r="G307" s="82">
        <f t="shared" si="133"/>
        <v>688.8</v>
      </c>
      <c r="H307" s="82">
        <f t="shared" si="134"/>
        <v>729.6</v>
      </c>
      <c r="I307" s="82"/>
      <c r="J307" s="77">
        <f t="shared" si="117"/>
        <v>1418.4</v>
      </c>
      <c r="K307" s="77">
        <f t="shared" si="120"/>
        <v>22581.599999999999</v>
      </c>
      <c r="L307" s="77">
        <f t="shared" si="130"/>
        <v>0</v>
      </c>
      <c r="M307" s="77"/>
      <c r="N307" s="84">
        <v>525</v>
      </c>
      <c r="O307" s="107">
        <f t="shared" si="131"/>
        <v>1943.3999999999999</v>
      </c>
      <c r="P307" s="78">
        <f t="shared" si="129"/>
        <v>22056.6</v>
      </c>
    </row>
    <row r="308" spans="1:17" s="53" customFormat="1" ht="28.5" customHeight="1" x14ac:dyDescent="0.25">
      <c r="A308" s="75">
        <f t="shared" si="132"/>
        <v>163</v>
      </c>
      <c r="B308" s="108" t="s">
        <v>478</v>
      </c>
      <c r="C308" s="174" t="s">
        <v>422</v>
      </c>
      <c r="D308" s="108" t="s">
        <v>34</v>
      </c>
      <c r="E308" s="108" t="s">
        <v>229</v>
      </c>
      <c r="F308" s="110">
        <v>24000</v>
      </c>
      <c r="G308" s="82">
        <f t="shared" si="133"/>
        <v>688.8</v>
      </c>
      <c r="H308" s="82">
        <f t="shared" si="134"/>
        <v>729.6</v>
      </c>
      <c r="I308" s="82"/>
      <c r="J308" s="77">
        <f t="shared" si="117"/>
        <v>1418.4</v>
      </c>
      <c r="K308" s="77">
        <f t="shared" si="120"/>
        <v>22581.599999999999</v>
      </c>
      <c r="L308" s="77">
        <f t="shared" si="130"/>
        <v>0</v>
      </c>
      <c r="M308" s="77"/>
      <c r="N308" s="84">
        <v>125</v>
      </c>
      <c r="O308" s="107">
        <f t="shared" si="131"/>
        <v>1543.4</v>
      </c>
      <c r="P308" s="78">
        <f t="shared" si="129"/>
        <v>22456.6</v>
      </c>
      <c r="Q308" s="39"/>
    </row>
    <row r="309" spans="1:17" s="53" customFormat="1" ht="28.5" customHeight="1" x14ac:dyDescent="0.25">
      <c r="A309" s="75">
        <f t="shared" si="132"/>
        <v>164</v>
      </c>
      <c r="B309" s="108" t="s">
        <v>479</v>
      </c>
      <c r="C309" s="174" t="s">
        <v>421</v>
      </c>
      <c r="D309" s="108" t="s">
        <v>34</v>
      </c>
      <c r="E309" s="108" t="s">
        <v>229</v>
      </c>
      <c r="F309" s="110">
        <v>24000</v>
      </c>
      <c r="G309" s="82">
        <f t="shared" si="133"/>
        <v>688.8</v>
      </c>
      <c r="H309" s="82">
        <f t="shared" si="134"/>
        <v>729.6</v>
      </c>
      <c r="I309" s="82"/>
      <c r="J309" s="77">
        <f t="shared" si="117"/>
        <v>1418.4</v>
      </c>
      <c r="K309" s="77">
        <f t="shared" si="120"/>
        <v>22581.599999999999</v>
      </c>
      <c r="L309" s="77">
        <f t="shared" si="130"/>
        <v>0</v>
      </c>
      <c r="M309" s="77"/>
      <c r="N309" s="84">
        <v>4801.67</v>
      </c>
      <c r="O309" s="107">
        <f t="shared" si="131"/>
        <v>6220.0700000000006</v>
      </c>
      <c r="P309" s="78">
        <f t="shared" si="129"/>
        <v>17779.93</v>
      </c>
      <c r="Q309" s="39"/>
    </row>
    <row r="310" spans="1:17" s="53" customFormat="1" ht="28.5" customHeight="1" x14ac:dyDescent="0.25">
      <c r="A310" s="75">
        <f t="shared" si="132"/>
        <v>165</v>
      </c>
      <c r="B310" s="108" t="s">
        <v>571</v>
      </c>
      <c r="C310" s="36" t="s">
        <v>421</v>
      </c>
      <c r="D310" s="108" t="s">
        <v>315</v>
      </c>
      <c r="E310" s="108" t="s">
        <v>229</v>
      </c>
      <c r="F310" s="110">
        <v>45000</v>
      </c>
      <c r="G310" s="82">
        <f t="shared" ref="G310:G311" si="135">F310*2.87%</f>
        <v>1291.5</v>
      </c>
      <c r="H310" s="82">
        <f t="shared" ref="H310:H311" si="136">+F310*3.04%</f>
        <v>1368</v>
      </c>
      <c r="I310" s="82"/>
      <c r="J310" s="77">
        <f t="shared" si="117"/>
        <v>2659.5</v>
      </c>
      <c r="K310" s="77">
        <f t="shared" si="120"/>
        <v>42340.5</v>
      </c>
      <c r="L310" s="77">
        <f t="shared" si="130"/>
        <v>1148.3248749999998</v>
      </c>
      <c r="M310" s="77"/>
      <c r="N310" s="84">
        <v>4335.6000000000004</v>
      </c>
      <c r="O310" s="107">
        <f t="shared" si="131"/>
        <v>8143.4248750000006</v>
      </c>
      <c r="P310" s="78">
        <f t="shared" si="129"/>
        <v>36856.575125000003</v>
      </c>
      <c r="Q310" s="39"/>
    </row>
    <row r="311" spans="1:17" s="53" customFormat="1" ht="28.5" customHeight="1" x14ac:dyDescent="0.25">
      <c r="A311" s="75">
        <f t="shared" si="132"/>
        <v>166</v>
      </c>
      <c r="B311" s="108" t="s">
        <v>599</v>
      </c>
      <c r="C311" s="36" t="s">
        <v>421</v>
      </c>
      <c r="D311" s="108" t="s">
        <v>34</v>
      </c>
      <c r="E311" s="108" t="s">
        <v>198</v>
      </c>
      <c r="F311" s="110">
        <v>20000</v>
      </c>
      <c r="G311" s="82">
        <f t="shared" si="135"/>
        <v>574</v>
      </c>
      <c r="H311" s="82">
        <f t="shared" si="136"/>
        <v>608</v>
      </c>
      <c r="I311" s="82">
        <v>1577.45</v>
      </c>
      <c r="J311" s="77">
        <f t="shared" si="117"/>
        <v>2759.45</v>
      </c>
      <c r="K311" s="77">
        <f t="shared" si="120"/>
        <v>17240.55</v>
      </c>
      <c r="L311" s="77">
        <f t="shared" si="130"/>
        <v>0</v>
      </c>
      <c r="M311" s="77"/>
      <c r="N311" s="84">
        <v>5311.57</v>
      </c>
      <c r="O311" s="107">
        <f t="shared" si="131"/>
        <v>8071.0199999999995</v>
      </c>
      <c r="P311" s="78">
        <f t="shared" si="129"/>
        <v>11928.98</v>
      </c>
      <c r="Q311" s="39"/>
    </row>
    <row r="312" spans="1:17" s="53" customFormat="1" ht="28.5" customHeight="1" x14ac:dyDescent="0.25">
      <c r="A312" s="75">
        <f t="shared" si="132"/>
        <v>167</v>
      </c>
      <c r="B312" s="108" t="s">
        <v>600</v>
      </c>
      <c r="C312" s="36" t="s">
        <v>422</v>
      </c>
      <c r="D312" s="108" t="s">
        <v>34</v>
      </c>
      <c r="E312" s="108" t="s">
        <v>198</v>
      </c>
      <c r="F312" s="110">
        <v>20000</v>
      </c>
      <c r="G312" s="82">
        <f t="shared" ref="G312:G316" si="137">F312*2.87%</f>
        <v>574</v>
      </c>
      <c r="H312" s="82">
        <f t="shared" ref="H312:H316" si="138">+F312*3.04%</f>
        <v>608</v>
      </c>
      <c r="I312" s="82"/>
      <c r="J312" s="77">
        <f t="shared" si="117"/>
        <v>1182</v>
      </c>
      <c r="K312" s="77">
        <f t="shared" si="120"/>
        <v>18818</v>
      </c>
      <c r="L312" s="77">
        <f t="shared" si="130"/>
        <v>0</v>
      </c>
      <c r="M312" s="77"/>
      <c r="N312" s="84">
        <v>1125</v>
      </c>
      <c r="O312" s="107">
        <f t="shared" si="131"/>
        <v>2307</v>
      </c>
      <c r="P312" s="78">
        <f t="shared" si="129"/>
        <v>17693</v>
      </c>
      <c r="Q312" s="39"/>
    </row>
    <row r="313" spans="1:17" s="53" customFormat="1" ht="28.5" customHeight="1" x14ac:dyDescent="0.25">
      <c r="A313" s="75">
        <f t="shared" si="132"/>
        <v>168</v>
      </c>
      <c r="B313" s="108" t="s">
        <v>601</v>
      </c>
      <c r="C313" s="36" t="s">
        <v>421</v>
      </c>
      <c r="D313" s="108" t="s">
        <v>34</v>
      </c>
      <c r="E313" s="108" t="s">
        <v>198</v>
      </c>
      <c r="F313" s="110">
        <v>20000</v>
      </c>
      <c r="G313" s="82">
        <f t="shared" si="137"/>
        <v>574</v>
      </c>
      <c r="H313" s="82">
        <f t="shared" si="138"/>
        <v>608</v>
      </c>
      <c r="I313" s="82"/>
      <c r="J313" s="77">
        <f t="shared" si="117"/>
        <v>1182</v>
      </c>
      <c r="K313" s="77">
        <f t="shared" si="120"/>
        <v>18818</v>
      </c>
      <c r="L313" s="77">
        <f t="shared" si="130"/>
        <v>0</v>
      </c>
      <c r="M313" s="77"/>
      <c r="N313" s="84">
        <v>125</v>
      </c>
      <c r="O313" s="107">
        <f t="shared" si="131"/>
        <v>1307</v>
      </c>
      <c r="P313" s="78">
        <f t="shared" si="129"/>
        <v>18693</v>
      </c>
      <c r="Q313" s="39"/>
    </row>
    <row r="314" spans="1:17" s="53" customFormat="1" ht="28.5" customHeight="1" x14ac:dyDescent="0.25">
      <c r="A314" s="75">
        <f t="shared" si="132"/>
        <v>169</v>
      </c>
      <c r="B314" s="108" t="s">
        <v>602</v>
      </c>
      <c r="C314" s="36" t="s">
        <v>421</v>
      </c>
      <c r="D314" s="108" t="s">
        <v>34</v>
      </c>
      <c r="E314" s="108" t="s">
        <v>198</v>
      </c>
      <c r="F314" s="110">
        <v>20000</v>
      </c>
      <c r="G314" s="82">
        <f t="shared" si="137"/>
        <v>574</v>
      </c>
      <c r="H314" s="82">
        <f t="shared" si="138"/>
        <v>608</v>
      </c>
      <c r="I314" s="82"/>
      <c r="J314" s="77">
        <f t="shared" si="117"/>
        <v>1182</v>
      </c>
      <c r="K314" s="77">
        <f t="shared" si="120"/>
        <v>18818</v>
      </c>
      <c r="L314" s="77">
        <f t="shared" si="130"/>
        <v>0</v>
      </c>
      <c r="M314" s="77"/>
      <c r="N314" s="84">
        <v>2125</v>
      </c>
      <c r="O314" s="107">
        <f t="shared" si="131"/>
        <v>3307</v>
      </c>
      <c r="P314" s="78">
        <f t="shared" si="129"/>
        <v>16693</v>
      </c>
      <c r="Q314" s="39"/>
    </row>
    <row r="315" spans="1:17" s="79" customFormat="1" ht="30" customHeight="1" x14ac:dyDescent="0.25">
      <c r="A315" s="75">
        <f t="shared" si="132"/>
        <v>170</v>
      </c>
      <c r="B315" s="108" t="s">
        <v>603</v>
      </c>
      <c r="C315" s="36" t="s">
        <v>422</v>
      </c>
      <c r="D315" s="108" t="s">
        <v>97</v>
      </c>
      <c r="E315" s="108" t="s">
        <v>198</v>
      </c>
      <c r="F315" s="110">
        <v>20000</v>
      </c>
      <c r="G315" s="82">
        <f t="shared" si="137"/>
        <v>574</v>
      </c>
      <c r="H315" s="82">
        <f t="shared" si="138"/>
        <v>608</v>
      </c>
      <c r="I315" s="82"/>
      <c r="J315" s="77">
        <f t="shared" si="117"/>
        <v>1182</v>
      </c>
      <c r="K315" s="77">
        <f t="shared" si="120"/>
        <v>18818</v>
      </c>
      <c r="L315" s="77">
        <f t="shared" si="130"/>
        <v>0</v>
      </c>
      <c r="M315" s="77"/>
      <c r="N315" s="84">
        <v>1025</v>
      </c>
      <c r="O315" s="107">
        <f t="shared" si="131"/>
        <v>2207</v>
      </c>
      <c r="P315" s="78">
        <f t="shared" si="129"/>
        <v>17793</v>
      </c>
      <c r="Q315" s="32"/>
    </row>
    <row r="316" spans="1:17" s="39" customFormat="1" ht="30" customHeight="1" x14ac:dyDescent="0.25">
      <c r="A316" s="75">
        <f t="shared" si="132"/>
        <v>171</v>
      </c>
      <c r="B316" s="108" t="s">
        <v>604</v>
      </c>
      <c r="C316" s="36" t="s">
        <v>422</v>
      </c>
      <c r="D316" s="108" t="s">
        <v>34</v>
      </c>
      <c r="E316" s="108" t="s">
        <v>198</v>
      </c>
      <c r="F316" s="110">
        <v>20000</v>
      </c>
      <c r="G316" s="82">
        <f t="shared" si="137"/>
        <v>574</v>
      </c>
      <c r="H316" s="82">
        <f t="shared" si="138"/>
        <v>608</v>
      </c>
      <c r="I316" s="82"/>
      <c r="J316" s="77">
        <f t="shared" si="117"/>
        <v>1182</v>
      </c>
      <c r="K316" s="77">
        <f t="shared" si="120"/>
        <v>18818</v>
      </c>
      <c r="L316" s="77">
        <f t="shared" si="130"/>
        <v>0</v>
      </c>
      <c r="M316" s="77"/>
      <c r="N316" s="84">
        <v>3650.01</v>
      </c>
      <c r="O316" s="107">
        <f t="shared" si="131"/>
        <v>4832.01</v>
      </c>
      <c r="P316" s="78">
        <f t="shared" si="129"/>
        <v>15167.99</v>
      </c>
    </row>
    <row r="317" spans="1:17" s="39" customFormat="1" ht="36" customHeight="1" x14ac:dyDescent="0.25">
      <c r="A317" s="208" t="s">
        <v>125</v>
      </c>
      <c r="B317" s="209"/>
      <c r="C317" s="209"/>
      <c r="D317" s="209"/>
      <c r="E317" s="210"/>
      <c r="F317" s="37">
        <f>SUM(F286:F316)</f>
        <v>839075</v>
      </c>
      <c r="G317" s="37">
        <f t="shared" ref="F317:P317" si="139">SUM(G286:G316)</f>
        <v>24081.452499999996</v>
      </c>
      <c r="H317" s="37">
        <f t="shared" si="139"/>
        <v>25507.879999999997</v>
      </c>
      <c r="I317" s="37">
        <f t="shared" si="139"/>
        <v>9464.7000000000007</v>
      </c>
      <c r="J317" s="37">
        <f t="shared" si="139"/>
        <v>59054.032500000016</v>
      </c>
      <c r="K317" s="37">
        <f t="shared" si="139"/>
        <v>780020.96749999991</v>
      </c>
      <c r="L317" s="37">
        <f t="shared" si="139"/>
        <v>3506.0047499999996</v>
      </c>
      <c r="M317" s="37">
        <f t="shared" si="139"/>
        <v>1148.32</v>
      </c>
      <c r="N317" s="37">
        <f t="shared" si="139"/>
        <v>98767.74</v>
      </c>
      <c r="O317" s="37">
        <f t="shared" si="139"/>
        <v>161327.77724999996</v>
      </c>
      <c r="P317" s="37">
        <f t="shared" si="139"/>
        <v>677747.22274999984</v>
      </c>
    </row>
    <row r="318" spans="1:17" s="39" customFormat="1" ht="36" customHeight="1" thickBot="1" x14ac:dyDescent="0.3">
      <c r="A318" s="50"/>
      <c r="B318" s="50"/>
      <c r="C318" s="50"/>
      <c r="D318" s="50"/>
      <c r="E318" s="50"/>
      <c r="F318" s="40"/>
      <c r="G318" s="40"/>
      <c r="H318" s="40"/>
      <c r="I318" s="40"/>
      <c r="J318" s="40"/>
      <c r="K318" s="40"/>
      <c r="L318" s="40"/>
      <c r="M318" s="40"/>
      <c r="N318" s="40"/>
      <c r="O318" s="40"/>
      <c r="P318" s="40"/>
    </row>
    <row r="319" spans="1:17" s="39" customFormat="1" ht="36" customHeight="1" thickBot="1" x14ac:dyDescent="0.3">
      <c r="A319" s="211" t="s">
        <v>324</v>
      </c>
      <c r="B319" s="212"/>
      <c r="C319" s="212"/>
      <c r="D319" s="212"/>
      <c r="E319" s="212"/>
      <c r="F319" s="212"/>
      <c r="G319" s="212"/>
      <c r="H319" s="212"/>
      <c r="I319" s="212"/>
      <c r="J319" s="212"/>
      <c r="K319" s="212"/>
      <c r="L319" s="212"/>
      <c r="M319" s="212"/>
      <c r="N319" s="212"/>
      <c r="O319" s="212"/>
      <c r="P319" s="212"/>
    </row>
    <row r="320" spans="1:17" s="39" customFormat="1" ht="36" customHeight="1" x14ac:dyDescent="0.25">
      <c r="A320" s="36">
        <f>+A316+1</f>
        <v>172</v>
      </c>
      <c r="B320" s="108" t="s">
        <v>17</v>
      </c>
      <c r="C320" s="36" t="s">
        <v>422</v>
      </c>
      <c r="D320" s="108" t="s">
        <v>644</v>
      </c>
      <c r="E320" s="108" t="s">
        <v>229</v>
      </c>
      <c r="F320" s="110">
        <v>50000</v>
      </c>
      <c r="G320" s="110">
        <f>F320*2.87%</f>
        <v>1435</v>
      </c>
      <c r="H320" s="82">
        <f>+F320*3.04%</f>
        <v>1520</v>
      </c>
      <c r="I320" s="82">
        <v>1577.45</v>
      </c>
      <c r="J320" s="77">
        <f t="shared" si="117"/>
        <v>4532.45</v>
      </c>
      <c r="K320" s="77">
        <f t="shared" si="120"/>
        <v>45467.55</v>
      </c>
      <c r="L320" s="77">
        <f t="shared" ref="L320:L325" si="140">+IF(K320*12&lt;=416220.01,0,IF(K320*12&lt;=624329.01,(((K320*12-416220.01)*0.15)/12),IF((K320*12&lt;=867123.01),(31216+0.2*(K320*12-624329.01))/12,((79776+0.25*(K320*12-867123.01))/12))))</f>
        <v>1617.382375000001</v>
      </c>
      <c r="M320" s="77"/>
      <c r="N320" s="84">
        <v>10025</v>
      </c>
      <c r="O320" s="107">
        <f t="shared" si="118"/>
        <v>16174.832375000002</v>
      </c>
      <c r="P320" s="78">
        <f t="shared" ref="P320:P325" si="141">+F320-O320</f>
        <v>33825.167625000002</v>
      </c>
    </row>
    <row r="321" spans="1:17" s="39" customFormat="1" ht="28.5" customHeight="1" x14ac:dyDescent="0.25">
      <c r="A321" s="36">
        <f>+A320+1</f>
        <v>173</v>
      </c>
      <c r="B321" s="108" t="s">
        <v>325</v>
      </c>
      <c r="C321" s="36" t="s">
        <v>421</v>
      </c>
      <c r="D321" s="108" t="s">
        <v>326</v>
      </c>
      <c r="E321" s="108" t="s">
        <v>229</v>
      </c>
      <c r="F321" s="110">
        <v>50000</v>
      </c>
      <c r="G321" s="110">
        <f>F321*2.87%</f>
        <v>1435</v>
      </c>
      <c r="H321" s="82">
        <f>+F321*3.04%</f>
        <v>1520</v>
      </c>
      <c r="I321" s="82"/>
      <c r="J321" s="77">
        <f t="shared" si="117"/>
        <v>2955</v>
      </c>
      <c r="K321" s="77">
        <f t="shared" si="120"/>
        <v>47045</v>
      </c>
      <c r="L321" s="77">
        <f t="shared" si="140"/>
        <v>1853.9998749999997</v>
      </c>
      <c r="M321" s="77"/>
      <c r="N321" s="84">
        <v>125</v>
      </c>
      <c r="O321" s="107">
        <f t="shared" si="118"/>
        <v>4933.9998749999995</v>
      </c>
      <c r="P321" s="78">
        <f t="shared" si="141"/>
        <v>45066.000124999999</v>
      </c>
    </row>
    <row r="322" spans="1:17" s="53" customFormat="1" ht="27" customHeight="1" x14ac:dyDescent="0.25">
      <c r="A322" s="36">
        <f>+A321+1</f>
        <v>174</v>
      </c>
      <c r="B322" s="108" t="s">
        <v>327</v>
      </c>
      <c r="C322" s="36" t="s">
        <v>421</v>
      </c>
      <c r="D322" s="108" t="s">
        <v>326</v>
      </c>
      <c r="E322" s="108" t="s">
        <v>229</v>
      </c>
      <c r="F322" s="110">
        <v>50000</v>
      </c>
      <c r="G322" s="110">
        <f>F322*2.87%</f>
        <v>1435</v>
      </c>
      <c r="H322" s="82">
        <f>+F322*3.04%</f>
        <v>1520</v>
      </c>
      <c r="I322" s="82">
        <v>1577.45</v>
      </c>
      <c r="J322" s="77">
        <f t="shared" si="117"/>
        <v>4532.45</v>
      </c>
      <c r="K322" s="77">
        <f t="shared" si="120"/>
        <v>45467.55</v>
      </c>
      <c r="L322" s="77">
        <f t="shared" si="140"/>
        <v>1617.382375000001</v>
      </c>
      <c r="M322" s="77"/>
      <c r="N322" s="84">
        <v>125</v>
      </c>
      <c r="O322" s="107">
        <f t="shared" si="118"/>
        <v>6274.8323750000009</v>
      </c>
      <c r="P322" s="78">
        <f t="shared" si="141"/>
        <v>43725.167625000002</v>
      </c>
      <c r="Q322" s="39"/>
    </row>
    <row r="323" spans="1:17" s="53" customFormat="1" ht="30" customHeight="1" x14ac:dyDescent="0.25">
      <c r="A323" s="36">
        <f>+A322+1</f>
        <v>175</v>
      </c>
      <c r="B323" s="108" t="s">
        <v>399</v>
      </c>
      <c r="C323" s="36" t="s">
        <v>421</v>
      </c>
      <c r="D323" s="108" t="s">
        <v>144</v>
      </c>
      <c r="E323" s="108" t="s">
        <v>229</v>
      </c>
      <c r="F323" s="110">
        <v>28000</v>
      </c>
      <c r="G323" s="110">
        <f t="shared" ref="G323" si="142">F323*2.87%</f>
        <v>803.6</v>
      </c>
      <c r="H323" s="82">
        <f t="shared" ref="H323" si="143">+F323*3.04%</f>
        <v>851.2</v>
      </c>
      <c r="I323" s="82"/>
      <c r="J323" s="77">
        <f t="shared" si="117"/>
        <v>1654.8000000000002</v>
      </c>
      <c r="K323" s="77">
        <f t="shared" si="120"/>
        <v>26345.200000000001</v>
      </c>
      <c r="L323" s="77">
        <f t="shared" si="140"/>
        <v>0</v>
      </c>
      <c r="M323" s="77"/>
      <c r="N323" s="84">
        <v>25</v>
      </c>
      <c r="O323" s="107">
        <f t="shared" si="118"/>
        <v>1679.8000000000002</v>
      </c>
      <c r="P323" s="78">
        <f t="shared" si="141"/>
        <v>26320.2</v>
      </c>
      <c r="Q323" s="39"/>
    </row>
    <row r="324" spans="1:17" s="53" customFormat="1" ht="30" customHeight="1" x14ac:dyDescent="0.25">
      <c r="A324" s="36">
        <f>+A323+1</f>
        <v>176</v>
      </c>
      <c r="B324" s="127" t="s">
        <v>400</v>
      </c>
      <c r="C324" s="152" t="s">
        <v>421</v>
      </c>
      <c r="D324" s="153" t="s">
        <v>144</v>
      </c>
      <c r="E324" s="108" t="s">
        <v>229</v>
      </c>
      <c r="F324" s="84">
        <v>28000</v>
      </c>
      <c r="G324" s="82">
        <f>F324*2.87%</f>
        <v>803.6</v>
      </c>
      <c r="H324" s="82">
        <f>+F324*3.04%</f>
        <v>851.2</v>
      </c>
      <c r="I324" s="82"/>
      <c r="J324" s="77">
        <f t="shared" si="117"/>
        <v>1654.8000000000002</v>
      </c>
      <c r="K324" s="77">
        <f t="shared" si="120"/>
        <v>26345.200000000001</v>
      </c>
      <c r="L324" s="77">
        <f t="shared" si="140"/>
        <v>0</v>
      </c>
      <c r="M324" s="77"/>
      <c r="N324" s="78">
        <v>125</v>
      </c>
      <c r="O324" s="107">
        <f t="shared" si="118"/>
        <v>1779.8000000000002</v>
      </c>
      <c r="P324" s="78">
        <f t="shared" si="141"/>
        <v>26220.2</v>
      </c>
      <c r="Q324" s="39"/>
    </row>
    <row r="325" spans="1:17" s="53" customFormat="1" ht="30" customHeight="1" x14ac:dyDescent="0.25">
      <c r="A325" s="36">
        <f>+A324+1</f>
        <v>177</v>
      </c>
      <c r="B325" s="127" t="s">
        <v>527</v>
      </c>
      <c r="C325" s="152" t="s">
        <v>421</v>
      </c>
      <c r="D325" s="153" t="s">
        <v>144</v>
      </c>
      <c r="E325" s="108" t="s">
        <v>229</v>
      </c>
      <c r="F325" s="84">
        <v>24000</v>
      </c>
      <c r="G325" s="82">
        <f>F325*2.87%</f>
        <v>688.8</v>
      </c>
      <c r="H325" s="82">
        <f>+F325*3.04%</f>
        <v>729.6</v>
      </c>
      <c r="I325" s="82"/>
      <c r="J325" s="77">
        <f t="shared" si="117"/>
        <v>1418.4</v>
      </c>
      <c r="K325" s="77">
        <f t="shared" si="120"/>
        <v>22581.599999999999</v>
      </c>
      <c r="L325" s="77">
        <f t="shared" si="140"/>
        <v>0</v>
      </c>
      <c r="M325" s="77"/>
      <c r="N325" s="78">
        <v>125</v>
      </c>
      <c r="O325" s="107">
        <f t="shared" si="118"/>
        <v>1543.4</v>
      </c>
      <c r="P325" s="78">
        <f t="shared" si="141"/>
        <v>22456.6</v>
      </c>
      <c r="Q325" s="39"/>
    </row>
    <row r="326" spans="1:17" s="53" customFormat="1" ht="30" customHeight="1" thickBot="1" x14ac:dyDescent="0.3">
      <c r="A326" s="208" t="s">
        <v>125</v>
      </c>
      <c r="B326" s="209"/>
      <c r="C326" s="209"/>
      <c r="D326" s="209"/>
      <c r="E326" s="210"/>
      <c r="F326" s="37">
        <f>SUM(F320:F325)</f>
        <v>230000</v>
      </c>
      <c r="G326" s="37">
        <f t="shared" ref="G326:P326" si="144">SUM(G320:G325)</f>
        <v>6601.0000000000009</v>
      </c>
      <c r="H326" s="37">
        <f t="shared" si="144"/>
        <v>6992</v>
      </c>
      <c r="I326" s="37">
        <f t="shared" si="144"/>
        <v>3154.9</v>
      </c>
      <c r="J326" s="37">
        <f t="shared" si="144"/>
        <v>16747.900000000001</v>
      </c>
      <c r="K326" s="37">
        <f t="shared" si="144"/>
        <v>213252.10000000003</v>
      </c>
      <c r="L326" s="37">
        <f t="shared" si="144"/>
        <v>5088.7646250000016</v>
      </c>
      <c r="M326" s="37">
        <f t="shared" si="144"/>
        <v>0</v>
      </c>
      <c r="N326" s="37">
        <f t="shared" si="144"/>
        <v>10550</v>
      </c>
      <c r="O326" s="37">
        <f t="shared" si="144"/>
        <v>32386.664625000001</v>
      </c>
      <c r="P326" s="37">
        <f t="shared" si="144"/>
        <v>197613.33537500002</v>
      </c>
      <c r="Q326" s="39"/>
    </row>
    <row r="327" spans="1:17" s="53" customFormat="1" ht="30" customHeight="1" thickBot="1" x14ac:dyDescent="0.3">
      <c r="A327" s="211" t="s">
        <v>328</v>
      </c>
      <c r="B327" s="212"/>
      <c r="C327" s="212"/>
      <c r="D327" s="212"/>
      <c r="E327" s="212"/>
      <c r="F327" s="212"/>
      <c r="G327" s="212"/>
      <c r="H327" s="212"/>
      <c r="I327" s="212"/>
      <c r="J327" s="212"/>
      <c r="K327" s="212"/>
      <c r="L327" s="212"/>
      <c r="M327" s="212"/>
      <c r="N327" s="212"/>
      <c r="O327" s="212"/>
      <c r="P327" s="212"/>
      <c r="Q327" s="39"/>
    </row>
    <row r="328" spans="1:17" s="53" customFormat="1" ht="30" customHeight="1" x14ac:dyDescent="0.25">
      <c r="A328" s="80">
        <f>+A325+1</f>
        <v>178</v>
      </c>
      <c r="B328" s="108" t="s">
        <v>133</v>
      </c>
      <c r="C328" s="36" t="s">
        <v>421</v>
      </c>
      <c r="D328" s="108" t="s">
        <v>135</v>
      </c>
      <c r="E328" s="108" t="s">
        <v>229</v>
      </c>
      <c r="F328" s="110">
        <v>55000</v>
      </c>
      <c r="G328" s="82">
        <f>F328*2.87%</f>
        <v>1578.5</v>
      </c>
      <c r="H328" s="82">
        <f>+F328*3.04%</f>
        <v>1672</v>
      </c>
      <c r="I328" s="82"/>
      <c r="J328" s="77">
        <f t="shared" si="117"/>
        <v>3250.5</v>
      </c>
      <c r="K328" s="77">
        <f t="shared" si="120"/>
        <v>51749.5</v>
      </c>
      <c r="L328" s="77">
        <f>+IF(K328*12&lt;=416220.01,0,IF(K328*12&lt;=624329.01,(((K328*12-416220.01)*0.15)/12),IF((K328*12&lt;=867123.01),(31216+0.2*(K328*12-624329.01))/12,((79776+0.25*(K328*12-867123.01))/12))))-M328</f>
        <v>2559.6748749999997</v>
      </c>
      <c r="M328" s="77"/>
      <c r="N328" s="84">
        <v>25</v>
      </c>
      <c r="O328" s="107">
        <f t="shared" si="118"/>
        <v>5835.1748749999997</v>
      </c>
      <c r="P328" s="84">
        <f t="shared" ref="P328:P345" si="145">+F328-O328</f>
        <v>49164.825125000003</v>
      </c>
      <c r="Q328" s="39"/>
    </row>
    <row r="329" spans="1:17" s="91" customFormat="1" ht="30" customHeight="1" x14ac:dyDescent="0.25">
      <c r="A329" s="80">
        <f>+A328+1</f>
        <v>179</v>
      </c>
      <c r="B329" s="108" t="s">
        <v>35</v>
      </c>
      <c r="C329" s="36" t="s">
        <v>421</v>
      </c>
      <c r="D329" s="108" t="s">
        <v>135</v>
      </c>
      <c r="E329" s="108" t="s">
        <v>122</v>
      </c>
      <c r="F329" s="110">
        <v>55000</v>
      </c>
      <c r="G329" s="82">
        <f t="shared" ref="G329:G343" si="146">F329*2.87%</f>
        <v>1578.5</v>
      </c>
      <c r="H329" s="82">
        <f t="shared" ref="H329:H345" si="147">+F329*3.04%</f>
        <v>1672</v>
      </c>
      <c r="I329" s="82"/>
      <c r="J329" s="77">
        <f t="shared" si="117"/>
        <v>3250.5</v>
      </c>
      <c r="K329" s="77">
        <f t="shared" si="120"/>
        <v>51749.5</v>
      </c>
      <c r="L329" s="77">
        <f t="shared" ref="L329:L345" si="148">+IF(K329*12&lt;=416220.01,0,IF(K329*12&lt;=624329.01,(((K329*12-416220.01)*0.15)/12),IF((K329*12&lt;=867123.01),(31216+0.2*(K329*12-624329.01))/12,((79776+0.25*(K329*12-867123.01))/12))))-M329</f>
        <v>2559.6748749999997</v>
      </c>
      <c r="M329" s="77"/>
      <c r="N329" s="84">
        <v>165</v>
      </c>
      <c r="O329" s="107">
        <f t="shared" si="118"/>
        <v>5975.1748749999997</v>
      </c>
      <c r="P329" s="84">
        <f t="shared" si="145"/>
        <v>49024.825125000003</v>
      </c>
      <c r="Q329" s="243"/>
    </row>
    <row r="330" spans="1:17" s="53" customFormat="1" ht="30" customHeight="1" x14ac:dyDescent="0.25">
      <c r="A330" s="80">
        <f t="shared" ref="A330:A345" si="149">+A329+1</f>
        <v>180</v>
      </c>
      <c r="B330" s="108" t="s">
        <v>329</v>
      </c>
      <c r="C330" s="36" t="s">
        <v>421</v>
      </c>
      <c r="D330" s="108" t="s">
        <v>37</v>
      </c>
      <c r="E330" s="108" t="s">
        <v>229</v>
      </c>
      <c r="F330" s="110">
        <v>35000</v>
      </c>
      <c r="G330" s="82">
        <f t="shared" si="146"/>
        <v>1004.5</v>
      </c>
      <c r="H330" s="82">
        <f t="shared" si="147"/>
        <v>1064</v>
      </c>
      <c r="I330" s="82"/>
      <c r="J330" s="77">
        <f t="shared" si="117"/>
        <v>2068.5</v>
      </c>
      <c r="K330" s="77">
        <f t="shared" si="120"/>
        <v>32931.5</v>
      </c>
      <c r="L330" s="77">
        <f t="shared" si="148"/>
        <v>0</v>
      </c>
      <c r="M330" s="77"/>
      <c r="N330" s="84">
        <v>245</v>
      </c>
      <c r="O330" s="107">
        <f t="shared" si="118"/>
        <v>2313.5</v>
      </c>
      <c r="P330" s="84">
        <f t="shared" si="145"/>
        <v>32686.5</v>
      </c>
      <c r="Q330" s="39"/>
    </row>
    <row r="331" spans="1:17" s="79" customFormat="1" ht="30" customHeight="1" x14ac:dyDescent="0.25">
      <c r="A331" s="80">
        <f t="shared" si="149"/>
        <v>181</v>
      </c>
      <c r="B331" s="108" t="s">
        <v>40</v>
      </c>
      <c r="C331" s="36" t="s">
        <v>421</v>
      </c>
      <c r="D331" s="108" t="s">
        <v>37</v>
      </c>
      <c r="E331" s="108" t="s">
        <v>229</v>
      </c>
      <c r="F331" s="110">
        <v>35000</v>
      </c>
      <c r="G331" s="82">
        <f t="shared" si="146"/>
        <v>1004.5</v>
      </c>
      <c r="H331" s="82">
        <f t="shared" si="147"/>
        <v>1064</v>
      </c>
      <c r="I331" s="82"/>
      <c r="J331" s="77">
        <f t="shared" si="117"/>
        <v>2068.5</v>
      </c>
      <c r="K331" s="77">
        <f t="shared" si="120"/>
        <v>32931.5</v>
      </c>
      <c r="L331" s="77">
        <f t="shared" si="148"/>
        <v>0</v>
      </c>
      <c r="M331" s="77"/>
      <c r="N331" s="84">
        <v>165</v>
      </c>
      <c r="O331" s="107">
        <f t="shared" si="118"/>
        <v>2233.5</v>
      </c>
      <c r="P331" s="84">
        <f t="shared" si="145"/>
        <v>32766.5</v>
      </c>
      <c r="Q331" s="32"/>
    </row>
    <row r="332" spans="1:17" s="53" customFormat="1" ht="30" customHeight="1" x14ac:dyDescent="0.25">
      <c r="A332" s="80">
        <f t="shared" si="149"/>
        <v>182</v>
      </c>
      <c r="B332" s="108" t="s">
        <v>330</v>
      </c>
      <c r="C332" s="36" t="s">
        <v>421</v>
      </c>
      <c r="D332" s="108" t="s">
        <v>37</v>
      </c>
      <c r="E332" s="108" t="s">
        <v>229</v>
      </c>
      <c r="F332" s="110">
        <v>35000</v>
      </c>
      <c r="G332" s="82">
        <f t="shared" si="146"/>
        <v>1004.5</v>
      </c>
      <c r="H332" s="82">
        <f t="shared" si="147"/>
        <v>1064</v>
      </c>
      <c r="I332" s="82"/>
      <c r="J332" s="77">
        <f t="shared" si="117"/>
        <v>2068.5</v>
      </c>
      <c r="K332" s="77">
        <f t="shared" si="120"/>
        <v>32931.5</v>
      </c>
      <c r="L332" s="77">
        <f t="shared" si="148"/>
        <v>0</v>
      </c>
      <c r="M332" s="77"/>
      <c r="N332" s="84">
        <v>125</v>
      </c>
      <c r="O332" s="107">
        <f t="shared" si="118"/>
        <v>2193.5</v>
      </c>
      <c r="P332" s="84">
        <f t="shared" si="145"/>
        <v>32806.5</v>
      </c>
      <c r="Q332" s="39"/>
    </row>
    <row r="333" spans="1:17" s="79" customFormat="1" ht="30" customHeight="1" x14ac:dyDescent="0.25">
      <c r="A333" s="80">
        <f t="shared" si="149"/>
        <v>183</v>
      </c>
      <c r="B333" s="108" t="s">
        <v>82</v>
      </c>
      <c r="C333" s="36" t="s">
        <v>421</v>
      </c>
      <c r="D333" s="108" t="s">
        <v>37</v>
      </c>
      <c r="E333" s="108" t="s">
        <v>229</v>
      </c>
      <c r="F333" s="110">
        <v>35000</v>
      </c>
      <c r="G333" s="82">
        <f t="shared" si="146"/>
        <v>1004.5</v>
      </c>
      <c r="H333" s="82">
        <f t="shared" si="147"/>
        <v>1064</v>
      </c>
      <c r="I333" s="82"/>
      <c r="J333" s="77">
        <f t="shared" ref="J333:J393" si="150">+G333+H333+I333</f>
        <v>2068.5</v>
      </c>
      <c r="K333" s="77">
        <f t="shared" si="120"/>
        <v>32931.5</v>
      </c>
      <c r="L333" s="77">
        <f t="shared" si="148"/>
        <v>0</v>
      </c>
      <c r="M333" s="77"/>
      <c r="N333" s="84">
        <v>125</v>
      </c>
      <c r="O333" s="107">
        <f t="shared" si="118"/>
        <v>2193.5</v>
      </c>
      <c r="P333" s="84">
        <f t="shared" si="145"/>
        <v>32806.5</v>
      </c>
      <c r="Q333" s="32"/>
    </row>
    <row r="334" spans="1:17" s="91" customFormat="1" ht="30" customHeight="1" x14ac:dyDescent="0.25">
      <c r="A334" s="80">
        <f t="shared" si="149"/>
        <v>184</v>
      </c>
      <c r="B334" s="108" t="s">
        <v>331</v>
      </c>
      <c r="C334" s="36" t="s">
        <v>421</v>
      </c>
      <c r="D334" s="108" t="s">
        <v>37</v>
      </c>
      <c r="E334" s="108" t="s">
        <v>229</v>
      </c>
      <c r="F334" s="110">
        <v>35000</v>
      </c>
      <c r="G334" s="82">
        <f t="shared" si="146"/>
        <v>1004.5</v>
      </c>
      <c r="H334" s="82">
        <f t="shared" si="147"/>
        <v>1064</v>
      </c>
      <c r="I334" s="82">
        <v>1577.45</v>
      </c>
      <c r="J334" s="77">
        <f t="shared" si="150"/>
        <v>3645.95</v>
      </c>
      <c r="K334" s="77">
        <f t="shared" si="120"/>
        <v>31354.05</v>
      </c>
      <c r="L334" s="77">
        <f t="shared" si="148"/>
        <v>0</v>
      </c>
      <c r="M334" s="77"/>
      <c r="N334" s="84">
        <v>5785.86</v>
      </c>
      <c r="O334" s="107">
        <f t="shared" ref="O334:O395" si="151">+N334+I334+H334+G334+L334</f>
        <v>9431.81</v>
      </c>
      <c r="P334" s="84">
        <f t="shared" si="145"/>
        <v>25568.190000000002</v>
      </c>
      <c r="Q334" s="243"/>
    </row>
    <row r="335" spans="1:17" s="53" customFormat="1" ht="30" customHeight="1" x14ac:dyDescent="0.25">
      <c r="A335" s="80">
        <f t="shared" si="149"/>
        <v>185</v>
      </c>
      <c r="B335" s="108" t="s">
        <v>39</v>
      </c>
      <c r="C335" s="36" t="s">
        <v>421</v>
      </c>
      <c r="D335" s="108" t="s">
        <v>37</v>
      </c>
      <c r="E335" s="108" t="s">
        <v>229</v>
      </c>
      <c r="F335" s="110">
        <v>35000</v>
      </c>
      <c r="G335" s="82">
        <f t="shared" si="146"/>
        <v>1004.5</v>
      </c>
      <c r="H335" s="82">
        <f t="shared" si="147"/>
        <v>1064</v>
      </c>
      <c r="I335" s="82"/>
      <c r="J335" s="77">
        <f t="shared" si="150"/>
        <v>2068.5</v>
      </c>
      <c r="K335" s="77">
        <f t="shared" si="120"/>
        <v>32931.5</v>
      </c>
      <c r="L335" s="77">
        <f t="shared" si="148"/>
        <v>0</v>
      </c>
      <c r="M335" s="77"/>
      <c r="N335" s="84">
        <v>665</v>
      </c>
      <c r="O335" s="107">
        <f t="shared" si="151"/>
        <v>2733.5</v>
      </c>
      <c r="P335" s="84">
        <f t="shared" si="145"/>
        <v>32266.5</v>
      </c>
      <c r="Q335" s="39"/>
    </row>
    <row r="336" spans="1:17" s="79" customFormat="1" ht="30" customHeight="1" x14ac:dyDescent="0.25">
      <c r="A336" s="80">
        <f t="shared" si="149"/>
        <v>186</v>
      </c>
      <c r="B336" s="108" t="s">
        <v>134</v>
      </c>
      <c r="C336" s="36" t="s">
        <v>421</v>
      </c>
      <c r="D336" s="126" t="s">
        <v>136</v>
      </c>
      <c r="E336" s="108" t="s">
        <v>229</v>
      </c>
      <c r="F336" s="110">
        <v>35000</v>
      </c>
      <c r="G336" s="82">
        <f>F336*2.87%</f>
        <v>1004.5</v>
      </c>
      <c r="H336" s="82">
        <f>+F336*3.04%</f>
        <v>1064</v>
      </c>
      <c r="I336" s="82"/>
      <c r="J336" s="77">
        <f t="shared" si="150"/>
        <v>2068.5</v>
      </c>
      <c r="K336" s="77">
        <f t="shared" si="120"/>
        <v>32931.5</v>
      </c>
      <c r="L336" s="77">
        <f t="shared" si="148"/>
        <v>0</v>
      </c>
      <c r="M336" s="77"/>
      <c r="N336" s="84">
        <v>25</v>
      </c>
      <c r="O336" s="107">
        <f t="shared" si="151"/>
        <v>2093.5</v>
      </c>
      <c r="P336" s="84">
        <f t="shared" si="145"/>
        <v>32906.5</v>
      </c>
      <c r="Q336" s="32"/>
    </row>
    <row r="337" spans="1:17" s="53" customFormat="1" ht="30" customHeight="1" x14ac:dyDescent="0.25">
      <c r="A337" s="80">
        <f t="shared" si="149"/>
        <v>187</v>
      </c>
      <c r="B337" s="108" t="s">
        <v>336</v>
      </c>
      <c r="C337" s="36" t="s">
        <v>421</v>
      </c>
      <c r="D337" s="108" t="s">
        <v>37</v>
      </c>
      <c r="E337" s="108" t="s">
        <v>122</v>
      </c>
      <c r="F337" s="110">
        <v>35000</v>
      </c>
      <c r="G337" s="82">
        <f>F337*2.87%</f>
        <v>1004.5</v>
      </c>
      <c r="H337" s="82">
        <f>+F337*3.04%</f>
        <v>1064</v>
      </c>
      <c r="I337" s="82"/>
      <c r="J337" s="77">
        <f t="shared" si="150"/>
        <v>2068.5</v>
      </c>
      <c r="K337" s="77">
        <f t="shared" ref="K337:K373" si="152">+F337-J337</f>
        <v>32931.5</v>
      </c>
      <c r="L337" s="77">
        <f t="shared" si="148"/>
        <v>0</v>
      </c>
      <c r="M337" s="77"/>
      <c r="N337" s="84">
        <v>125</v>
      </c>
      <c r="O337" s="107">
        <f t="shared" si="151"/>
        <v>2193.5</v>
      </c>
      <c r="P337" s="84">
        <f t="shared" si="145"/>
        <v>32806.5</v>
      </c>
      <c r="Q337" s="39"/>
    </row>
    <row r="338" spans="1:17" s="53" customFormat="1" ht="30" customHeight="1" x14ac:dyDescent="0.25">
      <c r="A338" s="80">
        <f t="shared" si="149"/>
        <v>188</v>
      </c>
      <c r="B338" s="108" t="s">
        <v>334</v>
      </c>
      <c r="C338" s="36" t="s">
        <v>421</v>
      </c>
      <c r="D338" s="126" t="s">
        <v>142</v>
      </c>
      <c r="E338" s="108" t="s">
        <v>229</v>
      </c>
      <c r="F338" s="110">
        <v>35000</v>
      </c>
      <c r="G338" s="82">
        <f t="shared" si="146"/>
        <v>1004.5</v>
      </c>
      <c r="H338" s="82">
        <f t="shared" si="147"/>
        <v>1064</v>
      </c>
      <c r="I338" s="82">
        <v>1577.45</v>
      </c>
      <c r="J338" s="77">
        <f t="shared" si="150"/>
        <v>3645.95</v>
      </c>
      <c r="K338" s="77">
        <f t="shared" si="152"/>
        <v>31354.05</v>
      </c>
      <c r="L338" s="77">
        <f t="shared" si="148"/>
        <v>0</v>
      </c>
      <c r="M338" s="77"/>
      <c r="N338" s="84">
        <v>125</v>
      </c>
      <c r="O338" s="107">
        <f t="shared" si="151"/>
        <v>3770.95</v>
      </c>
      <c r="P338" s="84">
        <f t="shared" si="145"/>
        <v>31229.05</v>
      </c>
      <c r="Q338" s="39"/>
    </row>
    <row r="339" spans="1:17" s="32" customFormat="1" ht="26.25" customHeight="1" x14ac:dyDescent="0.25">
      <c r="A339" s="80">
        <f t="shared" si="149"/>
        <v>189</v>
      </c>
      <c r="B339" s="108" t="s">
        <v>332</v>
      </c>
      <c r="C339" s="36" t="s">
        <v>421</v>
      </c>
      <c r="D339" s="108" t="s">
        <v>142</v>
      </c>
      <c r="E339" s="108" t="s">
        <v>229</v>
      </c>
      <c r="F339" s="110">
        <v>35000</v>
      </c>
      <c r="G339" s="82">
        <f>F339*2.87%</f>
        <v>1004.5</v>
      </c>
      <c r="H339" s="82">
        <f>+F339*3.04%</f>
        <v>1064</v>
      </c>
      <c r="I339" s="82"/>
      <c r="J339" s="77">
        <f t="shared" si="150"/>
        <v>2068.5</v>
      </c>
      <c r="K339" s="77">
        <f t="shared" si="152"/>
        <v>32931.5</v>
      </c>
      <c r="L339" s="77">
        <f t="shared" si="148"/>
        <v>0</v>
      </c>
      <c r="M339" s="77"/>
      <c r="N339" s="84">
        <v>125</v>
      </c>
      <c r="O339" s="107">
        <f t="shared" si="151"/>
        <v>2193.5</v>
      </c>
      <c r="P339" s="84">
        <f t="shared" si="145"/>
        <v>32806.5</v>
      </c>
    </row>
    <row r="340" spans="1:17" s="32" customFormat="1" ht="26.25" customHeight="1" x14ac:dyDescent="0.25">
      <c r="A340" s="80">
        <f t="shared" si="149"/>
        <v>190</v>
      </c>
      <c r="B340" s="108" t="s">
        <v>38</v>
      </c>
      <c r="C340" s="36" t="s">
        <v>421</v>
      </c>
      <c r="D340" s="108" t="s">
        <v>37</v>
      </c>
      <c r="E340" s="108" t="s">
        <v>122</v>
      </c>
      <c r="F340" s="110">
        <v>30000</v>
      </c>
      <c r="G340" s="82">
        <f t="shared" si="146"/>
        <v>861</v>
      </c>
      <c r="H340" s="82">
        <f t="shared" si="147"/>
        <v>912</v>
      </c>
      <c r="I340" s="82"/>
      <c r="J340" s="77">
        <f t="shared" si="150"/>
        <v>1773</v>
      </c>
      <c r="K340" s="77">
        <f t="shared" si="152"/>
        <v>28227</v>
      </c>
      <c r="L340" s="77">
        <f t="shared" si="148"/>
        <v>0</v>
      </c>
      <c r="M340" s="77"/>
      <c r="N340" s="84">
        <v>25</v>
      </c>
      <c r="O340" s="107">
        <f t="shared" si="151"/>
        <v>1798</v>
      </c>
      <c r="P340" s="84">
        <f t="shared" si="145"/>
        <v>28202</v>
      </c>
    </row>
    <row r="341" spans="1:17" s="32" customFormat="1" ht="26.25" customHeight="1" x14ac:dyDescent="0.25">
      <c r="A341" s="80">
        <f t="shared" si="149"/>
        <v>191</v>
      </c>
      <c r="B341" s="108" t="s">
        <v>335</v>
      </c>
      <c r="C341" s="36" t="s">
        <v>421</v>
      </c>
      <c r="D341" s="126" t="s">
        <v>136</v>
      </c>
      <c r="E341" s="81" t="s">
        <v>229</v>
      </c>
      <c r="F341" s="82">
        <v>35000</v>
      </c>
      <c r="G341" s="82">
        <f>F341*2.87%</f>
        <v>1004.5</v>
      </c>
      <c r="H341" s="82">
        <f>+F341*3.04%</f>
        <v>1064</v>
      </c>
      <c r="I341" s="82"/>
      <c r="J341" s="77">
        <f t="shared" si="150"/>
        <v>2068.5</v>
      </c>
      <c r="K341" s="77">
        <f t="shared" si="152"/>
        <v>32931.5</v>
      </c>
      <c r="L341" s="77">
        <f t="shared" si="148"/>
        <v>0</v>
      </c>
      <c r="M341" s="77"/>
      <c r="N341" s="84">
        <v>25</v>
      </c>
      <c r="O341" s="107">
        <f t="shared" si="151"/>
        <v>2093.5</v>
      </c>
      <c r="P341" s="84">
        <f t="shared" si="145"/>
        <v>32906.5</v>
      </c>
    </row>
    <row r="342" spans="1:17" s="32" customFormat="1" ht="26.25" customHeight="1" x14ac:dyDescent="0.25">
      <c r="A342" s="80">
        <f t="shared" si="149"/>
        <v>192</v>
      </c>
      <c r="B342" s="108" t="s">
        <v>475</v>
      </c>
      <c r="C342" s="36" t="s">
        <v>421</v>
      </c>
      <c r="D342" s="126" t="s">
        <v>476</v>
      </c>
      <c r="E342" s="108" t="s">
        <v>229</v>
      </c>
      <c r="F342" s="110">
        <v>35000</v>
      </c>
      <c r="G342" s="110">
        <f t="shared" si="146"/>
        <v>1004.5</v>
      </c>
      <c r="H342" s="82">
        <f t="shared" si="147"/>
        <v>1064</v>
      </c>
      <c r="I342" s="82">
        <v>1577.45</v>
      </c>
      <c r="J342" s="77">
        <f t="shared" si="150"/>
        <v>3645.95</v>
      </c>
      <c r="K342" s="77">
        <f t="shared" si="152"/>
        <v>31354.05</v>
      </c>
      <c r="L342" s="77">
        <f t="shared" si="148"/>
        <v>0</v>
      </c>
      <c r="M342" s="77"/>
      <c r="N342" s="84">
        <v>3694.02</v>
      </c>
      <c r="O342" s="107">
        <f t="shared" si="151"/>
        <v>7339.97</v>
      </c>
      <c r="P342" s="84">
        <f t="shared" si="145"/>
        <v>27660.03</v>
      </c>
    </row>
    <row r="343" spans="1:17" s="32" customFormat="1" ht="26.25" customHeight="1" x14ac:dyDescent="0.25">
      <c r="A343" s="80">
        <f t="shared" si="149"/>
        <v>193</v>
      </c>
      <c r="B343" s="108" t="s">
        <v>338</v>
      </c>
      <c r="C343" s="36" t="s">
        <v>421</v>
      </c>
      <c r="D343" s="108" t="s">
        <v>98</v>
      </c>
      <c r="E343" s="108" t="s">
        <v>122</v>
      </c>
      <c r="F343" s="110">
        <v>28000</v>
      </c>
      <c r="G343" s="110">
        <f t="shared" si="146"/>
        <v>803.6</v>
      </c>
      <c r="H343" s="82">
        <f t="shared" si="147"/>
        <v>851.2</v>
      </c>
      <c r="I343" s="82"/>
      <c r="J343" s="77">
        <f t="shared" si="150"/>
        <v>1654.8000000000002</v>
      </c>
      <c r="K343" s="77">
        <f t="shared" si="152"/>
        <v>26345.200000000001</v>
      </c>
      <c r="L343" s="77">
        <f t="shared" si="148"/>
        <v>0</v>
      </c>
      <c r="M343" s="77"/>
      <c r="N343" s="84">
        <v>65</v>
      </c>
      <c r="O343" s="107">
        <f t="shared" si="151"/>
        <v>1719.8000000000002</v>
      </c>
      <c r="P343" s="84">
        <f t="shared" si="145"/>
        <v>26280.2</v>
      </c>
    </row>
    <row r="344" spans="1:17" s="32" customFormat="1" ht="26.25" customHeight="1" x14ac:dyDescent="0.25">
      <c r="A344" s="80">
        <f t="shared" si="149"/>
        <v>194</v>
      </c>
      <c r="B344" s="108" t="s">
        <v>543</v>
      </c>
      <c r="C344" s="36" t="s">
        <v>421</v>
      </c>
      <c r="D344" s="108" t="s">
        <v>136</v>
      </c>
      <c r="E344" s="108" t="s">
        <v>229</v>
      </c>
      <c r="F344" s="110">
        <v>35000</v>
      </c>
      <c r="G344" s="110">
        <f>F344*2.87%</f>
        <v>1004.5</v>
      </c>
      <c r="H344" s="82">
        <f t="shared" si="147"/>
        <v>1064</v>
      </c>
      <c r="I344" s="82"/>
      <c r="J344" s="77">
        <f t="shared" si="150"/>
        <v>2068.5</v>
      </c>
      <c r="K344" s="77">
        <f t="shared" si="152"/>
        <v>32931.5</v>
      </c>
      <c r="L344" s="77">
        <f t="shared" si="148"/>
        <v>0</v>
      </c>
      <c r="M344" s="77"/>
      <c r="N344" s="84">
        <v>565</v>
      </c>
      <c r="O344" s="107">
        <f t="shared" si="151"/>
        <v>2633.5</v>
      </c>
      <c r="P344" s="84">
        <f t="shared" si="145"/>
        <v>32366.5</v>
      </c>
    </row>
    <row r="345" spans="1:17" s="32" customFormat="1" ht="26.25" customHeight="1" x14ac:dyDescent="0.25">
      <c r="A345" s="80">
        <f t="shared" si="149"/>
        <v>195</v>
      </c>
      <c r="B345" s="108" t="s">
        <v>605</v>
      </c>
      <c r="C345" s="36" t="s">
        <v>421</v>
      </c>
      <c r="D345" s="108" t="s">
        <v>136</v>
      </c>
      <c r="E345" s="108" t="s">
        <v>229</v>
      </c>
      <c r="F345" s="110">
        <v>35000</v>
      </c>
      <c r="G345" s="110">
        <f>F345*2.87%</f>
        <v>1004.5</v>
      </c>
      <c r="H345" s="82">
        <f t="shared" si="147"/>
        <v>1064</v>
      </c>
      <c r="I345" s="82"/>
      <c r="J345" s="77">
        <f t="shared" si="150"/>
        <v>2068.5</v>
      </c>
      <c r="K345" s="77">
        <f t="shared" si="152"/>
        <v>32931.5</v>
      </c>
      <c r="L345" s="77">
        <f t="shared" si="148"/>
        <v>0</v>
      </c>
      <c r="M345" s="77"/>
      <c r="N345" s="84">
        <v>525</v>
      </c>
      <c r="O345" s="107">
        <f t="shared" si="151"/>
        <v>2593.5</v>
      </c>
      <c r="P345" s="84">
        <f t="shared" si="145"/>
        <v>32406.5</v>
      </c>
    </row>
    <row r="346" spans="1:17" s="39" customFormat="1" ht="30" customHeight="1" x14ac:dyDescent="0.25">
      <c r="A346" s="208" t="s">
        <v>125</v>
      </c>
      <c r="B346" s="209"/>
      <c r="C346" s="209"/>
      <c r="D346" s="209"/>
      <c r="E346" s="210"/>
      <c r="F346" s="37">
        <f>SUM(F328:F345)</f>
        <v>658000</v>
      </c>
      <c r="G346" s="37">
        <f t="shared" ref="F346:N346" si="153">SUM(G328:G345)</f>
        <v>18884.599999999999</v>
      </c>
      <c r="H346" s="37">
        <f t="shared" si="153"/>
        <v>20003.2</v>
      </c>
      <c r="I346" s="37">
        <f t="shared" si="153"/>
        <v>4732.3500000000004</v>
      </c>
      <c r="J346" s="37">
        <f t="shared" si="153"/>
        <v>43620.15</v>
      </c>
      <c r="K346" s="37">
        <f t="shared" si="153"/>
        <v>614379.85</v>
      </c>
      <c r="L346" s="37">
        <f t="shared" si="153"/>
        <v>5119.3497499999994</v>
      </c>
      <c r="M346" s="37">
        <f t="shared" si="153"/>
        <v>0</v>
      </c>
      <c r="N346" s="37">
        <f t="shared" si="153"/>
        <v>12599.88</v>
      </c>
      <c r="O346" s="37">
        <f>SUM(O328:O345)</f>
        <v>61339.37975</v>
      </c>
      <c r="P346" s="37">
        <f>SUM(P328:P345)</f>
        <v>596660.62024999992</v>
      </c>
    </row>
    <row r="347" spans="1:17" s="53" customFormat="1" ht="30" customHeight="1" thickBot="1" x14ac:dyDescent="0.3">
      <c r="A347" s="50"/>
      <c r="B347" s="50"/>
      <c r="C347" s="50"/>
      <c r="D347" s="50"/>
      <c r="E347" s="50"/>
      <c r="F347" s="40"/>
      <c r="G347" s="40"/>
      <c r="H347" s="40"/>
      <c r="I347" s="40"/>
      <c r="J347" s="40"/>
      <c r="K347" s="40"/>
      <c r="L347" s="40"/>
      <c r="M347" s="40"/>
      <c r="N347" s="40"/>
      <c r="O347" s="40"/>
      <c r="P347" s="40"/>
      <c r="Q347" s="39"/>
    </row>
    <row r="348" spans="1:17" s="53" customFormat="1" ht="30" customHeight="1" thickBot="1" x14ac:dyDescent="0.3">
      <c r="A348" s="211" t="s">
        <v>447</v>
      </c>
      <c r="B348" s="212"/>
      <c r="C348" s="212"/>
      <c r="D348" s="212"/>
      <c r="E348" s="212"/>
      <c r="F348" s="212"/>
      <c r="G348" s="212"/>
      <c r="H348" s="212"/>
      <c r="I348" s="212"/>
      <c r="J348" s="212"/>
      <c r="K348" s="212"/>
      <c r="L348" s="212"/>
      <c r="M348" s="212"/>
      <c r="N348" s="212"/>
      <c r="O348" s="212"/>
      <c r="P348" s="212"/>
      <c r="Q348" s="39"/>
    </row>
    <row r="349" spans="1:17" s="53" customFormat="1" ht="30" customHeight="1" x14ac:dyDescent="0.25">
      <c r="A349" s="75">
        <f>+A345+1</f>
        <v>196</v>
      </c>
      <c r="B349" s="108" t="s">
        <v>402</v>
      </c>
      <c r="C349" s="36" t="s">
        <v>422</v>
      </c>
      <c r="D349" s="108" t="s">
        <v>226</v>
      </c>
      <c r="E349" s="108" t="s">
        <v>122</v>
      </c>
      <c r="F349" s="110">
        <v>70000</v>
      </c>
      <c r="G349" s="82">
        <f t="shared" ref="G349" si="154">F349*2.87%</f>
        <v>2009</v>
      </c>
      <c r="H349" s="82">
        <f t="shared" ref="H349" si="155">+F349*3.04%</f>
        <v>2128</v>
      </c>
      <c r="I349" s="82">
        <v>1577.45</v>
      </c>
      <c r="J349" s="77">
        <f t="shared" si="150"/>
        <v>5714.45</v>
      </c>
      <c r="K349" s="77">
        <f t="shared" si="152"/>
        <v>64285.55</v>
      </c>
      <c r="L349" s="77">
        <f>+IF(K349*12&lt;=416220.01,0,IF(K349*12&lt;=624329.01,(((K349*12-416220.01)*0.15)/12),IF((K349*12&lt;=867123.01),(31216+0.2*(K349*12-624329.01))/12,((79776+0.25*(K349*12-867123.01))/12))))-M349</f>
        <v>5052.9598333333352</v>
      </c>
      <c r="M349" s="77"/>
      <c r="N349" s="84">
        <v>25</v>
      </c>
      <c r="O349" s="107">
        <f>+N349+I349+H349+G349+L349</f>
        <v>10792.409833333335</v>
      </c>
      <c r="P349" s="84">
        <f>+F349-O349</f>
        <v>59207.590166666661</v>
      </c>
      <c r="Q349" s="39"/>
    </row>
    <row r="350" spans="1:17" s="53" customFormat="1" ht="30" customHeight="1" x14ac:dyDescent="0.25">
      <c r="A350" s="75">
        <f>+A349+1</f>
        <v>197</v>
      </c>
      <c r="B350" s="108" t="s">
        <v>674</v>
      </c>
      <c r="C350" s="36" t="s">
        <v>421</v>
      </c>
      <c r="D350" s="108" t="s">
        <v>675</v>
      </c>
      <c r="E350" s="108" t="s">
        <v>198</v>
      </c>
      <c r="F350" s="110">
        <v>35000</v>
      </c>
      <c r="G350" s="82">
        <f t="shared" ref="G350" si="156">F350*2.87%</f>
        <v>1004.5</v>
      </c>
      <c r="H350" s="82">
        <f t="shared" ref="H350" si="157">+F350*3.04%</f>
        <v>1064</v>
      </c>
      <c r="I350" s="82"/>
      <c r="J350" s="77">
        <f t="shared" si="150"/>
        <v>2068.5</v>
      </c>
      <c r="K350" s="77">
        <f t="shared" si="152"/>
        <v>32931.5</v>
      </c>
      <c r="L350" s="77">
        <f>+IF(K350*12&lt;=416220.01,0,IF(K350*12&lt;=624329.01,(((K350*12-416220.01)*0.15)/12),IF((K350*12&lt;=867123.01),(31216+0.2*(K350*12-624329.01))/12,((79776+0.25*(K350*12-867123.01))/12))))-M350</f>
        <v>0</v>
      </c>
      <c r="M350" s="77"/>
      <c r="N350" s="84">
        <v>25</v>
      </c>
      <c r="O350" s="107">
        <f>+N350+I350+H350+G350+L350</f>
        <v>2093.5</v>
      </c>
      <c r="P350" s="84">
        <f>+F350-O350</f>
        <v>32906.5</v>
      </c>
      <c r="Q350" s="39"/>
    </row>
    <row r="351" spans="1:17" s="39" customFormat="1" ht="22.5" customHeight="1" x14ac:dyDescent="0.25">
      <c r="A351" s="208" t="s">
        <v>125</v>
      </c>
      <c r="B351" s="209"/>
      <c r="C351" s="209"/>
      <c r="D351" s="209"/>
      <c r="E351" s="210"/>
      <c r="F351" s="37">
        <f>SUM(F349:F350)</f>
        <v>105000</v>
      </c>
      <c r="G351" s="37">
        <f t="shared" ref="G351:P351" si="158">SUM(G349:G350)</f>
        <v>3013.5</v>
      </c>
      <c r="H351" s="37">
        <f t="shared" si="158"/>
        <v>3192</v>
      </c>
      <c r="I351" s="37">
        <f t="shared" si="158"/>
        <v>1577.45</v>
      </c>
      <c r="J351" s="37">
        <f t="shared" si="158"/>
        <v>7782.95</v>
      </c>
      <c r="K351" s="37">
        <f t="shared" si="158"/>
        <v>97217.05</v>
      </c>
      <c r="L351" s="37">
        <f t="shared" si="158"/>
        <v>5052.9598333333352</v>
      </c>
      <c r="M351" s="37">
        <f t="shared" si="158"/>
        <v>0</v>
      </c>
      <c r="N351" s="37">
        <f t="shared" si="158"/>
        <v>50</v>
      </c>
      <c r="O351" s="37">
        <f t="shared" si="158"/>
        <v>12885.909833333335</v>
      </c>
      <c r="P351" s="37">
        <f t="shared" si="158"/>
        <v>92114.090166666661</v>
      </c>
    </row>
    <row r="352" spans="1:17" s="39" customFormat="1" ht="17.25" customHeight="1" thickBot="1" x14ac:dyDescent="0.3">
      <c r="A352" s="50"/>
      <c r="B352" s="50"/>
      <c r="C352" s="50"/>
      <c r="D352" s="50"/>
      <c r="E352" s="50"/>
      <c r="F352"/>
      <c r="G352"/>
      <c r="H352"/>
      <c r="I352"/>
      <c r="J352"/>
      <c r="K352"/>
      <c r="L352"/>
      <c r="M352"/>
      <c r="N352"/>
      <c r="O352"/>
      <c r="P352"/>
    </row>
    <row r="353" spans="1:17" s="53" customFormat="1" ht="27.75" customHeight="1" thickBot="1" x14ac:dyDescent="0.3">
      <c r="A353" s="211" t="s">
        <v>339</v>
      </c>
      <c r="B353" s="212"/>
      <c r="C353" s="212"/>
      <c r="D353" s="212"/>
      <c r="E353" s="212"/>
      <c r="F353" s="212"/>
      <c r="G353" s="212"/>
      <c r="H353" s="212"/>
      <c r="I353" s="212"/>
      <c r="J353" s="212"/>
      <c r="K353" s="212"/>
      <c r="L353" s="212"/>
      <c r="M353" s="212"/>
      <c r="N353" s="212"/>
      <c r="O353" s="212"/>
      <c r="P353" s="212"/>
      <c r="Q353" s="39"/>
    </row>
    <row r="354" spans="1:17" s="39" customFormat="1" ht="23.25" customHeight="1" x14ac:dyDescent="0.25">
      <c r="A354" s="75">
        <f>+A350+1</f>
        <v>198</v>
      </c>
      <c r="B354" s="112" t="s">
        <v>340</v>
      </c>
      <c r="C354" s="122" t="s">
        <v>422</v>
      </c>
      <c r="D354" s="112" t="s">
        <v>341</v>
      </c>
      <c r="E354" s="108" t="s">
        <v>121</v>
      </c>
      <c r="F354" s="107">
        <v>135000</v>
      </c>
      <c r="G354" s="77">
        <f>F354*2.87%</f>
        <v>3874.5</v>
      </c>
      <c r="H354" s="77">
        <f>+F354*3.04%</f>
        <v>4104</v>
      </c>
      <c r="I354" s="77"/>
      <c r="J354" s="77">
        <f t="shared" si="150"/>
        <v>7978.5</v>
      </c>
      <c r="K354" s="77">
        <f t="shared" si="152"/>
        <v>127021.5</v>
      </c>
      <c r="L354" s="77">
        <f>+IF(K354*12&lt;=416220.01,0,IF(K354*12&lt;=624329.01,(((K354*12-416220.01)*0.15)/12),IF((K354*12&lt;=867123.01),(31216+0.2*(K354*12-624329.01))/12,((79776+0.25*(K354*12-867123.01))/12))))-M354</f>
        <v>20338.312291666665</v>
      </c>
      <c r="M354" s="77"/>
      <c r="N354" s="84">
        <v>125</v>
      </c>
      <c r="O354" s="107">
        <f t="shared" si="151"/>
        <v>28441.812291666665</v>
      </c>
      <c r="P354" s="84">
        <f>+F354-O354</f>
        <v>106558.18770833334</v>
      </c>
    </row>
    <row r="355" spans="1:17" s="39" customFormat="1" ht="24.95" customHeight="1" x14ac:dyDescent="0.25">
      <c r="A355" s="208" t="s">
        <v>125</v>
      </c>
      <c r="B355" s="209"/>
      <c r="C355" s="209"/>
      <c r="D355" s="209"/>
      <c r="E355" s="210"/>
      <c r="F355" s="37">
        <f>SUM(F354:F354)</f>
        <v>135000</v>
      </c>
      <c r="G355" s="37">
        <f t="shared" ref="F355:P355" si="159">SUM(G354:G354)</f>
        <v>3874.5</v>
      </c>
      <c r="H355" s="37">
        <f t="shared" si="159"/>
        <v>4104</v>
      </c>
      <c r="I355" s="37">
        <f t="shared" si="159"/>
        <v>0</v>
      </c>
      <c r="J355" s="37">
        <f t="shared" si="159"/>
        <v>7978.5</v>
      </c>
      <c r="K355" s="37">
        <f t="shared" si="159"/>
        <v>127021.5</v>
      </c>
      <c r="L355" s="37">
        <f t="shared" si="159"/>
        <v>20338.312291666665</v>
      </c>
      <c r="M355" s="37">
        <f t="shared" si="159"/>
        <v>0</v>
      </c>
      <c r="N355" s="37">
        <f t="shared" si="159"/>
        <v>125</v>
      </c>
      <c r="O355" s="37">
        <f t="shared" si="159"/>
        <v>28441.812291666665</v>
      </c>
      <c r="P355" s="37">
        <f t="shared" si="159"/>
        <v>106558.18770833334</v>
      </c>
    </row>
    <row r="356" spans="1:17" s="53" customFormat="1" ht="30" customHeight="1" thickBot="1" x14ac:dyDescent="0.3">
      <c r="A356" s="50"/>
      <c r="B356" s="50"/>
      <c r="C356" s="50"/>
      <c r="D356" s="50"/>
      <c r="E356" s="50"/>
      <c r="F356" s="40"/>
      <c r="G356" s="40"/>
      <c r="H356" s="40"/>
      <c r="I356" s="40"/>
      <c r="J356" s="40"/>
      <c r="K356" s="40"/>
      <c r="L356" s="40"/>
      <c r="M356" s="40"/>
      <c r="N356" s="40"/>
      <c r="O356" s="40"/>
      <c r="P356" s="40"/>
      <c r="Q356" s="39"/>
    </row>
    <row r="357" spans="1:17" s="53" customFormat="1" ht="30" customHeight="1" thickBot="1" x14ac:dyDescent="0.3">
      <c r="A357" s="211" t="s">
        <v>207</v>
      </c>
      <c r="B357" s="212"/>
      <c r="C357" s="212"/>
      <c r="D357" s="212"/>
      <c r="E357" s="212"/>
      <c r="F357" s="212"/>
      <c r="G357" s="212"/>
      <c r="H357" s="212"/>
      <c r="I357" s="212"/>
      <c r="J357" s="212"/>
      <c r="K357" s="212"/>
      <c r="L357" s="212"/>
      <c r="M357" s="212"/>
      <c r="N357" s="212"/>
      <c r="O357" s="212"/>
      <c r="P357" s="212"/>
      <c r="Q357" s="39"/>
    </row>
    <row r="358" spans="1:17" s="39" customFormat="1" ht="22.5" customHeight="1" x14ac:dyDescent="0.25">
      <c r="A358" s="80">
        <f>+A354+1</f>
        <v>199</v>
      </c>
      <c r="B358" s="108" t="s">
        <v>342</v>
      </c>
      <c r="C358" s="36" t="s">
        <v>421</v>
      </c>
      <c r="D358" s="108" t="s">
        <v>22</v>
      </c>
      <c r="E358" s="108" t="s">
        <v>122</v>
      </c>
      <c r="F358" s="110">
        <v>40000</v>
      </c>
      <c r="G358" s="110">
        <f>F358*2.87%</f>
        <v>1148</v>
      </c>
      <c r="H358" s="82">
        <f>+F358*3.04%</f>
        <v>1216</v>
      </c>
      <c r="I358" s="82">
        <v>1577.45</v>
      </c>
      <c r="J358" s="77">
        <f t="shared" si="150"/>
        <v>3941.45</v>
      </c>
      <c r="K358" s="77">
        <f t="shared" si="152"/>
        <v>36058.550000000003</v>
      </c>
      <c r="L358" s="77">
        <f>+IF(K358*12&lt;=416220.01,0,IF(K358*12&lt;=624329.01,(((K358*12-416220.01)*0.15)/12),IF((K358*12&lt;=867123.01),(31216+0.2*(K358*12-624329.01))/12,((79776+0.25*(K358*12-867123.01))/12))))-M358</f>
        <v>206.03237500000031</v>
      </c>
      <c r="M358" s="77"/>
      <c r="N358" s="84">
        <v>125</v>
      </c>
      <c r="O358" s="107">
        <f t="shared" si="151"/>
        <v>4272.4823750000005</v>
      </c>
      <c r="P358" s="84">
        <f>+F358-O358</f>
        <v>35727.517625</v>
      </c>
    </row>
    <row r="359" spans="1:17" s="39" customFormat="1" ht="22.5" customHeight="1" x14ac:dyDescent="0.25">
      <c r="A359" s="208" t="s">
        <v>125</v>
      </c>
      <c r="B359" s="209"/>
      <c r="C359" s="209"/>
      <c r="D359" s="209"/>
      <c r="E359" s="210"/>
      <c r="F359" s="37">
        <f>SUM(F358:F358)</f>
        <v>40000</v>
      </c>
      <c r="G359" s="37">
        <f t="shared" ref="G359:P359" si="160">SUM(G358:G358)</f>
        <v>1148</v>
      </c>
      <c r="H359" s="37">
        <f t="shared" si="160"/>
        <v>1216</v>
      </c>
      <c r="I359" s="37">
        <f t="shared" si="160"/>
        <v>1577.45</v>
      </c>
      <c r="J359" s="37">
        <f t="shared" si="160"/>
        <v>3941.45</v>
      </c>
      <c r="K359" s="37">
        <f t="shared" si="160"/>
        <v>36058.550000000003</v>
      </c>
      <c r="L359" s="37">
        <f t="shared" si="160"/>
        <v>206.03237500000031</v>
      </c>
      <c r="M359" s="37">
        <f t="shared" si="160"/>
        <v>0</v>
      </c>
      <c r="N359" s="37">
        <f t="shared" si="160"/>
        <v>125</v>
      </c>
      <c r="O359" s="37">
        <f t="shared" si="160"/>
        <v>4272.4823750000005</v>
      </c>
      <c r="P359" s="37">
        <f t="shared" si="160"/>
        <v>35727.517625</v>
      </c>
    </row>
    <row r="360" spans="1:17" s="39" customFormat="1" ht="22.5" customHeight="1" thickBot="1" x14ac:dyDescent="0.3">
      <c r="A360" s="50"/>
      <c r="B360" s="50"/>
      <c r="C360" s="50"/>
      <c r="D360" s="50"/>
      <c r="E360" s="50"/>
      <c r="F360" s="40"/>
      <c r="G360" s="40"/>
      <c r="H360" s="40"/>
      <c r="I360" s="40"/>
      <c r="J360" s="40"/>
      <c r="K360" s="40"/>
      <c r="L360" s="40"/>
      <c r="M360" s="40"/>
      <c r="N360" s="40"/>
      <c r="O360" s="40"/>
      <c r="P360" s="40"/>
    </row>
    <row r="361" spans="1:17" s="39" customFormat="1" ht="29.25" customHeight="1" thickBot="1" x14ac:dyDescent="0.3">
      <c r="A361" s="211" t="s">
        <v>208</v>
      </c>
      <c r="B361" s="212"/>
      <c r="C361" s="212"/>
      <c r="D361" s="212"/>
      <c r="E361" s="212"/>
      <c r="F361" s="212"/>
      <c r="G361" s="212"/>
      <c r="H361" s="212"/>
      <c r="I361" s="212"/>
      <c r="J361" s="212"/>
      <c r="K361" s="212"/>
      <c r="L361" s="212"/>
      <c r="M361" s="212"/>
      <c r="N361" s="212"/>
      <c r="O361" s="212"/>
      <c r="P361" s="212"/>
    </row>
    <row r="362" spans="1:17" s="39" customFormat="1" ht="29.25" customHeight="1" x14ac:dyDescent="0.25">
      <c r="A362" s="80">
        <f>+A358+1</f>
        <v>200</v>
      </c>
      <c r="B362" s="108" t="s">
        <v>84</v>
      </c>
      <c r="C362" s="36" t="s">
        <v>421</v>
      </c>
      <c r="D362" s="108" t="s">
        <v>105</v>
      </c>
      <c r="E362" s="108" t="s">
        <v>121</v>
      </c>
      <c r="F362" s="110">
        <v>60000</v>
      </c>
      <c r="G362" s="82">
        <f>F362*2.87%</f>
        <v>1722</v>
      </c>
      <c r="H362" s="82">
        <f>+F362*3.04%</f>
        <v>1824</v>
      </c>
      <c r="I362" s="82">
        <v>1577.45</v>
      </c>
      <c r="J362" s="77">
        <f t="shared" si="150"/>
        <v>5123.45</v>
      </c>
      <c r="K362" s="77">
        <f t="shared" si="152"/>
        <v>54876.55</v>
      </c>
      <c r="L362" s="77">
        <f>+IF(K362*12&lt;=416220.01,0,IF(K362*12&lt;=624329.01,(((K362*12-416220.01)*0.15)/12),IF((K362*12&lt;=867123.01),(31216+0.2*(K362*12-624329.01))/12,((79776+0.25*(K362*12-867123.01))/12))))-M362</f>
        <v>3171.159833333335</v>
      </c>
      <c r="M362" s="77"/>
      <c r="N362" s="84">
        <v>25</v>
      </c>
      <c r="O362" s="107">
        <f t="shared" si="151"/>
        <v>8319.6098333333357</v>
      </c>
      <c r="P362" s="84">
        <f>+F362-O362</f>
        <v>51680.390166666664</v>
      </c>
    </row>
    <row r="363" spans="1:17" s="39" customFormat="1" ht="30" customHeight="1" x14ac:dyDescent="0.25">
      <c r="A363" s="208" t="s">
        <v>125</v>
      </c>
      <c r="B363" s="209"/>
      <c r="C363" s="209"/>
      <c r="D363" s="209"/>
      <c r="E363" s="210"/>
      <c r="F363" s="37">
        <f>SUM(F362:F362)</f>
        <v>60000</v>
      </c>
      <c r="G363" s="37">
        <f t="shared" ref="G363:P363" si="161">SUM(G362:G362)</f>
        <v>1722</v>
      </c>
      <c r="H363" s="37">
        <f t="shared" si="161"/>
        <v>1824</v>
      </c>
      <c r="I363" s="37">
        <f t="shared" si="161"/>
        <v>1577.45</v>
      </c>
      <c r="J363" s="37">
        <f t="shared" si="161"/>
        <v>5123.45</v>
      </c>
      <c r="K363" s="37">
        <f t="shared" si="161"/>
        <v>54876.55</v>
      </c>
      <c r="L363" s="37">
        <f t="shared" si="161"/>
        <v>3171.159833333335</v>
      </c>
      <c r="M363" s="37">
        <f t="shared" si="161"/>
        <v>0</v>
      </c>
      <c r="N363" s="37">
        <f t="shared" si="161"/>
        <v>25</v>
      </c>
      <c r="O363" s="37">
        <f t="shared" si="161"/>
        <v>8319.6098333333357</v>
      </c>
      <c r="P363" s="37">
        <f t="shared" si="161"/>
        <v>51680.390166666664</v>
      </c>
    </row>
    <row r="364" spans="1:17" s="39" customFormat="1" ht="27.75" customHeight="1" thickBot="1" x14ac:dyDescent="0.3">
      <c r="A364" s="50"/>
      <c r="B364" s="50"/>
      <c r="C364" s="50"/>
      <c r="D364" s="50"/>
      <c r="E364" s="50"/>
      <c r="F364" s="40"/>
      <c r="G364" s="40"/>
      <c r="H364" s="40"/>
      <c r="I364" s="40"/>
      <c r="J364" s="40"/>
      <c r="K364" s="40"/>
      <c r="L364" s="40"/>
      <c r="M364" s="40"/>
      <c r="N364" s="40"/>
      <c r="O364" s="40"/>
      <c r="P364" s="40"/>
    </row>
    <row r="365" spans="1:17" s="39" customFormat="1" ht="27.75" customHeight="1" thickBot="1" x14ac:dyDescent="0.3">
      <c r="A365" s="211" t="s">
        <v>343</v>
      </c>
      <c r="B365" s="212"/>
      <c r="C365" s="212"/>
      <c r="D365" s="212"/>
      <c r="E365" s="212"/>
      <c r="F365" s="212"/>
      <c r="G365" s="212"/>
      <c r="H365" s="212"/>
      <c r="I365" s="212"/>
      <c r="J365" s="212"/>
      <c r="K365" s="212"/>
      <c r="L365" s="212"/>
      <c r="M365" s="212"/>
      <c r="N365" s="212"/>
      <c r="O365" s="212"/>
      <c r="P365" s="212"/>
    </row>
    <row r="366" spans="1:17" s="53" customFormat="1" ht="30" customHeight="1" x14ac:dyDescent="0.25">
      <c r="A366" s="80">
        <f>+A362+1</f>
        <v>201</v>
      </c>
      <c r="B366" s="108" t="s">
        <v>424</v>
      </c>
      <c r="C366" s="36" t="s">
        <v>421</v>
      </c>
      <c r="D366" s="113" t="s">
        <v>344</v>
      </c>
      <c r="E366" s="108" t="s">
        <v>229</v>
      </c>
      <c r="F366" s="110">
        <v>35000</v>
      </c>
      <c r="G366" s="82">
        <f>F366*2.87%</f>
        <v>1004.5</v>
      </c>
      <c r="H366" s="82">
        <f>+F366*3.04%</f>
        <v>1064</v>
      </c>
      <c r="I366" s="82"/>
      <c r="J366" s="77">
        <f t="shared" si="150"/>
        <v>2068.5</v>
      </c>
      <c r="K366" s="77">
        <f t="shared" si="152"/>
        <v>32931.5</v>
      </c>
      <c r="L366" s="77">
        <f t="shared" ref="L366:L373" si="162">+IF(K366*12&lt;=416220.01,0,IF(K366*12&lt;=624329.01,(((K366*12-416220.01)*0.15)/12),IF((K366*12&lt;=867123.01),(31216+0.2*(K366*12-624329.01))/12,((79776+0.25*(K366*12-867123.01))/12))))</f>
        <v>0</v>
      </c>
      <c r="M366" s="77"/>
      <c r="N366" s="84">
        <v>25</v>
      </c>
      <c r="O366" s="107">
        <f t="shared" si="151"/>
        <v>2093.5</v>
      </c>
      <c r="P366" s="78">
        <f>+F366-O366</f>
        <v>32906.5</v>
      </c>
      <c r="Q366" s="39"/>
    </row>
    <row r="367" spans="1:17" s="39" customFormat="1" ht="30" customHeight="1" x14ac:dyDescent="0.25">
      <c r="A367" s="80">
        <f>+A366+1</f>
        <v>202</v>
      </c>
      <c r="B367" s="108" t="s">
        <v>345</v>
      </c>
      <c r="C367" s="36" t="s">
        <v>421</v>
      </c>
      <c r="D367" s="108" t="s">
        <v>344</v>
      </c>
      <c r="E367" s="108" t="s">
        <v>229</v>
      </c>
      <c r="F367" s="110">
        <v>35000</v>
      </c>
      <c r="G367" s="82">
        <f t="shared" ref="G367:G368" si="163">F367*2.87%</f>
        <v>1004.5</v>
      </c>
      <c r="H367" s="82">
        <f t="shared" ref="H367:H368" si="164">+F367*3.04%</f>
        <v>1064</v>
      </c>
      <c r="I367" s="82"/>
      <c r="J367" s="77">
        <f t="shared" si="150"/>
        <v>2068.5</v>
      </c>
      <c r="K367" s="77">
        <f t="shared" si="152"/>
        <v>32931.5</v>
      </c>
      <c r="L367" s="77">
        <f t="shared" si="162"/>
        <v>0</v>
      </c>
      <c r="M367" s="77"/>
      <c r="N367" s="84">
        <v>7277.06</v>
      </c>
      <c r="O367" s="107">
        <f t="shared" si="151"/>
        <v>9345.5600000000013</v>
      </c>
      <c r="P367" s="84">
        <f>+F367-O367</f>
        <v>25654.44</v>
      </c>
    </row>
    <row r="368" spans="1:17" s="39" customFormat="1" ht="30" customHeight="1" x14ac:dyDescent="0.25">
      <c r="A368" s="80">
        <f>+A367+1</f>
        <v>203</v>
      </c>
      <c r="B368" s="108" t="s">
        <v>346</v>
      </c>
      <c r="C368" s="36" t="s">
        <v>421</v>
      </c>
      <c r="D368" s="108" t="s">
        <v>344</v>
      </c>
      <c r="E368" s="108" t="s">
        <v>229</v>
      </c>
      <c r="F368" s="110">
        <v>35000</v>
      </c>
      <c r="G368" s="82">
        <f t="shared" si="163"/>
        <v>1004.5</v>
      </c>
      <c r="H368" s="82">
        <f t="shared" si="164"/>
        <v>1064</v>
      </c>
      <c r="I368" s="82"/>
      <c r="J368" s="77">
        <f t="shared" si="150"/>
        <v>2068.5</v>
      </c>
      <c r="K368" s="77">
        <f t="shared" si="152"/>
        <v>32931.5</v>
      </c>
      <c r="L368" s="77">
        <f t="shared" si="162"/>
        <v>0</v>
      </c>
      <c r="M368" s="77"/>
      <c r="N368" s="84">
        <v>1025</v>
      </c>
      <c r="O368" s="107">
        <f t="shared" si="151"/>
        <v>3093.5</v>
      </c>
      <c r="P368" s="84">
        <f>+F368-O368</f>
        <v>31906.5</v>
      </c>
    </row>
    <row r="369" spans="1:17" s="39" customFormat="1" ht="27.75" customHeight="1" x14ac:dyDescent="0.25">
      <c r="A369" s="208" t="s">
        <v>125</v>
      </c>
      <c r="B369" s="209"/>
      <c r="C369" s="209"/>
      <c r="D369" s="209"/>
      <c r="E369" s="210"/>
      <c r="F369" s="37">
        <f>SUM(F366:F368)</f>
        <v>105000</v>
      </c>
      <c r="G369" s="37">
        <f t="shared" ref="F369:P369" si="165">SUM(G366:G368)</f>
        <v>3013.5</v>
      </c>
      <c r="H369" s="37">
        <f t="shared" si="165"/>
        <v>3192</v>
      </c>
      <c r="I369" s="37">
        <f t="shared" si="165"/>
        <v>0</v>
      </c>
      <c r="J369" s="37">
        <f t="shared" si="165"/>
        <v>6205.5</v>
      </c>
      <c r="K369" s="37">
        <f t="shared" si="165"/>
        <v>98794.5</v>
      </c>
      <c r="L369" s="37">
        <f t="shared" si="165"/>
        <v>0</v>
      </c>
      <c r="M369" s="37"/>
      <c r="N369" s="37">
        <f t="shared" si="165"/>
        <v>8327.0600000000013</v>
      </c>
      <c r="O369" s="37">
        <f t="shared" si="165"/>
        <v>14532.560000000001</v>
      </c>
      <c r="P369" s="37">
        <f t="shared" si="165"/>
        <v>90467.44</v>
      </c>
    </row>
    <row r="370" spans="1:17" s="39" customFormat="1" ht="30" customHeight="1" thickBot="1" x14ac:dyDescent="0.3">
      <c r="A370" s="50"/>
      <c r="B370" s="50"/>
      <c r="C370" s="50"/>
      <c r="D370" s="50"/>
      <c r="E370" s="50"/>
      <c r="F370" s="40"/>
      <c r="G370" s="40"/>
      <c r="H370" s="40"/>
      <c r="I370" s="40"/>
      <c r="J370" s="40"/>
      <c r="K370" s="40"/>
      <c r="L370" s="40"/>
      <c r="M370" s="40"/>
      <c r="N370" s="40"/>
      <c r="O370" s="40"/>
      <c r="P370" s="40"/>
    </row>
    <row r="371" spans="1:17" s="79" customFormat="1" ht="30" customHeight="1" thickBot="1" x14ac:dyDescent="0.3">
      <c r="A371" s="211" t="s">
        <v>210</v>
      </c>
      <c r="B371" s="212"/>
      <c r="C371" s="212"/>
      <c r="D371" s="212"/>
      <c r="E371" s="212"/>
      <c r="F371" s="212"/>
      <c r="G371" s="212"/>
      <c r="H371" s="212"/>
      <c r="I371" s="212"/>
      <c r="J371" s="212"/>
      <c r="K371" s="212"/>
      <c r="L371" s="212"/>
      <c r="M371" s="212"/>
      <c r="N371" s="212"/>
      <c r="O371" s="212"/>
      <c r="P371" s="212"/>
      <c r="Q371" s="32"/>
    </row>
    <row r="372" spans="1:17" s="79" customFormat="1" ht="30" customHeight="1" x14ac:dyDescent="0.25">
      <c r="A372" s="80">
        <f>+A368+1</f>
        <v>204</v>
      </c>
      <c r="B372" s="81" t="s">
        <v>209</v>
      </c>
      <c r="C372" s="80" t="s">
        <v>421</v>
      </c>
      <c r="D372" s="81" t="s">
        <v>211</v>
      </c>
      <c r="E372" s="81" t="s">
        <v>229</v>
      </c>
      <c r="F372" s="82">
        <v>28000</v>
      </c>
      <c r="G372" s="82">
        <f>F372*2.87%</f>
        <v>803.6</v>
      </c>
      <c r="H372" s="82">
        <f>+F372*3.04%</f>
        <v>851.2</v>
      </c>
      <c r="I372" s="82"/>
      <c r="J372" s="77">
        <f t="shared" si="150"/>
        <v>1654.8000000000002</v>
      </c>
      <c r="K372" s="77">
        <f t="shared" si="152"/>
        <v>26345.200000000001</v>
      </c>
      <c r="L372" s="77">
        <f t="shared" si="162"/>
        <v>0</v>
      </c>
      <c r="M372" s="77"/>
      <c r="N372" s="84">
        <v>25</v>
      </c>
      <c r="O372" s="107">
        <f t="shared" si="151"/>
        <v>1679.8000000000002</v>
      </c>
      <c r="P372" s="84">
        <f>+F372-O372</f>
        <v>26320.2</v>
      </c>
      <c r="Q372" s="32"/>
    </row>
    <row r="373" spans="1:17" s="79" customFormat="1" ht="30" customHeight="1" x14ac:dyDescent="0.25">
      <c r="A373" s="157">
        <f>+A372+1</f>
        <v>205</v>
      </c>
      <c r="B373" s="113" t="s">
        <v>481</v>
      </c>
      <c r="C373" s="36" t="s">
        <v>421</v>
      </c>
      <c r="D373" s="108" t="s">
        <v>211</v>
      </c>
      <c r="E373" s="108" t="s">
        <v>229</v>
      </c>
      <c r="F373" s="110">
        <v>28000</v>
      </c>
      <c r="G373" s="82">
        <f>F373*2.87%</f>
        <v>803.6</v>
      </c>
      <c r="H373" s="82">
        <f>+F373*3.04%</f>
        <v>851.2</v>
      </c>
      <c r="I373" s="82"/>
      <c r="J373" s="77">
        <f t="shared" si="150"/>
        <v>1654.8000000000002</v>
      </c>
      <c r="K373" s="77">
        <f t="shared" si="152"/>
        <v>26345.200000000001</v>
      </c>
      <c r="L373" s="77">
        <f t="shared" si="162"/>
        <v>0</v>
      </c>
      <c r="M373" s="77"/>
      <c r="N373" s="84">
        <v>1025</v>
      </c>
      <c r="O373" s="107">
        <f t="shared" si="151"/>
        <v>2679.8</v>
      </c>
      <c r="P373" s="84">
        <f>+F373-O373</f>
        <v>25320.2</v>
      </c>
      <c r="Q373" s="32"/>
    </row>
    <row r="374" spans="1:17" s="53" customFormat="1" ht="30" customHeight="1" x14ac:dyDescent="0.25">
      <c r="A374" s="208" t="s">
        <v>125</v>
      </c>
      <c r="B374" s="209"/>
      <c r="C374" s="209"/>
      <c r="D374" s="209"/>
      <c r="E374" s="210"/>
      <c r="F374" s="37">
        <f>SUM(F372:F373)</f>
        <v>56000</v>
      </c>
      <c r="G374" s="37">
        <f t="shared" ref="G374:P374" si="166">SUM(G372:G373)</f>
        <v>1607.2</v>
      </c>
      <c r="H374" s="37">
        <f t="shared" si="166"/>
        <v>1702.4</v>
      </c>
      <c r="I374" s="37">
        <f t="shared" si="166"/>
        <v>0</v>
      </c>
      <c r="J374" s="37">
        <f t="shared" si="166"/>
        <v>3309.6000000000004</v>
      </c>
      <c r="K374" s="37">
        <f t="shared" si="166"/>
        <v>52690.400000000001</v>
      </c>
      <c r="L374" s="37">
        <f t="shared" si="166"/>
        <v>0</v>
      </c>
      <c r="M374" s="37"/>
      <c r="N374" s="37">
        <f t="shared" si="166"/>
        <v>1050</v>
      </c>
      <c r="O374" s="37">
        <f t="shared" si="166"/>
        <v>4359.6000000000004</v>
      </c>
      <c r="P374" s="37">
        <f t="shared" si="166"/>
        <v>51640.4</v>
      </c>
      <c r="Q374" s="39"/>
    </row>
    <row r="375" spans="1:17" s="53" customFormat="1" ht="30" customHeight="1" thickBot="1" x14ac:dyDescent="0.3">
      <c r="A375" s="50"/>
      <c r="B375" s="50"/>
      <c r="C375" s="50"/>
      <c r="D375" s="50"/>
      <c r="E375" s="50"/>
      <c r="F375" s="40"/>
      <c r="G375" s="40"/>
      <c r="H375" s="40"/>
      <c r="I375" s="40"/>
      <c r="J375" s="40"/>
      <c r="K375" s="40"/>
      <c r="L375" s="40"/>
      <c r="M375" s="40"/>
      <c r="N375" s="40"/>
      <c r="O375" s="40"/>
      <c r="P375" s="40"/>
      <c r="Q375" s="39"/>
    </row>
    <row r="376" spans="1:17" s="53" customFormat="1" ht="30" customHeight="1" thickBot="1" x14ac:dyDescent="0.3">
      <c r="A376" s="211" t="s">
        <v>178</v>
      </c>
      <c r="B376" s="212"/>
      <c r="C376" s="212"/>
      <c r="D376" s="212"/>
      <c r="E376" s="212"/>
      <c r="F376" s="212"/>
      <c r="G376" s="212"/>
      <c r="H376" s="212"/>
      <c r="I376" s="212"/>
      <c r="J376" s="212"/>
      <c r="K376" s="212"/>
      <c r="L376" s="212"/>
      <c r="M376" s="212"/>
      <c r="N376" s="212"/>
      <c r="O376" s="212"/>
      <c r="P376" s="212"/>
      <c r="Q376" s="39"/>
    </row>
    <row r="377" spans="1:17" s="39" customFormat="1" ht="30" customHeight="1" x14ac:dyDescent="0.25">
      <c r="A377" s="75">
        <f>+A373+1</f>
        <v>206</v>
      </c>
      <c r="B377" s="112" t="s">
        <v>347</v>
      </c>
      <c r="C377" s="122" t="s">
        <v>422</v>
      </c>
      <c r="D377" s="123" t="s">
        <v>108</v>
      </c>
      <c r="E377" s="108" t="s">
        <v>122</v>
      </c>
      <c r="F377" s="107">
        <v>77000</v>
      </c>
      <c r="G377" s="77">
        <f t="shared" ref="G377:G397" si="167">F377*2.87%</f>
        <v>2209.9</v>
      </c>
      <c r="H377" s="77">
        <f>+F377*3.04%</f>
        <v>2340.8000000000002</v>
      </c>
      <c r="I377" s="77"/>
      <c r="J377" s="77">
        <f t="shared" si="150"/>
        <v>4550.7000000000007</v>
      </c>
      <c r="K377" s="77">
        <f>+F377-J377</f>
        <v>72449.3</v>
      </c>
      <c r="L377" s="107">
        <f>+IF(K377*12&lt;=416220.01,0,IF(K377*12&lt;=624329.01,(((K377*12-416220.01)*0.15)/12),IF((K377*12&lt;=867123.01),(31216+0.2*(K377*12-624329.01))/12,((79776+0.25*(K377*12-867123.01))/12))))-M377</f>
        <v>6695.2622916666687</v>
      </c>
      <c r="M377" s="107"/>
      <c r="N377" s="245">
        <v>3165</v>
      </c>
      <c r="O377" s="107">
        <f t="shared" si="151"/>
        <v>14410.96229166667</v>
      </c>
      <c r="P377" s="245">
        <f t="shared" ref="P377:P383" si="168">+F377-O377</f>
        <v>62589.03770833333</v>
      </c>
    </row>
    <row r="378" spans="1:17" s="53" customFormat="1" ht="30" customHeight="1" x14ac:dyDescent="0.25">
      <c r="A378" s="75">
        <f>+A377+1</f>
        <v>207</v>
      </c>
      <c r="B378" s="112" t="s">
        <v>592</v>
      </c>
      <c r="C378" s="122" t="s">
        <v>421</v>
      </c>
      <c r="D378" s="123" t="s">
        <v>26</v>
      </c>
      <c r="E378" s="108" t="s">
        <v>122</v>
      </c>
      <c r="F378" s="107">
        <v>35750</v>
      </c>
      <c r="G378" s="77">
        <f t="shared" ref="G378" si="169">F378*2.87%</f>
        <v>1026.0250000000001</v>
      </c>
      <c r="H378" s="77">
        <f>+F378*3.04%</f>
        <v>1086.8</v>
      </c>
      <c r="I378" s="77">
        <v>1577.45</v>
      </c>
      <c r="J378" s="77">
        <f t="shared" ref="J378" si="170">+G378+H378+I378</f>
        <v>3690.2749999999996</v>
      </c>
      <c r="K378" s="77">
        <f>+F378-J378</f>
        <v>32059.724999999999</v>
      </c>
      <c r="L378" s="107">
        <v>0</v>
      </c>
      <c r="M378" s="107"/>
      <c r="N378" s="245">
        <v>25</v>
      </c>
      <c r="O378" s="107">
        <f t="shared" ref="O378" si="171">+N378+I378+H378+G378+L378</f>
        <v>3715.2750000000001</v>
      </c>
      <c r="P378" s="245">
        <f t="shared" si="168"/>
        <v>32034.724999999999</v>
      </c>
      <c r="Q378" s="39"/>
    </row>
    <row r="379" spans="1:17" s="79" customFormat="1" ht="30" customHeight="1" x14ac:dyDescent="0.25">
      <c r="A379" s="75">
        <f>+A378+1</f>
        <v>208</v>
      </c>
      <c r="B379" s="108" t="s">
        <v>44</v>
      </c>
      <c r="C379" s="36" t="s">
        <v>422</v>
      </c>
      <c r="D379" s="126" t="s">
        <v>232</v>
      </c>
      <c r="E379" s="108" t="s">
        <v>122</v>
      </c>
      <c r="F379" s="110">
        <v>50000</v>
      </c>
      <c r="G379" s="82">
        <f t="shared" si="167"/>
        <v>1435</v>
      </c>
      <c r="H379" s="77">
        <f t="shared" ref="H379:H397" si="172">+F379*3.04%</f>
        <v>1520</v>
      </c>
      <c r="I379" s="77"/>
      <c r="J379" s="77">
        <f t="shared" si="150"/>
        <v>2955</v>
      </c>
      <c r="K379" s="77">
        <f t="shared" ref="K379:K397" si="173">+F379-J379</f>
        <v>47045</v>
      </c>
      <c r="L379" s="107">
        <f t="shared" ref="L379:L397" si="174">+IF(K379*12&lt;=416220.01,0,IF(K379*12&lt;=624329.01,(((K379*12-416220.01)*0.15)/12),IF((K379*12&lt;=867123.01),(31216+0.2*(K379*12-624329.01))/12,((79776+0.25*(K379*12-867123.01))/12))))-M379</f>
        <v>1853.9998749999997</v>
      </c>
      <c r="M379" s="107"/>
      <c r="N379" s="245">
        <v>4706.53</v>
      </c>
      <c r="O379" s="107">
        <f t="shared" si="151"/>
        <v>9515.5298750000002</v>
      </c>
      <c r="P379" s="245">
        <f t="shared" si="168"/>
        <v>40484.470125</v>
      </c>
      <c r="Q379" s="32"/>
    </row>
    <row r="380" spans="1:17" s="79" customFormat="1" ht="30" customHeight="1" x14ac:dyDescent="0.25">
      <c r="A380" s="75">
        <f>+A379+1</f>
        <v>209</v>
      </c>
      <c r="B380" s="108" t="s">
        <v>349</v>
      </c>
      <c r="C380" s="36" t="s">
        <v>421</v>
      </c>
      <c r="D380" s="108" t="s">
        <v>350</v>
      </c>
      <c r="E380" s="108" t="s">
        <v>122</v>
      </c>
      <c r="F380" s="110">
        <v>45000</v>
      </c>
      <c r="G380" s="82">
        <f t="shared" si="167"/>
        <v>1291.5</v>
      </c>
      <c r="H380" s="77">
        <f t="shared" si="172"/>
        <v>1368</v>
      </c>
      <c r="I380" s="77"/>
      <c r="J380" s="77">
        <f t="shared" si="150"/>
        <v>2659.5</v>
      </c>
      <c r="K380" s="77">
        <f t="shared" si="173"/>
        <v>42340.5</v>
      </c>
      <c r="L380" s="107">
        <f t="shared" si="174"/>
        <v>1148.3248749999998</v>
      </c>
      <c r="M380" s="107">
        <v>0</v>
      </c>
      <c r="N380" s="245">
        <v>14340.23</v>
      </c>
      <c r="O380" s="107">
        <f t="shared" si="151"/>
        <v>18148.054874999998</v>
      </c>
      <c r="P380" s="245">
        <f t="shared" si="168"/>
        <v>26851.945125000002</v>
      </c>
      <c r="Q380" s="32"/>
    </row>
    <row r="381" spans="1:17" s="79" customFormat="1" ht="30" customHeight="1" x14ac:dyDescent="0.25">
      <c r="A381" s="75">
        <f t="shared" ref="A381:A397" si="175">+A380+1</f>
        <v>210</v>
      </c>
      <c r="B381" s="108" t="s">
        <v>351</v>
      </c>
      <c r="C381" s="36" t="s">
        <v>421</v>
      </c>
      <c r="D381" s="108" t="s">
        <v>350</v>
      </c>
      <c r="E381" s="108" t="s">
        <v>122</v>
      </c>
      <c r="F381" s="110">
        <v>45000</v>
      </c>
      <c r="G381" s="82">
        <f t="shared" si="167"/>
        <v>1291.5</v>
      </c>
      <c r="H381" s="77">
        <f t="shared" si="172"/>
        <v>1368</v>
      </c>
      <c r="I381" s="77"/>
      <c r="J381" s="77">
        <f t="shared" si="150"/>
        <v>2659.5</v>
      </c>
      <c r="K381" s="77">
        <f t="shared" si="173"/>
        <v>42340.5</v>
      </c>
      <c r="L381" s="107">
        <f t="shared" si="174"/>
        <v>1148.3248749999998</v>
      </c>
      <c r="M381" s="107"/>
      <c r="N381" s="245">
        <v>6479.83</v>
      </c>
      <c r="O381" s="107">
        <f t="shared" si="151"/>
        <v>10287.654875</v>
      </c>
      <c r="P381" s="245">
        <f t="shared" si="168"/>
        <v>34712.345125</v>
      </c>
      <c r="Q381" s="32"/>
    </row>
    <row r="382" spans="1:17" s="79" customFormat="1" ht="30" customHeight="1" x14ac:dyDescent="0.25">
      <c r="A382" s="75">
        <f t="shared" si="175"/>
        <v>211</v>
      </c>
      <c r="B382" s="108" t="s">
        <v>8</v>
      </c>
      <c r="C382" s="36" t="s">
        <v>422</v>
      </c>
      <c r="D382" s="108" t="s">
        <v>352</v>
      </c>
      <c r="E382" s="108" t="s">
        <v>122</v>
      </c>
      <c r="F382" s="110">
        <v>45000</v>
      </c>
      <c r="G382" s="82">
        <f t="shared" si="167"/>
        <v>1291.5</v>
      </c>
      <c r="H382" s="77">
        <f t="shared" si="172"/>
        <v>1368</v>
      </c>
      <c r="I382" s="77">
        <v>1577.45</v>
      </c>
      <c r="J382" s="77">
        <f t="shared" si="150"/>
        <v>4236.95</v>
      </c>
      <c r="K382" s="77">
        <f t="shared" si="173"/>
        <v>40763.050000000003</v>
      </c>
      <c r="L382" s="107">
        <f t="shared" si="174"/>
        <v>911.7073750000003</v>
      </c>
      <c r="M382" s="107">
        <v>0</v>
      </c>
      <c r="N382" s="111">
        <v>125</v>
      </c>
      <c r="O382" s="107">
        <f t="shared" si="151"/>
        <v>5273.6573749999998</v>
      </c>
      <c r="P382" s="245">
        <f t="shared" si="168"/>
        <v>39726.342624999997</v>
      </c>
      <c r="Q382" s="32"/>
    </row>
    <row r="383" spans="1:17" s="79" customFormat="1" ht="30" customHeight="1" x14ac:dyDescent="0.25">
      <c r="A383" s="75">
        <f t="shared" si="175"/>
        <v>212</v>
      </c>
      <c r="B383" s="108" t="s">
        <v>43</v>
      </c>
      <c r="C383" s="36" t="s">
        <v>422</v>
      </c>
      <c r="D383" s="108" t="s">
        <v>352</v>
      </c>
      <c r="E383" s="108" t="s">
        <v>122</v>
      </c>
      <c r="F383" s="110">
        <v>45000</v>
      </c>
      <c r="G383" s="82">
        <f>F383*2.87%</f>
        <v>1291.5</v>
      </c>
      <c r="H383" s="77">
        <f t="shared" si="172"/>
        <v>1368</v>
      </c>
      <c r="I383" s="77">
        <v>1577.45</v>
      </c>
      <c r="J383" s="77">
        <f t="shared" si="150"/>
        <v>4236.95</v>
      </c>
      <c r="K383" s="77">
        <f t="shared" si="173"/>
        <v>40763.050000000003</v>
      </c>
      <c r="L383" s="107">
        <f t="shared" si="174"/>
        <v>911.7073750000003</v>
      </c>
      <c r="M383" s="107">
        <v>0</v>
      </c>
      <c r="N383" s="111">
        <v>575</v>
      </c>
      <c r="O383" s="107">
        <f t="shared" si="151"/>
        <v>5723.6573749999998</v>
      </c>
      <c r="P383" s="245">
        <f t="shared" si="168"/>
        <v>39276.342624999997</v>
      </c>
      <c r="Q383" s="32"/>
    </row>
    <row r="384" spans="1:17" s="53" customFormat="1" ht="30" customHeight="1" x14ac:dyDescent="0.25">
      <c r="A384" s="75">
        <f>+A383+1</f>
        <v>213</v>
      </c>
      <c r="B384" s="108" t="s">
        <v>359</v>
      </c>
      <c r="C384" s="36" t="s">
        <v>422</v>
      </c>
      <c r="D384" s="108" t="s">
        <v>350</v>
      </c>
      <c r="E384" s="108" t="s">
        <v>122</v>
      </c>
      <c r="F384" s="110">
        <v>45000</v>
      </c>
      <c r="G384" s="82">
        <f>F384*2.87%</f>
        <v>1291.5</v>
      </c>
      <c r="H384" s="77">
        <f t="shared" si="172"/>
        <v>1368</v>
      </c>
      <c r="I384" s="77"/>
      <c r="J384" s="77">
        <f t="shared" si="150"/>
        <v>2659.5</v>
      </c>
      <c r="K384" s="77">
        <f t="shared" si="173"/>
        <v>42340.5</v>
      </c>
      <c r="L384" s="107">
        <v>1148.32</v>
      </c>
      <c r="M384" s="107">
        <v>516.25</v>
      </c>
      <c r="N384" s="245">
        <v>575</v>
      </c>
      <c r="O384" s="107">
        <f t="shared" si="151"/>
        <v>4382.82</v>
      </c>
      <c r="P384" s="245">
        <f t="shared" ref="P384:P397" si="176">+F384-O384</f>
        <v>40617.18</v>
      </c>
      <c r="Q384" s="39"/>
    </row>
    <row r="385" spans="1:17" s="32" customFormat="1" ht="25.5" customHeight="1" x14ac:dyDescent="0.25">
      <c r="A385" s="75">
        <f t="shared" si="175"/>
        <v>214</v>
      </c>
      <c r="B385" s="108" t="s">
        <v>353</v>
      </c>
      <c r="C385" s="36" t="s">
        <v>421</v>
      </c>
      <c r="D385" s="108" t="s">
        <v>350</v>
      </c>
      <c r="E385" s="108" t="s">
        <v>122</v>
      </c>
      <c r="F385" s="110">
        <v>45000</v>
      </c>
      <c r="G385" s="82">
        <f t="shared" si="167"/>
        <v>1291.5</v>
      </c>
      <c r="H385" s="77">
        <f t="shared" si="172"/>
        <v>1368</v>
      </c>
      <c r="I385" s="77"/>
      <c r="J385" s="77">
        <f t="shared" si="150"/>
        <v>2659.5</v>
      </c>
      <c r="K385" s="77">
        <f t="shared" si="173"/>
        <v>42340.5</v>
      </c>
      <c r="L385" s="107">
        <f t="shared" si="174"/>
        <v>1148.3248749999998</v>
      </c>
      <c r="M385" s="107">
        <v>0</v>
      </c>
      <c r="N385" s="245">
        <v>9750.94</v>
      </c>
      <c r="O385" s="107">
        <f t="shared" si="151"/>
        <v>13558.764875000001</v>
      </c>
      <c r="P385" s="245">
        <f t="shared" si="176"/>
        <v>31441.235124999999</v>
      </c>
    </row>
    <row r="386" spans="1:17" s="79" customFormat="1" ht="30" customHeight="1" x14ac:dyDescent="0.25">
      <c r="A386" s="75">
        <f t="shared" si="175"/>
        <v>215</v>
      </c>
      <c r="B386" s="112" t="s">
        <v>355</v>
      </c>
      <c r="C386" s="122" t="s">
        <v>422</v>
      </c>
      <c r="D386" s="112" t="s">
        <v>350</v>
      </c>
      <c r="E386" s="112" t="s">
        <v>122</v>
      </c>
      <c r="F386" s="107">
        <v>45000</v>
      </c>
      <c r="G386" s="82">
        <f>F386*2.87%</f>
        <v>1291.5</v>
      </c>
      <c r="H386" s="77">
        <f t="shared" si="172"/>
        <v>1368</v>
      </c>
      <c r="I386" s="77">
        <v>3154.9</v>
      </c>
      <c r="J386" s="77">
        <f t="shared" si="150"/>
        <v>5814.4</v>
      </c>
      <c r="K386" s="77">
        <f t="shared" si="173"/>
        <v>39185.599999999999</v>
      </c>
      <c r="L386" s="107">
        <f t="shared" si="174"/>
        <v>-1.2500000070758688E-4</v>
      </c>
      <c r="M386" s="107">
        <v>675.09</v>
      </c>
      <c r="N386" s="111">
        <v>1165</v>
      </c>
      <c r="O386" s="107">
        <f t="shared" si="151"/>
        <v>6979.3998749999992</v>
      </c>
      <c r="P386" s="245">
        <f t="shared" si="176"/>
        <v>38020.600124999997</v>
      </c>
      <c r="Q386" s="32"/>
    </row>
    <row r="387" spans="1:17" s="79" customFormat="1" ht="30" customHeight="1" x14ac:dyDescent="0.25">
      <c r="A387" s="75">
        <f t="shared" si="175"/>
        <v>216</v>
      </c>
      <c r="B387" s="108" t="s">
        <v>356</v>
      </c>
      <c r="C387" s="36" t="s">
        <v>422</v>
      </c>
      <c r="D387" s="108" t="s">
        <v>350</v>
      </c>
      <c r="E387" s="108" t="s">
        <v>122</v>
      </c>
      <c r="F387" s="110">
        <v>45000</v>
      </c>
      <c r="G387" s="82">
        <f>F387*2.87%</f>
        <v>1291.5</v>
      </c>
      <c r="H387" s="77">
        <f t="shared" si="172"/>
        <v>1368</v>
      </c>
      <c r="I387" s="77">
        <v>1577.45</v>
      </c>
      <c r="J387" s="77">
        <f t="shared" si="150"/>
        <v>4236.95</v>
      </c>
      <c r="K387" s="77">
        <f t="shared" si="173"/>
        <v>40763.050000000003</v>
      </c>
      <c r="L387" s="107">
        <v>0</v>
      </c>
      <c r="M387" s="107">
        <v>911.71</v>
      </c>
      <c r="N387" s="245">
        <v>125</v>
      </c>
      <c r="O387" s="107">
        <f t="shared" si="151"/>
        <v>4361.95</v>
      </c>
      <c r="P387" s="245">
        <f t="shared" si="176"/>
        <v>40638.050000000003</v>
      </c>
      <c r="Q387" s="32"/>
    </row>
    <row r="388" spans="1:17" s="79" customFormat="1" ht="30" customHeight="1" x14ac:dyDescent="0.25">
      <c r="A388" s="75">
        <f t="shared" si="175"/>
        <v>217</v>
      </c>
      <c r="B388" s="108" t="s">
        <v>357</v>
      </c>
      <c r="C388" s="36" t="s">
        <v>422</v>
      </c>
      <c r="D388" s="108" t="s">
        <v>350</v>
      </c>
      <c r="E388" s="108" t="s">
        <v>122</v>
      </c>
      <c r="F388" s="110">
        <v>45000</v>
      </c>
      <c r="G388" s="82">
        <f>F388*2.87%</f>
        <v>1291.5</v>
      </c>
      <c r="H388" s="77">
        <f t="shared" si="172"/>
        <v>1368</v>
      </c>
      <c r="I388" s="77"/>
      <c r="J388" s="77">
        <f t="shared" si="150"/>
        <v>2659.5</v>
      </c>
      <c r="K388" s="77">
        <f t="shared" si="173"/>
        <v>42340.5</v>
      </c>
      <c r="L388" s="107">
        <v>1148.32</v>
      </c>
      <c r="M388" s="107">
        <v>408.46</v>
      </c>
      <c r="N388" s="245">
        <v>4897.2700000000004</v>
      </c>
      <c r="O388" s="107">
        <f t="shared" si="151"/>
        <v>8705.09</v>
      </c>
      <c r="P388" s="245">
        <f t="shared" si="176"/>
        <v>36294.910000000003</v>
      </c>
      <c r="Q388" s="32"/>
    </row>
    <row r="389" spans="1:17" s="79" customFormat="1" ht="30" customHeight="1" x14ac:dyDescent="0.25">
      <c r="A389" s="75">
        <f t="shared" si="175"/>
        <v>218</v>
      </c>
      <c r="B389" s="108" t="s">
        <v>42</v>
      </c>
      <c r="C389" s="36" t="s">
        <v>422</v>
      </c>
      <c r="D389" s="108" t="s">
        <v>350</v>
      </c>
      <c r="E389" s="108" t="s">
        <v>122</v>
      </c>
      <c r="F389" s="110">
        <v>45000</v>
      </c>
      <c r="G389" s="82">
        <f>F389*2.87%</f>
        <v>1291.5</v>
      </c>
      <c r="H389" s="77">
        <f t="shared" si="172"/>
        <v>1368</v>
      </c>
      <c r="I389" s="77">
        <v>1577.45</v>
      </c>
      <c r="J389" s="77">
        <f t="shared" si="150"/>
        <v>4236.95</v>
      </c>
      <c r="K389" s="77">
        <f t="shared" si="173"/>
        <v>40763.050000000003</v>
      </c>
      <c r="L389" s="107">
        <v>458.79</v>
      </c>
      <c r="M389" s="107">
        <v>911.71</v>
      </c>
      <c r="N389" s="245">
        <v>5125</v>
      </c>
      <c r="O389" s="107">
        <f t="shared" si="151"/>
        <v>9820.7400000000016</v>
      </c>
      <c r="P389" s="245">
        <f t="shared" si="176"/>
        <v>35179.259999999995</v>
      </c>
      <c r="Q389" s="32"/>
    </row>
    <row r="390" spans="1:17" s="79" customFormat="1" ht="30" customHeight="1" x14ac:dyDescent="0.25">
      <c r="A390" s="75">
        <f t="shared" si="175"/>
        <v>219</v>
      </c>
      <c r="B390" s="108" t="s">
        <v>23</v>
      </c>
      <c r="C390" s="36" t="s">
        <v>422</v>
      </c>
      <c r="D390" s="108" t="s">
        <v>350</v>
      </c>
      <c r="E390" s="108" t="s">
        <v>121</v>
      </c>
      <c r="F390" s="110">
        <v>40000</v>
      </c>
      <c r="G390" s="82">
        <f>F390*2.87%</f>
        <v>1148</v>
      </c>
      <c r="H390" s="77">
        <f t="shared" si="172"/>
        <v>1216</v>
      </c>
      <c r="I390" s="77">
        <v>1577.45</v>
      </c>
      <c r="J390" s="77">
        <f t="shared" si="150"/>
        <v>3941.45</v>
      </c>
      <c r="K390" s="77">
        <f t="shared" si="173"/>
        <v>36058.550000000003</v>
      </c>
      <c r="L390" s="107">
        <f t="shared" si="174"/>
        <v>206.03237500000031</v>
      </c>
      <c r="M390" s="107"/>
      <c r="N390" s="245">
        <v>19124.560000000001</v>
      </c>
      <c r="O390" s="107">
        <f t="shared" si="151"/>
        <v>23272.042375000001</v>
      </c>
      <c r="P390" s="245">
        <f t="shared" si="176"/>
        <v>16727.957624999999</v>
      </c>
      <c r="Q390" s="32"/>
    </row>
    <row r="391" spans="1:17" s="79" customFormat="1" ht="30" customHeight="1" x14ac:dyDescent="0.25">
      <c r="A391" s="75">
        <f>+A390+1</f>
        <v>220</v>
      </c>
      <c r="B391" s="108" t="s">
        <v>46</v>
      </c>
      <c r="C391" s="36" t="s">
        <v>422</v>
      </c>
      <c r="D391" s="108" t="s">
        <v>354</v>
      </c>
      <c r="E391" s="108" t="s">
        <v>122</v>
      </c>
      <c r="F391" s="125">
        <v>35000</v>
      </c>
      <c r="G391" s="82">
        <f t="shared" si="167"/>
        <v>1004.5</v>
      </c>
      <c r="H391" s="77">
        <f t="shared" si="172"/>
        <v>1064</v>
      </c>
      <c r="I391" s="77">
        <v>1577.45</v>
      </c>
      <c r="J391" s="77">
        <f t="shared" si="150"/>
        <v>3645.95</v>
      </c>
      <c r="K391" s="77">
        <f t="shared" si="173"/>
        <v>31354.05</v>
      </c>
      <c r="L391" s="107">
        <f t="shared" si="174"/>
        <v>0</v>
      </c>
      <c r="M391" s="107"/>
      <c r="N391" s="111">
        <v>125</v>
      </c>
      <c r="O391" s="107">
        <f t="shared" si="151"/>
        <v>3770.95</v>
      </c>
      <c r="P391" s="245">
        <f t="shared" si="176"/>
        <v>31229.05</v>
      </c>
      <c r="Q391" s="32"/>
    </row>
    <row r="392" spans="1:17" s="32" customFormat="1" ht="30" customHeight="1" x14ac:dyDescent="0.25">
      <c r="A392" s="75">
        <f t="shared" si="175"/>
        <v>221</v>
      </c>
      <c r="B392" s="108" t="s">
        <v>358</v>
      </c>
      <c r="C392" s="36" t="s">
        <v>422</v>
      </c>
      <c r="D392" s="108" t="s">
        <v>26</v>
      </c>
      <c r="E392" s="108" t="s">
        <v>122</v>
      </c>
      <c r="F392" s="110">
        <v>40000</v>
      </c>
      <c r="G392" s="82">
        <f t="shared" si="167"/>
        <v>1148</v>
      </c>
      <c r="H392" s="77">
        <f t="shared" si="172"/>
        <v>1216</v>
      </c>
      <c r="I392" s="77">
        <v>1577.45</v>
      </c>
      <c r="J392" s="77">
        <f t="shared" si="150"/>
        <v>3941.45</v>
      </c>
      <c r="K392" s="77">
        <f t="shared" si="173"/>
        <v>36058.550000000003</v>
      </c>
      <c r="L392" s="107">
        <f t="shared" si="174"/>
        <v>2.3750000003133209E-3</v>
      </c>
      <c r="M392" s="107">
        <v>206.03</v>
      </c>
      <c r="N392" s="245">
        <v>245</v>
      </c>
      <c r="O392" s="107">
        <f t="shared" si="151"/>
        <v>4186.4523749999998</v>
      </c>
      <c r="P392" s="245">
        <f t="shared" si="176"/>
        <v>35813.547624999999</v>
      </c>
    </row>
    <row r="393" spans="1:17" s="32" customFormat="1" ht="30" customHeight="1" x14ac:dyDescent="0.25">
      <c r="A393" s="75">
        <f t="shared" si="175"/>
        <v>222</v>
      </c>
      <c r="B393" s="113" t="s">
        <v>199</v>
      </c>
      <c r="C393" s="174" t="s">
        <v>421</v>
      </c>
      <c r="D393" s="108" t="s">
        <v>200</v>
      </c>
      <c r="E393" s="108" t="s">
        <v>229</v>
      </c>
      <c r="F393" s="110">
        <v>26000</v>
      </c>
      <c r="G393" s="82">
        <f>F393*2.87%</f>
        <v>746.2</v>
      </c>
      <c r="H393" s="77">
        <f t="shared" si="172"/>
        <v>790.4</v>
      </c>
      <c r="I393" s="77"/>
      <c r="J393" s="77">
        <f t="shared" si="150"/>
        <v>1536.6</v>
      </c>
      <c r="K393" s="77">
        <f t="shared" si="173"/>
        <v>24463.4</v>
      </c>
      <c r="L393" s="107">
        <f t="shared" si="174"/>
        <v>0</v>
      </c>
      <c r="M393" s="107"/>
      <c r="N393" s="245">
        <v>125</v>
      </c>
      <c r="O393" s="107">
        <f t="shared" si="151"/>
        <v>1661.6</v>
      </c>
      <c r="P393" s="245">
        <f t="shared" si="176"/>
        <v>24338.400000000001</v>
      </c>
    </row>
    <row r="394" spans="1:17" ht="36" customHeight="1" x14ac:dyDescent="0.25">
      <c r="A394" s="75">
        <f t="shared" si="175"/>
        <v>223</v>
      </c>
      <c r="B394" s="108" t="s">
        <v>360</v>
      </c>
      <c r="C394" s="36" t="s">
        <v>421</v>
      </c>
      <c r="D394" s="108" t="s">
        <v>99</v>
      </c>
      <c r="E394" s="108" t="s">
        <v>229</v>
      </c>
      <c r="F394" s="110">
        <v>23908.5</v>
      </c>
      <c r="G394" s="82">
        <f t="shared" si="167"/>
        <v>686.17394999999999</v>
      </c>
      <c r="H394" s="77">
        <f t="shared" si="172"/>
        <v>726.8184</v>
      </c>
      <c r="I394" s="77"/>
      <c r="J394" s="77">
        <f t="shared" ref="J394:J397" si="177">+G394+H394+I394</f>
        <v>1412.99235</v>
      </c>
      <c r="K394" s="77">
        <f t="shared" si="173"/>
        <v>22495.50765</v>
      </c>
      <c r="L394" s="107">
        <f t="shared" si="174"/>
        <v>0</v>
      </c>
      <c r="M394" s="107"/>
      <c r="N394" s="245">
        <v>3414.4</v>
      </c>
      <c r="O394" s="107">
        <f t="shared" si="151"/>
        <v>4827.3923500000001</v>
      </c>
      <c r="P394" s="245">
        <f t="shared" si="176"/>
        <v>19081.107649999998</v>
      </c>
    </row>
    <row r="395" spans="1:17" ht="36" customHeight="1" x14ac:dyDescent="0.25">
      <c r="A395" s="75">
        <f t="shared" si="175"/>
        <v>224</v>
      </c>
      <c r="B395" s="108" t="s">
        <v>45</v>
      </c>
      <c r="C395" s="36" t="s">
        <v>421</v>
      </c>
      <c r="D395" s="108" t="s">
        <v>99</v>
      </c>
      <c r="E395" s="108" t="s">
        <v>122</v>
      </c>
      <c r="F395" s="110">
        <v>23835</v>
      </c>
      <c r="G395" s="82">
        <f t="shared" si="167"/>
        <v>684.06449999999995</v>
      </c>
      <c r="H395" s="77">
        <f t="shared" si="172"/>
        <v>724.58399999999995</v>
      </c>
      <c r="I395" s="77"/>
      <c r="J395" s="77">
        <f t="shared" si="177"/>
        <v>1408.6484999999998</v>
      </c>
      <c r="K395" s="77">
        <f t="shared" si="173"/>
        <v>22426.351500000001</v>
      </c>
      <c r="L395" s="107">
        <f t="shared" si="174"/>
        <v>0</v>
      </c>
      <c r="M395" s="107"/>
      <c r="N395" s="245">
        <v>25</v>
      </c>
      <c r="O395" s="107">
        <f t="shared" si="151"/>
        <v>1433.6484999999998</v>
      </c>
      <c r="P395" s="245">
        <f t="shared" si="176"/>
        <v>22401.351500000001</v>
      </c>
    </row>
    <row r="396" spans="1:17" ht="30" customHeight="1" x14ac:dyDescent="0.25">
      <c r="A396" s="75">
        <f t="shared" si="175"/>
        <v>225</v>
      </c>
      <c r="B396" s="108" t="s">
        <v>361</v>
      </c>
      <c r="C396" s="36" t="s">
        <v>421</v>
      </c>
      <c r="D396" s="108" t="s">
        <v>99</v>
      </c>
      <c r="E396" s="108" t="s">
        <v>122</v>
      </c>
      <c r="F396" s="110">
        <v>30000</v>
      </c>
      <c r="G396" s="82">
        <f t="shared" si="167"/>
        <v>861</v>
      </c>
      <c r="H396" s="77">
        <f t="shared" si="172"/>
        <v>912</v>
      </c>
      <c r="I396" s="77"/>
      <c r="J396" s="77">
        <f t="shared" si="177"/>
        <v>1773</v>
      </c>
      <c r="K396" s="77">
        <f t="shared" si="173"/>
        <v>28227</v>
      </c>
      <c r="L396" s="107">
        <f t="shared" si="174"/>
        <v>0</v>
      </c>
      <c r="M396" s="107"/>
      <c r="N396" s="245">
        <v>625</v>
      </c>
      <c r="O396" s="107">
        <f t="shared" ref="O396:O397" si="178">+N396+I396+H396+G396+L396</f>
        <v>2398</v>
      </c>
      <c r="P396" s="245">
        <f t="shared" si="176"/>
        <v>27602</v>
      </c>
    </row>
    <row r="397" spans="1:17" ht="30" customHeight="1" x14ac:dyDescent="0.25">
      <c r="A397" s="75">
        <f t="shared" si="175"/>
        <v>226</v>
      </c>
      <c r="B397" s="108" t="s">
        <v>606</v>
      </c>
      <c r="C397" s="36" t="s">
        <v>421</v>
      </c>
      <c r="D397" s="108" t="s">
        <v>200</v>
      </c>
      <c r="E397" s="108" t="s">
        <v>229</v>
      </c>
      <c r="F397" s="110">
        <v>20000</v>
      </c>
      <c r="G397" s="82">
        <f t="shared" si="167"/>
        <v>574</v>
      </c>
      <c r="H397" s="77">
        <f t="shared" si="172"/>
        <v>608</v>
      </c>
      <c r="I397" s="77"/>
      <c r="J397" s="77">
        <f t="shared" si="177"/>
        <v>1182</v>
      </c>
      <c r="K397" s="77">
        <f t="shared" si="173"/>
        <v>18818</v>
      </c>
      <c r="L397" s="107">
        <f t="shared" si="174"/>
        <v>0</v>
      </c>
      <c r="M397" s="107"/>
      <c r="N397" s="245">
        <v>525</v>
      </c>
      <c r="O397" s="107">
        <f t="shared" si="178"/>
        <v>1707</v>
      </c>
      <c r="P397" s="245">
        <f t="shared" si="176"/>
        <v>18293</v>
      </c>
      <c r="Q397" s="7">
        <f>+P399+N399</f>
        <v>0</v>
      </c>
    </row>
    <row r="398" spans="1:17" ht="30" customHeight="1" x14ac:dyDescent="0.25">
      <c r="A398" s="208" t="s">
        <v>125</v>
      </c>
      <c r="B398" s="209"/>
      <c r="C398" s="209"/>
      <c r="D398" s="209"/>
      <c r="E398" s="210"/>
      <c r="F398" s="37">
        <f>SUM(F377:F397)</f>
        <v>851493.5</v>
      </c>
      <c r="G398" s="37">
        <f t="shared" ref="G398:P398" si="179">SUM(G377:G397)</f>
        <v>24437.863450000001</v>
      </c>
      <c r="H398" s="37">
        <f t="shared" si="179"/>
        <v>25885.402399999999</v>
      </c>
      <c r="I398" s="37">
        <f t="shared" si="179"/>
        <v>15774.500000000004</v>
      </c>
      <c r="J398" s="37">
        <f t="shared" si="179"/>
        <v>66097.765849999996</v>
      </c>
      <c r="K398" s="37">
        <f t="shared" si="179"/>
        <v>785395.73415000015</v>
      </c>
      <c r="L398" s="37">
        <f>SUM(L377:L397)</f>
        <v>16779.116166666667</v>
      </c>
      <c r="M398" s="37">
        <f t="shared" si="179"/>
        <v>3629.2500000000005</v>
      </c>
      <c r="N398" s="37">
        <f>SUM(N377:N397)</f>
        <v>75263.759999999995</v>
      </c>
      <c r="O398" s="37">
        <f t="shared" si="179"/>
        <v>158140.64201666668</v>
      </c>
      <c r="P398" s="37">
        <f t="shared" si="179"/>
        <v>693352.85798333329</v>
      </c>
    </row>
    <row r="399" spans="1:17" ht="16.5" thickBot="1" x14ac:dyDescent="0.3">
      <c r="A399" s="41"/>
      <c r="B399" s="48"/>
      <c r="C399" s="139"/>
      <c r="D399" s="48"/>
      <c r="E399" s="48"/>
      <c r="F399" s="49"/>
      <c r="G399" s="49"/>
      <c r="H399" s="49"/>
      <c r="I399" s="49"/>
      <c r="J399" s="49"/>
      <c r="K399" s="49"/>
      <c r="L399" s="49"/>
      <c r="M399" s="49"/>
      <c r="N399" s="49"/>
      <c r="O399" s="49"/>
      <c r="P399" s="49"/>
    </row>
    <row r="400" spans="1:17" ht="24.75" customHeight="1" thickBot="1" x14ac:dyDescent="0.3">
      <c r="A400" s="54"/>
      <c r="B400" s="55" t="s">
        <v>415</v>
      </c>
      <c r="C400" s="140"/>
      <c r="D400" s="56"/>
      <c r="E400" s="57"/>
      <c r="F400" s="58">
        <f>+F20+F25+F29+FF28434+F41+F49+F53+F61+F67+F76+F80+F86+F92+F99+F103+F107+F115+F121+F128+F134+F143+F148+F156+F161+F165+F172+F178+F182+F187+F194+F203+F207+F212+F217+F221+F225+F230+F234+F240+F244+F250+F255+F259+F264+F269+F275+F279+F284+F317+F326+F346+F351+F355+F359+F363+F369+F374+F398+F34</f>
        <v>15655318.5</v>
      </c>
      <c r="G400" s="58">
        <f>+G20+G25+G29+FG28434+G41+G49+G53+G61+G67+G76+G80+G86+G92+G99+G103+G107+G115+G121+G128+G134+G143+G148+G156+G161+G165+G172+G178+G182+G187+G194+G203+G207+G212+G217+G221+G225+G230+G234+G240+G244+G250+G255+G259+G264+G269+G275+G279+G284+G317+G326+G346+G351+G355+G359+G363+G369+G374+G398+G34</f>
        <v>449307.64094999991</v>
      </c>
      <c r="H400" s="58">
        <f>+H20+H25+H29+FH28434+H41+H49+H53+H61+H67+H76+H80+H86+H92+H99+H103+H107+H115+H121+H128+H134+H143+H148+H156+H161+H165+H172+H178+H182+H187+H194+H203+H207+H212+H217+H221+H225+H230+H234+H240+H244+H250+H255+H259+H264+H269+H275+H279+H284+H317+H326+H346+H351+H355+H359+H363+H369+H374+H398+H34</f>
        <v>473673.90640000004</v>
      </c>
      <c r="I400" s="58">
        <f>+I20+I25+I29+FI28434+I41+I49+I53+I61+I67+I76+I80+I86+I92+I99+I103+I107+I115+I121+I128+I134+I143+I148+I156+I161+I165+I172+I178+I182+I187+I194+I203+I207+I212+I217+I221+I225+I230+I234+I240+I244+I250+I255+I259+I264+I269+I275+I279+I284+I317+I326+I346+I351+I355+I359+I363+I369+I374+I398+I34</f>
        <v>129350.49999999996</v>
      </c>
      <c r="J400" s="58">
        <f>+J20+J25+J29+FJ28434+J41+J49+J53+J61+J67+J76+J80+J86+J92+J99+J103+J107+J115+J121+J128+J134+J143+J148+J156+J161+J165+J172+J178+J182+J187+J194+J203+J207+J212+J217+J221+J225+J230+J234+J240+J244+J250+J255+J259+J264+J269+J275+J279+J284+J317+J326+J346+J351+J355+J359+J363+J369+J374+J398+J34</f>
        <v>1052332.0473499999</v>
      </c>
      <c r="K400" s="58">
        <f>+K20+K25+K29+FK28434+K41+K49+K53+K61+K67+K76+K80+K86+K92+K99+K103+K107+K115+K121+K128+K134+K143+K148+K156+K161+K165+K172+K178+K182+K187+K194+K203+K207+K212+K217+K221+K225+K230+K234+K240+K244+K250+K255+K259+K264+K269+K275+K279+K284+K317+K326+K346+K351+K355+K359+K363+K369+K374+K398+K34</f>
        <v>14602986.452650001</v>
      </c>
      <c r="L400" s="58">
        <f>+L20+L25+L29+FL28434+L41+L49+L53+L61+L67+L76+L80+L86+L92+L99+L103+L107+L115+L121+L128+L134+L143+L148+L156+L161+L165+L172+L178+L182+L187+L194+L203+L207+L212+L217+L221+L225+L230+L234+L240+L244+L250+L255+L259+L264+L269+L275+L279+L284+L317+L326+L346+L351+L355+L359+L363+L369+L374+L398+L34</f>
        <v>1456424.74425</v>
      </c>
      <c r="M400" s="58">
        <f>+M20+M25+M29+FM28434+M41+M49+M53+M61+M67+M76+M80+M86+M92+M99+M103+M107+M115+M121+M128+M134+M143+M148+M156+M161+M165+M172+M178+M182+M187+M194+M203+M207+M212+M217+M221+M225+M230+M234+M240+M244+M250+M255+M259+M264+M269+M275+M279+M284+M317+M326+M346+M351+M355+M359+M363+M369+M374+M398+M34</f>
        <v>5220.22</v>
      </c>
      <c r="N400" s="58">
        <f>+N20+N25+N29+FN28434+N41+N49+N53+N61+N67+N76+N80+N86+N92+N99+N103+N107+N115+N121+N128+N134+N143+N148+N156+N161+N165+N172+N178+N182+N187+N194+N203+N207+N212+N217+N221+N225+N230+N234+N240+N244+N250+N255+N259+N264+N269+N275+N279+N284+N317+N326+N346+N351+N355+N359+N363+N369+N374+N398+N34</f>
        <v>723861.13000000012</v>
      </c>
      <c r="O400" s="58">
        <f>+O20+O25+O29+FO28434+O41+O49+O53+O61+O67+O76+O80+O86+O92+O99+O103+O107+O115+O121+O128+O134+O143+O148+O156+O161+O165+O172+O178+O182+O187+O194+O203+O207+O212+O217+O221+O225+O230+O234+O240+O244+O250+O255+O259+O264+O269+O275+O279+O284+O317+O326+O346+O351+O355+O359+O363+O369+O374+O398+O34</f>
        <v>3232617.9243083349</v>
      </c>
      <c r="P400" s="58">
        <f>+P20+P25+P29+FP28434+P41+P49+P53+P61+P67+P76+P80+P86+P92+P99+P103+P107+P115+P121+P128+P134+P143+P148+P156+P161+P165+P172+P178+P182+P187+P194+P203+P207+P212+P217+P221+P225+P230+P234+P240+P244+P250+P255+P259+P264+P269+P275+P279+P284+P317+P326+P346+P351+P355+P359+P363+P369+P374+P398+P34</f>
        <v>12422700.57569167</v>
      </c>
    </row>
    <row r="401" spans="1:16" ht="21" x14ac:dyDescent="0.35">
      <c r="A401" s="28"/>
      <c r="B401" s="27"/>
      <c r="C401" s="28"/>
      <c r="D401" s="27"/>
      <c r="E401" s="27"/>
      <c r="F401" s="321"/>
      <c r="G401" s="17"/>
      <c r="H401" s="17"/>
      <c r="I401" s="17"/>
      <c r="J401" s="17"/>
      <c r="K401" s="237"/>
      <c r="L401" s="17"/>
      <c r="M401" s="17"/>
      <c r="N401" s="17"/>
      <c r="O401" s="17"/>
      <c r="P401" s="237"/>
    </row>
    <row r="402" spans="1:16" ht="15" x14ac:dyDescent="0.25">
      <c r="A402" s="28"/>
      <c r="B402" s="27"/>
      <c r="C402" s="28"/>
      <c r="D402" s="27"/>
      <c r="E402" s="27"/>
      <c r="F402" s="16"/>
      <c r="G402" s="17"/>
      <c r="H402" s="17"/>
      <c r="I402" s="17"/>
      <c r="J402" s="17"/>
      <c r="K402" s="17"/>
      <c r="L402" s="17"/>
      <c r="M402" s="17"/>
      <c r="N402" s="17"/>
      <c r="O402" s="17"/>
      <c r="P402" s="17"/>
    </row>
    <row r="403" spans="1:16" ht="15.75" x14ac:dyDescent="0.25">
      <c r="B403" s="19"/>
      <c r="C403" s="141"/>
      <c r="D403" s="20"/>
      <c r="E403" s="19"/>
      <c r="F403" s="1"/>
      <c r="P403" s="7"/>
    </row>
    <row r="404" spans="1:16" ht="15.75" x14ac:dyDescent="0.25">
      <c r="B404" s="21"/>
      <c r="C404" s="142"/>
      <c r="D404" s="20"/>
      <c r="E404" s="21" t="s">
        <v>488</v>
      </c>
      <c r="F404" s="1"/>
      <c r="P404" s="158"/>
    </row>
    <row r="405" spans="1:16" ht="15.75" x14ac:dyDescent="0.25">
      <c r="B405" s="21" t="s">
        <v>489</v>
      </c>
      <c r="C405" s="142"/>
      <c r="D405" s="20"/>
      <c r="E405" s="21" t="s">
        <v>490</v>
      </c>
      <c r="F405" s="1"/>
    </row>
    <row r="406" spans="1:16" x14ac:dyDescent="0.2">
      <c r="P406" s="7"/>
    </row>
    <row r="16884" spans="2:16" s="4" customFormat="1" x14ac:dyDescent="0.2">
      <c r="B16884" s="23"/>
      <c r="D16884" s="23"/>
      <c r="E16884" s="23"/>
      <c r="F16884" s="2"/>
      <c r="G16884" s="1"/>
      <c r="H16884" s="1"/>
      <c r="I16884" s="1"/>
      <c r="J16884" s="1"/>
      <c r="K16884" s="1"/>
      <c r="L16884" s="1"/>
      <c r="M16884" s="1"/>
      <c r="N16884" s="1"/>
      <c r="O16884" s="1"/>
      <c r="P16884" s="1"/>
    </row>
    <row r="16886" spans="2:16" s="4" customFormat="1" x14ac:dyDescent="0.2">
      <c r="B16886" s="23"/>
      <c r="D16886" s="23"/>
      <c r="E16886" s="23"/>
      <c r="F16886" s="2"/>
      <c r="G16886" s="1"/>
      <c r="H16886" s="1"/>
      <c r="I16886" s="1"/>
      <c r="J16886" s="1"/>
      <c r="K16886" s="1"/>
      <c r="L16886" s="1"/>
      <c r="M16886" s="1"/>
      <c r="N16886" s="1"/>
      <c r="O16886" s="1"/>
      <c r="P16886" s="1"/>
    </row>
    <row r="16907" spans="7:11" x14ac:dyDescent="0.2">
      <c r="G16907" s="4"/>
      <c r="H16907" s="4"/>
      <c r="I16907" s="4"/>
      <c r="J16907" s="4"/>
      <c r="K16907" s="4"/>
    </row>
    <row r="16909" spans="7:11" x14ac:dyDescent="0.2">
      <c r="G16909" s="4"/>
      <c r="H16909" s="4"/>
      <c r="I16909" s="4"/>
      <c r="J16909" s="4"/>
      <c r="K16909" s="4"/>
    </row>
    <row r="16919" spans="2:16" x14ac:dyDescent="0.2">
      <c r="N16919" s="4"/>
      <c r="O16919" s="4"/>
      <c r="P16919" s="4"/>
    </row>
    <row r="16921" spans="2:16" x14ac:dyDescent="0.2">
      <c r="N16921" s="4"/>
      <c r="O16921" s="4"/>
      <c r="P16921" s="4"/>
    </row>
    <row r="16922" spans="2:16" x14ac:dyDescent="0.2">
      <c r="L16922" s="4"/>
      <c r="M16922" s="4"/>
    </row>
    <row r="16923" spans="2:16" x14ac:dyDescent="0.2">
      <c r="B16923" s="23">
        <f>SUM(B6:B16922)</f>
        <v>0</v>
      </c>
    </row>
    <row r="16924" spans="2:16" x14ac:dyDescent="0.2">
      <c r="L16924" s="4"/>
      <c r="M16924" s="4"/>
    </row>
    <row r="16925" spans="2:16" x14ac:dyDescent="0.2">
      <c r="B16925" s="23">
        <f>SUM(B16923)</f>
        <v>0</v>
      </c>
    </row>
    <row r="1000248" spans="15:15" x14ac:dyDescent="0.2">
      <c r="O1000248" s="11" t="e">
        <f>SUM(#REF!)</f>
        <v>#REF!</v>
      </c>
    </row>
  </sheetData>
  <mergeCells count="22">
    <mergeCell ref="A145:E145"/>
    <mergeCell ref="A150:E150"/>
    <mergeCell ref="A167:E167"/>
    <mergeCell ref="A257:D257"/>
    <mergeCell ref="G5:J5"/>
    <mergeCell ref="A55:B55"/>
    <mergeCell ref="A63:B63"/>
    <mergeCell ref="A69:B69"/>
    <mergeCell ref="A77:C77"/>
    <mergeCell ref="A82:D82"/>
    <mergeCell ref="A88:D88"/>
    <mergeCell ref="A104:E104"/>
    <mergeCell ref="A109:E109"/>
    <mergeCell ref="A117:E117"/>
    <mergeCell ref="A123:E123"/>
    <mergeCell ref="A129:E129"/>
    <mergeCell ref="A136:E136"/>
    <mergeCell ref="A1:P1"/>
    <mergeCell ref="A2:P2"/>
    <mergeCell ref="A3:P3"/>
    <mergeCell ref="A94:D94"/>
    <mergeCell ref="A101:E101"/>
  </mergeCells>
  <pageMargins left="0.23622047244094488" right="0.23622047244094488" top="0.74803149606299213" bottom="0.74803149606299213" header="0.31496062992125984" footer="0.31496062992125984"/>
  <pageSetup paperSize="5" scale="53" fitToHeight="0" orientation="landscape" r:id="rId1"/>
  <rowBreaks count="14" manualBreakCount="14">
    <brk id="32" max="15" man="1"/>
    <brk id="60" max="15" man="1"/>
    <brk id="87" max="15" man="1"/>
    <brk id="113" max="15" man="1"/>
    <brk id="141" max="15" man="1"/>
    <brk id="165" max="15" man="1"/>
    <brk id="191" max="15" man="1"/>
    <brk id="217" max="15" man="1"/>
    <brk id="244" max="15" man="1"/>
    <brk id="270" max="15" man="1"/>
    <brk id="297" max="15" man="1"/>
    <brk id="323" max="15" man="1"/>
    <brk id="351" max="15" man="1"/>
    <brk id="380" max="15" man="1"/>
  </rowBreaks>
  <ignoredErrors>
    <ignoredError sqref="A59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1048203"/>
  <sheetViews>
    <sheetView showGridLines="0" view="pageBreakPreview" zoomScale="30" zoomScaleNormal="136" zoomScaleSheetLayoutView="30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A3" sqref="A3:R3"/>
    </sheetView>
  </sheetViews>
  <sheetFormatPr baseColWidth="10" defaultColWidth="11.42578125" defaultRowHeight="12.75" x14ac:dyDescent="0.2"/>
  <cols>
    <col min="1" max="1" width="6.42578125" style="4" customWidth="1"/>
    <col min="2" max="2" width="38.85546875" style="23" customWidth="1"/>
    <col min="3" max="3" width="11.7109375" style="4" customWidth="1"/>
    <col min="4" max="4" width="38.5703125" style="23" customWidth="1"/>
    <col min="5" max="5" width="20.42578125" style="23" customWidth="1"/>
    <col min="6" max="6" width="25.140625" style="23" customWidth="1"/>
    <col min="7" max="7" width="25.5703125" style="23" customWidth="1"/>
    <col min="8" max="8" width="17" style="2" bestFit="1" customWidth="1"/>
    <col min="9" max="9" width="17.140625" style="1" customWidth="1"/>
    <col min="10" max="12" width="15.5703125" style="1" customWidth="1"/>
    <col min="13" max="13" width="16.28515625" style="1" customWidth="1"/>
    <col min="14" max="14" width="14.5703125" style="1" customWidth="1"/>
    <col min="15" max="15" width="14.5703125" style="1" hidden="1" customWidth="1"/>
    <col min="16" max="16" width="19" style="1" bestFit="1" customWidth="1"/>
    <col min="17" max="17" width="20" style="1" customWidth="1"/>
    <col min="18" max="18" width="17" style="1" bestFit="1" customWidth="1"/>
    <col min="19" max="16384" width="11.42578125" style="1"/>
  </cols>
  <sheetData>
    <row r="1" spans="1:19" x14ac:dyDescent="0.2">
      <c r="B1" s="22"/>
      <c r="C1" s="136"/>
    </row>
    <row r="2" spans="1:19" ht="23.25" x14ac:dyDescent="0.35">
      <c r="A2" s="289" t="s">
        <v>410</v>
      </c>
      <c r="B2" s="289"/>
      <c r="C2" s="289"/>
      <c r="D2" s="289"/>
      <c r="E2" s="289"/>
      <c r="F2" s="289"/>
      <c r="G2" s="289"/>
      <c r="H2" s="289"/>
      <c r="I2" s="289"/>
      <c r="J2" s="289"/>
      <c r="K2" s="289"/>
      <c r="L2" s="289"/>
      <c r="M2" s="289"/>
      <c r="N2" s="289"/>
      <c r="O2" s="289"/>
      <c r="P2" s="289"/>
      <c r="Q2" s="289"/>
      <c r="R2" s="289"/>
    </row>
    <row r="3" spans="1:19" ht="21" x14ac:dyDescent="0.35">
      <c r="A3" s="290" t="s">
        <v>413</v>
      </c>
      <c r="B3" s="290"/>
      <c r="C3" s="290"/>
      <c r="D3" s="290"/>
      <c r="E3" s="290"/>
      <c r="F3" s="290"/>
      <c r="G3" s="290"/>
      <c r="H3" s="290"/>
      <c r="I3" s="290"/>
      <c r="J3" s="290"/>
      <c r="K3" s="290"/>
      <c r="L3" s="290"/>
      <c r="M3" s="290"/>
      <c r="N3" s="290"/>
      <c r="O3" s="290"/>
      <c r="P3" s="290"/>
      <c r="Q3" s="290"/>
      <c r="R3" s="290"/>
    </row>
    <row r="4" spans="1:19" ht="18.75" x14ac:dyDescent="0.3">
      <c r="A4" s="299" t="s">
        <v>686</v>
      </c>
      <c r="B4" s="299"/>
      <c r="C4" s="299"/>
      <c r="D4" s="299"/>
      <c r="E4" s="299"/>
      <c r="F4" s="299"/>
      <c r="G4" s="299"/>
      <c r="H4" s="299"/>
      <c r="I4" s="299"/>
      <c r="J4" s="299"/>
      <c r="K4" s="299"/>
      <c r="L4" s="299"/>
      <c r="M4" s="299"/>
      <c r="N4" s="299"/>
      <c r="O4" s="299"/>
      <c r="P4" s="299"/>
      <c r="Q4" s="299"/>
      <c r="R4" s="299"/>
    </row>
    <row r="5" spans="1:19" ht="6.75" customHeight="1" thickBot="1" x14ac:dyDescent="0.35">
      <c r="A5" s="200"/>
      <c r="B5" s="200"/>
      <c r="C5" s="15"/>
      <c r="D5" s="22"/>
      <c r="E5" s="22"/>
      <c r="F5" s="22"/>
      <c r="G5" s="22"/>
      <c r="H5" s="15"/>
    </row>
    <row r="6" spans="1:19" ht="24.75" customHeight="1" thickBot="1" x14ac:dyDescent="0.3">
      <c r="A6" s="222"/>
      <c r="B6" s="222"/>
      <c r="C6" s="50"/>
      <c r="D6" s="42"/>
      <c r="E6" s="42"/>
      <c r="F6" s="42"/>
      <c r="G6" s="42"/>
      <c r="H6" s="39"/>
      <c r="I6" s="300" t="s">
        <v>120</v>
      </c>
      <c r="J6" s="301"/>
      <c r="K6" s="301"/>
      <c r="L6" s="302"/>
      <c r="M6" s="286"/>
      <c r="N6" s="32"/>
      <c r="O6" s="32"/>
      <c r="P6" s="32"/>
      <c r="Q6" s="32"/>
      <c r="R6" s="32"/>
    </row>
    <row r="7" spans="1:19" s="2" customFormat="1" ht="28.5" customHeight="1" thickBot="1" x14ac:dyDescent="0.25">
      <c r="A7" s="33" t="s">
        <v>0</v>
      </c>
      <c r="B7" s="33" t="s">
        <v>419</v>
      </c>
      <c r="C7" s="33" t="s">
        <v>423</v>
      </c>
      <c r="D7" s="33" t="s">
        <v>443</v>
      </c>
      <c r="E7" s="33" t="s">
        <v>114</v>
      </c>
      <c r="F7" s="33" t="s">
        <v>118</v>
      </c>
      <c r="G7" s="33" t="s">
        <v>119</v>
      </c>
      <c r="H7" s="35" t="s">
        <v>124</v>
      </c>
      <c r="I7" s="33" t="s">
        <v>1</v>
      </c>
      <c r="J7" s="33" t="s">
        <v>2</v>
      </c>
      <c r="K7" s="35" t="s">
        <v>593</v>
      </c>
      <c r="L7" s="33" t="s">
        <v>590</v>
      </c>
      <c r="M7" s="35" t="s">
        <v>591</v>
      </c>
      <c r="N7" s="35" t="s">
        <v>115</v>
      </c>
      <c r="O7" s="35" t="s">
        <v>629</v>
      </c>
      <c r="P7" s="35" t="s">
        <v>117</v>
      </c>
      <c r="Q7" s="35" t="s">
        <v>3</v>
      </c>
      <c r="R7" s="35" t="s">
        <v>116</v>
      </c>
    </row>
    <row r="8" spans="1:19" s="2" customFormat="1" ht="24.95" customHeight="1" thickBot="1" x14ac:dyDescent="0.25">
      <c r="A8" s="231" t="s">
        <v>368</v>
      </c>
      <c r="B8" s="232"/>
      <c r="C8" s="232"/>
      <c r="D8" s="232"/>
      <c r="E8" s="232"/>
      <c r="F8" s="232"/>
      <c r="G8" s="232"/>
      <c r="H8" s="232"/>
      <c r="I8" s="232"/>
      <c r="J8" s="232"/>
      <c r="K8" s="232"/>
      <c r="L8" s="232"/>
      <c r="M8" s="232"/>
      <c r="N8" s="232"/>
      <c r="O8" s="232"/>
      <c r="P8" s="232"/>
      <c r="Q8" s="232"/>
      <c r="R8" s="232"/>
    </row>
    <row r="9" spans="1:19" s="68" customFormat="1" ht="24.95" customHeight="1" x14ac:dyDescent="0.2">
      <c r="A9" s="96">
        <v>1</v>
      </c>
      <c r="B9" s="59" t="s">
        <v>370</v>
      </c>
      <c r="C9" s="145" t="s">
        <v>421</v>
      </c>
      <c r="D9" s="115" t="s">
        <v>420</v>
      </c>
      <c r="E9" s="115" t="s">
        <v>214</v>
      </c>
      <c r="F9" s="192" t="s">
        <v>607</v>
      </c>
      <c r="G9" s="192" t="s">
        <v>700</v>
      </c>
      <c r="H9" s="164">
        <v>130000</v>
      </c>
      <c r="I9" s="8">
        <f>H9*2.87%</f>
        <v>3731</v>
      </c>
      <c r="J9" s="8">
        <f>+H9*3.04%</f>
        <v>3952</v>
      </c>
      <c r="K9" s="8"/>
      <c r="L9" s="8">
        <f>+J9+I9+K9</f>
        <v>7683</v>
      </c>
      <c r="M9" s="8">
        <f>+H9-L9</f>
        <v>122317</v>
      </c>
      <c r="N9" s="8">
        <f>+IF(M9*12&lt;=416220.01,0,IF(M9*12&lt;=624329.01,(((M9*12-416220.01)*0.15)/12),IF((M9*12&lt;=867123.01),(31216+0.2*(M9*12-624329.01))/12,((79776+0.25*(M9*12-867123.01))/12))))-O9</f>
        <v>19162.187291666665</v>
      </c>
      <c r="O9" s="8"/>
      <c r="P9" s="99">
        <v>25</v>
      </c>
      <c r="Q9" s="8">
        <f>+P9+N9+L9</f>
        <v>26870.187291666665</v>
      </c>
      <c r="R9" s="9">
        <f>+H9-Q9</f>
        <v>103129.81270833334</v>
      </c>
      <c r="S9" s="2"/>
    </row>
    <row r="10" spans="1:19" s="68" customFormat="1" ht="24.95" customHeight="1" x14ac:dyDescent="0.2">
      <c r="A10" s="66">
        <v>2</v>
      </c>
      <c r="B10" s="189" t="s">
        <v>545</v>
      </c>
      <c r="C10" s="144" t="s">
        <v>421</v>
      </c>
      <c r="D10" s="118" t="s">
        <v>132</v>
      </c>
      <c r="E10" s="115" t="s">
        <v>214</v>
      </c>
      <c r="F10" s="192" t="s">
        <v>701</v>
      </c>
      <c r="G10" s="192" t="s">
        <v>702</v>
      </c>
      <c r="H10" s="10">
        <v>50000</v>
      </c>
      <c r="I10" s="5">
        <f>H10*2.87%</f>
        <v>1435</v>
      </c>
      <c r="J10" s="5">
        <f>+H10*3.04%</f>
        <v>1520</v>
      </c>
      <c r="K10" s="5"/>
      <c r="L10" s="8">
        <f t="shared" ref="L10:L17" si="0">+J10+I10+K10</f>
        <v>2955</v>
      </c>
      <c r="M10" s="8">
        <f t="shared" ref="M10:M17" si="1">+H10-L10</f>
        <v>47045</v>
      </c>
      <c r="N10" s="8">
        <f t="shared" ref="N10" si="2">+IF(M10*12&lt;=416220.01,0,IF(M10*12&lt;=624329.01,(((M10*12-416220.01)*0.15)/12),IF((M10*12&lt;=867123.01),(31216+0.2*(M10*12-624329.01))/12,((79776+0.25*(M10*12-867123.01))/12))))-O10</f>
        <v>-1.2500000025283953E-4</v>
      </c>
      <c r="O10" s="8">
        <v>1854</v>
      </c>
      <c r="P10" s="67">
        <v>1098.01</v>
      </c>
      <c r="Q10" s="8">
        <f>+P10+N10+L10</f>
        <v>4053.0098749999997</v>
      </c>
      <c r="R10" s="114">
        <f>H10-Q10</f>
        <v>45946.990124999997</v>
      </c>
      <c r="S10" s="2"/>
    </row>
    <row r="11" spans="1:19" s="68" customFormat="1" ht="24.95" customHeight="1" x14ac:dyDescent="0.2">
      <c r="S11" s="2"/>
    </row>
    <row r="12" spans="1:19" s="2" customFormat="1" ht="20.25" customHeight="1" x14ac:dyDescent="0.2">
      <c r="A12" s="295" t="s">
        <v>125</v>
      </c>
      <c r="B12" s="296"/>
      <c r="C12" s="225"/>
      <c r="D12" s="225"/>
      <c r="E12" s="225"/>
      <c r="F12" s="225"/>
      <c r="G12" s="225"/>
      <c r="H12" s="14">
        <f>+H9+H10</f>
        <v>180000</v>
      </c>
      <c r="I12" s="14">
        <f>+I9+I10</f>
        <v>5166</v>
      </c>
      <c r="J12" s="14">
        <f t="shared" ref="J12:R12" si="3">+J9+J10</f>
        <v>5472</v>
      </c>
      <c r="K12" s="14">
        <f t="shared" si="3"/>
        <v>0</v>
      </c>
      <c r="L12" s="14">
        <f t="shared" si="3"/>
        <v>10638</v>
      </c>
      <c r="M12" s="14">
        <f t="shared" si="3"/>
        <v>169362</v>
      </c>
      <c r="N12" s="14">
        <f>+N9+N10</f>
        <v>19162.187166666667</v>
      </c>
      <c r="O12" s="14">
        <f t="shared" si="3"/>
        <v>1854</v>
      </c>
      <c r="P12" s="14">
        <f t="shared" si="3"/>
        <v>1123.01</v>
      </c>
      <c r="Q12" s="14">
        <f t="shared" si="3"/>
        <v>30923.197166666665</v>
      </c>
      <c r="R12" s="14">
        <f t="shared" si="3"/>
        <v>149076.80283333332</v>
      </c>
    </row>
    <row r="13" spans="1:19" s="2" customFormat="1" ht="21" customHeight="1" thickBot="1" x14ac:dyDescent="0.25">
      <c r="A13"/>
      <c r="B13"/>
      <c r="C13" s="136"/>
      <c r="D13"/>
      <c r="E13"/>
      <c r="F13"/>
      <c r="G13"/>
      <c r="H13"/>
      <c r="I13"/>
      <c r="J13"/>
      <c r="K13"/>
      <c r="L13"/>
      <c r="M13"/>
      <c r="N13"/>
      <c r="O13"/>
      <c r="P13"/>
      <c r="Q13" s="8">
        <f>+P13+N13+L13</f>
        <v>0</v>
      </c>
      <c r="R13"/>
    </row>
    <row r="14" spans="1:19" s="2" customFormat="1" ht="24.95" customHeight="1" thickBot="1" x14ac:dyDescent="0.25">
      <c r="A14" s="231" t="s">
        <v>292</v>
      </c>
      <c r="B14" s="232"/>
      <c r="C14" s="232"/>
      <c r="D14" s="232"/>
      <c r="E14" s="232"/>
      <c r="F14" s="232"/>
      <c r="G14" s="232"/>
      <c r="H14" s="232"/>
      <c r="I14" s="232"/>
      <c r="J14" s="232"/>
      <c r="K14" s="232"/>
      <c r="L14" s="232"/>
      <c r="M14" s="232"/>
      <c r="N14" s="232"/>
      <c r="O14" s="232"/>
      <c r="P14" s="232"/>
      <c r="Q14" s="232"/>
      <c r="R14" s="232"/>
    </row>
    <row r="15" spans="1:19" s="74" customFormat="1" ht="24.95" customHeight="1" x14ac:dyDescent="0.2">
      <c r="A15" s="66">
        <f>+A10+1</f>
        <v>3</v>
      </c>
      <c r="B15" s="189" t="s">
        <v>372</v>
      </c>
      <c r="C15" s="144" t="s">
        <v>422</v>
      </c>
      <c r="D15" s="118" t="s">
        <v>215</v>
      </c>
      <c r="E15" s="115" t="s">
        <v>214</v>
      </c>
      <c r="F15" s="192" t="s">
        <v>609</v>
      </c>
      <c r="G15" s="192" t="s">
        <v>706</v>
      </c>
      <c r="H15" s="9">
        <v>70000</v>
      </c>
      <c r="I15" s="100">
        <f>H15*2.87%</f>
        <v>2009</v>
      </c>
      <c r="J15" s="100">
        <f>+H15*3.04%</f>
        <v>2128</v>
      </c>
      <c r="K15" s="100"/>
      <c r="L15" s="8">
        <f t="shared" si="0"/>
        <v>4137</v>
      </c>
      <c r="M15" s="8">
        <f t="shared" si="1"/>
        <v>65863</v>
      </c>
      <c r="N15" s="8">
        <f>+IF(M15*12&lt;=416220.01,0,IF(M15*12&lt;=624329.01,(((M15*12-416220.01)*0.15)/12),IF((M15*12&lt;=867123.01),(31216+0.2*(M15*12-624329.01))/12,((79776+0.25*(M15*12-867123.01))/12))))-O15</f>
        <v>5368.4498333333331</v>
      </c>
      <c r="O15" s="8"/>
      <c r="P15" s="99">
        <v>25</v>
      </c>
      <c r="Q15" s="8">
        <f>+P15+N15+L15</f>
        <v>9530.4498333333322</v>
      </c>
      <c r="R15" s="99">
        <f>+H15-Q15</f>
        <v>60469.550166666668</v>
      </c>
      <c r="S15" s="6"/>
    </row>
    <row r="16" spans="1:19" s="68" customFormat="1" ht="24.95" customHeight="1" x14ac:dyDescent="0.2">
      <c r="A16" s="66">
        <f>+A15+1</f>
        <v>4</v>
      </c>
      <c r="B16" s="189" t="s">
        <v>582</v>
      </c>
      <c r="C16" s="144" t="s">
        <v>421</v>
      </c>
      <c r="D16" s="118" t="s">
        <v>563</v>
      </c>
      <c r="E16" s="115" t="s">
        <v>214</v>
      </c>
      <c r="F16" s="192" t="s">
        <v>562</v>
      </c>
      <c r="G16" s="192" t="s">
        <v>610</v>
      </c>
      <c r="H16" s="10">
        <v>70000</v>
      </c>
      <c r="I16" s="5">
        <f>H16*2.87%</f>
        <v>2009</v>
      </c>
      <c r="J16" s="5">
        <f>+H16*3.04%</f>
        <v>2128</v>
      </c>
      <c r="K16" s="5"/>
      <c r="L16" s="8">
        <f t="shared" si="0"/>
        <v>4137</v>
      </c>
      <c r="M16" s="8">
        <f t="shared" si="1"/>
        <v>65863</v>
      </c>
      <c r="N16" s="8">
        <v>4612.6099999999997</v>
      </c>
      <c r="O16" s="8">
        <v>5368.45</v>
      </c>
      <c r="P16" s="67">
        <v>25</v>
      </c>
      <c r="Q16" s="8">
        <f>+P16+N16+L16</f>
        <v>8774.61</v>
      </c>
      <c r="R16" s="114">
        <f>H16-Q16</f>
        <v>61225.39</v>
      </c>
      <c r="S16" s="2"/>
    </row>
    <row r="17" spans="1:19" s="68" customFormat="1" ht="24.95" customHeight="1" x14ac:dyDescent="0.2">
      <c r="A17" s="66">
        <f>+A16+1</f>
        <v>5</v>
      </c>
      <c r="B17" s="189" t="s">
        <v>581</v>
      </c>
      <c r="C17" s="144" t="s">
        <v>630</v>
      </c>
      <c r="D17" s="118" t="s">
        <v>707</v>
      </c>
      <c r="E17" s="115" t="s">
        <v>214</v>
      </c>
      <c r="F17" s="192" t="s">
        <v>583</v>
      </c>
      <c r="G17" s="192" t="s">
        <v>670</v>
      </c>
      <c r="H17" s="10">
        <v>170000</v>
      </c>
      <c r="I17" s="5">
        <v>4879</v>
      </c>
      <c r="J17" s="5">
        <f>+H17*3.04%</f>
        <v>5168</v>
      </c>
      <c r="K17" s="5"/>
      <c r="L17" s="8">
        <f t="shared" si="0"/>
        <v>10047</v>
      </c>
      <c r="M17" s="8">
        <f t="shared" si="1"/>
        <v>159953</v>
      </c>
      <c r="N17" s="8">
        <f t="shared" ref="N17" si="4">+IF(M17*12&lt;=416220.01,0,IF(M17*12&lt;=624329.01,(((M17*12-416220.01)*0.15)/12),IF((M17*12&lt;=867123.01),(31216+0.2*(M17*12-624329.01))/12,((79776+0.25*(M17*12-867123.01))/12))))-O17</f>
        <v>28571.187291666665</v>
      </c>
      <c r="O17" s="8"/>
      <c r="P17" s="67">
        <v>25</v>
      </c>
      <c r="Q17" s="8">
        <f>+P17+N17+L17</f>
        <v>38643.187291666662</v>
      </c>
      <c r="R17" s="114">
        <f>H17-Q17</f>
        <v>131356.81270833334</v>
      </c>
      <c r="S17" s="2"/>
    </row>
    <row r="18" spans="1:19" s="68" customFormat="1" ht="24.95" customHeight="1" x14ac:dyDescent="0.2">
      <c r="A18" s="119">
        <f>+A17+1</f>
        <v>6</v>
      </c>
      <c r="B18" s="189" t="s">
        <v>561</v>
      </c>
      <c r="C18" s="144" t="s">
        <v>421</v>
      </c>
      <c r="D18" s="118" t="s">
        <v>132</v>
      </c>
      <c r="E18" s="115" t="s">
        <v>214</v>
      </c>
      <c r="F18" s="185" t="s">
        <v>562</v>
      </c>
      <c r="G18" s="192" t="s">
        <v>608</v>
      </c>
      <c r="H18" s="10">
        <v>70000</v>
      </c>
      <c r="I18" s="5">
        <f>H18*2.87%</f>
        <v>2009</v>
      </c>
      <c r="J18" s="5">
        <f>+H18*3.04%</f>
        <v>2128</v>
      </c>
      <c r="K18" s="5"/>
      <c r="L18" s="8">
        <f>+J18+I18+K18</f>
        <v>4137</v>
      </c>
      <c r="M18" s="8">
        <f>+H18-L18</f>
        <v>65863</v>
      </c>
      <c r="N18" s="8">
        <f>+IF(M18*12&lt;=416220.01,0,IF(M18*12&lt;=624329.01,(((M18*12-416220.01)*0.15)/12),IF((M18*12&lt;=867123.01),(31216+0.2*(M18*12-624329.01))/12,((79776+0.25*(M18*12-867123.01))/12))))-O18</f>
        <v>5368.4498333333331</v>
      </c>
      <c r="O18" s="8"/>
      <c r="P18" s="67">
        <v>25</v>
      </c>
      <c r="Q18" s="8">
        <f>+P18+N18+L18</f>
        <v>9530.4498333333322</v>
      </c>
      <c r="R18" s="114">
        <f>H18-Q18</f>
        <v>60469.550166666668</v>
      </c>
      <c r="S18" s="2"/>
    </row>
    <row r="19" spans="1:19" s="2" customFormat="1" ht="24.95" customHeight="1" x14ac:dyDescent="0.2">
      <c r="A19" s="295" t="s">
        <v>125</v>
      </c>
      <c r="B19" s="296"/>
      <c r="C19" s="225"/>
      <c r="D19" s="225"/>
      <c r="E19" s="225"/>
      <c r="F19" s="225"/>
      <c r="G19" s="225"/>
      <c r="H19" s="14">
        <f>SUM(H15:H18)</f>
        <v>380000</v>
      </c>
      <c r="I19" s="14">
        <f t="shared" ref="I19:R19" si="5">SUM(I15:I18)</f>
        <v>10906</v>
      </c>
      <c r="J19" s="14">
        <f t="shared" si="5"/>
        <v>11552</v>
      </c>
      <c r="K19" s="14">
        <f t="shared" si="5"/>
        <v>0</v>
      </c>
      <c r="L19" s="14">
        <f t="shared" si="5"/>
        <v>22458</v>
      </c>
      <c r="M19" s="14">
        <f t="shared" si="5"/>
        <v>357542</v>
      </c>
      <c r="N19" s="14">
        <f t="shared" si="5"/>
        <v>43920.696958333327</v>
      </c>
      <c r="O19" s="14">
        <f t="shared" si="5"/>
        <v>5368.45</v>
      </c>
      <c r="P19" s="14">
        <f t="shared" si="5"/>
        <v>100</v>
      </c>
      <c r="Q19" s="14">
        <f t="shared" si="5"/>
        <v>66478.696958333327</v>
      </c>
      <c r="R19" s="14">
        <f t="shared" si="5"/>
        <v>313521.30304166669</v>
      </c>
    </row>
    <row r="20" spans="1:19" s="2" customFormat="1" ht="20.25" customHeight="1" thickBot="1" x14ac:dyDescent="0.25">
      <c r="A20" s="62"/>
      <c r="B20" s="62"/>
      <c r="C20" s="62"/>
      <c r="D20" s="62"/>
      <c r="E20" s="62"/>
      <c r="F20" s="62"/>
      <c r="G20" s="62"/>
      <c r="H20"/>
      <c r="I20"/>
      <c r="J20"/>
      <c r="K20"/>
      <c r="L20"/>
      <c r="M20"/>
      <c r="N20"/>
      <c r="O20"/>
      <c r="P20"/>
      <c r="Q20"/>
      <c r="R20"/>
    </row>
    <row r="21" spans="1:19" s="2" customFormat="1" ht="24.95" customHeight="1" thickBot="1" x14ac:dyDescent="0.25">
      <c r="A21" s="231" t="s">
        <v>90</v>
      </c>
      <c r="B21" s="232"/>
      <c r="C21" s="232"/>
      <c r="D21" s="232"/>
      <c r="E21" s="232"/>
      <c r="F21" s="232"/>
      <c r="G21" s="232"/>
      <c r="H21" s="232"/>
      <c r="I21" s="232"/>
      <c r="J21" s="232"/>
      <c r="K21" s="232"/>
      <c r="L21" s="232"/>
      <c r="M21" s="232"/>
      <c r="N21" s="232"/>
      <c r="O21" s="232"/>
      <c r="P21" s="232"/>
      <c r="Q21" s="232"/>
      <c r="R21" s="232"/>
    </row>
    <row r="22" spans="1:19" s="74" customFormat="1" ht="24.95" customHeight="1" x14ac:dyDescent="0.2">
      <c r="A22" s="96">
        <f>+A18+1</f>
        <v>7</v>
      </c>
      <c r="B22" s="59" t="s">
        <v>371</v>
      </c>
      <c r="C22" s="145" t="s">
        <v>421</v>
      </c>
      <c r="D22" s="118" t="s">
        <v>523</v>
      </c>
      <c r="E22" s="115" t="s">
        <v>214</v>
      </c>
      <c r="F22" s="24" t="s">
        <v>546</v>
      </c>
      <c r="G22" s="24" t="s">
        <v>611</v>
      </c>
      <c r="H22" s="9">
        <v>170000</v>
      </c>
      <c r="I22" s="100">
        <f>H22*2.87%</f>
        <v>4879</v>
      </c>
      <c r="J22" s="194">
        <f>+H22*3.04%</f>
        <v>5168</v>
      </c>
      <c r="K22" s="100"/>
      <c r="L22" s="8">
        <f>+J22+I22+K22</f>
        <v>10047</v>
      </c>
      <c r="M22" s="8">
        <f>+H22-L22</f>
        <v>159953</v>
      </c>
      <c r="N22" s="8">
        <f>+IF(M22*12&lt;=416220.01,0,IF(M22*12&lt;=624329.01,(((M22*12-416220.01)*0.15)/12),IF((M22*12&lt;=867123.01),(31216+0.2*(M22*12-624329.01))/12,((79776+0.25*(M22*12-867123.01))/12))))-O22</f>
        <v>28571.187291666665</v>
      </c>
      <c r="O22" s="8"/>
      <c r="P22" s="99">
        <v>7525</v>
      </c>
      <c r="Q22" s="8">
        <f>+P22+N22+L22</f>
        <v>46143.187291666662</v>
      </c>
      <c r="R22" s="99">
        <f>+H22-Q22</f>
        <v>123856.81270833334</v>
      </c>
      <c r="S22" s="6"/>
    </row>
    <row r="23" spans="1:19" s="68" customFormat="1" ht="24.95" customHeight="1" x14ac:dyDescent="0.2">
      <c r="A23" s="181">
        <f>+A22+1</f>
        <v>8</v>
      </c>
      <c r="B23" s="196" t="s">
        <v>374</v>
      </c>
      <c r="C23" s="193" t="s">
        <v>421</v>
      </c>
      <c r="D23" s="182" t="s">
        <v>143</v>
      </c>
      <c r="E23" s="182" t="s">
        <v>214</v>
      </c>
      <c r="F23" s="61" t="s">
        <v>612</v>
      </c>
      <c r="G23" s="61" t="s">
        <v>708</v>
      </c>
      <c r="H23" s="9">
        <v>90000</v>
      </c>
      <c r="I23" s="194">
        <f>H23*2.87%</f>
        <v>2583</v>
      </c>
      <c r="J23" s="194">
        <f>+H23*3.04%</f>
        <v>2736</v>
      </c>
      <c r="K23" s="194"/>
      <c r="L23" s="8">
        <f>+J23+I23+K23</f>
        <v>5319</v>
      </c>
      <c r="M23" s="8">
        <f>+H23-L23</f>
        <v>84681</v>
      </c>
      <c r="N23" s="8">
        <f t="shared" ref="N23:N24" si="6">+IF(M23*12&lt;=416220.01,0,IF(M23*12&lt;=624329.01,(((M23*12-416220.01)*0.15)/12),IF((M23*12&lt;=867123.01),(31216+0.2*(M23*12-624329.01))/12,((79776+0.25*(M23*12-867123.01))/12))))-O23</f>
        <v>9753.1872916666671</v>
      </c>
      <c r="O23" s="8"/>
      <c r="P23" s="195">
        <v>25</v>
      </c>
      <c r="Q23" s="8">
        <f>+P23+N23+L23</f>
        <v>15097.187291666667</v>
      </c>
      <c r="R23" s="195">
        <f>+H23-Q23</f>
        <v>74902.812708333338</v>
      </c>
      <c r="S23" s="2"/>
    </row>
    <row r="24" spans="1:19" s="68" customFormat="1" ht="24.95" customHeight="1" x14ac:dyDescent="0.2">
      <c r="A24" s="119">
        <f>A23+1</f>
        <v>9</v>
      </c>
      <c r="B24" s="5" t="s">
        <v>547</v>
      </c>
      <c r="C24" s="144" t="s">
        <v>421</v>
      </c>
      <c r="D24" s="118" t="s">
        <v>143</v>
      </c>
      <c r="E24" s="182" t="s">
        <v>214</v>
      </c>
      <c r="F24" s="61" t="s">
        <v>613</v>
      </c>
      <c r="G24" s="61" t="s">
        <v>709</v>
      </c>
      <c r="H24" s="114">
        <v>70000</v>
      </c>
      <c r="I24" s="61">
        <f>H24*2.87%</f>
        <v>2009</v>
      </c>
      <c r="J24" s="61">
        <f>+H24*3.04%</f>
        <v>2128</v>
      </c>
      <c r="K24" s="61"/>
      <c r="L24" s="8">
        <f>+J24+I24+K24</f>
        <v>4137</v>
      </c>
      <c r="M24" s="8">
        <f>+H24-L24</f>
        <v>65863</v>
      </c>
      <c r="N24" s="8">
        <f t="shared" si="6"/>
        <v>-1.6666666670062114E-4</v>
      </c>
      <c r="O24" s="8">
        <v>5368.45</v>
      </c>
      <c r="P24" s="67">
        <v>1044.96</v>
      </c>
      <c r="Q24" s="8">
        <f>+P24+N24+L24</f>
        <v>5181.9598333333333</v>
      </c>
      <c r="R24" s="67">
        <f>H24-Q24</f>
        <v>64818.040166666666</v>
      </c>
      <c r="S24" s="2"/>
    </row>
    <row r="25" spans="1:19" s="2" customFormat="1" ht="24.95" customHeight="1" x14ac:dyDescent="0.2">
      <c r="A25" s="295" t="s">
        <v>125</v>
      </c>
      <c r="B25" s="296"/>
      <c r="C25" s="225"/>
      <c r="D25" s="225"/>
      <c r="E25" s="225"/>
      <c r="F25" s="225"/>
      <c r="G25" s="225"/>
      <c r="H25" s="14">
        <f>SUM(H22:H24)</f>
        <v>330000</v>
      </c>
      <c r="I25" s="14">
        <f t="shared" ref="I25:R25" si="7">SUM(I22:I24)</f>
        <v>9471</v>
      </c>
      <c r="J25" s="14">
        <f t="shared" si="7"/>
        <v>10032</v>
      </c>
      <c r="K25" s="14">
        <f t="shared" si="7"/>
        <v>0</v>
      </c>
      <c r="L25" s="14">
        <f t="shared" si="7"/>
        <v>19503</v>
      </c>
      <c r="M25" s="14">
        <f t="shared" si="7"/>
        <v>310497</v>
      </c>
      <c r="N25" s="14">
        <f t="shared" si="7"/>
        <v>38324.374416666666</v>
      </c>
      <c r="O25" s="14">
        <f t="shared" si="7"/>
        <v>5368.45</v>
      </c>
      <c r="P25" s="14">
        <f t="shared" si="7"/>
        <v>8594.9599999999991</v>
      </c>
      <c r="Q25" s="14">
        <f t="shared" si="7"/>
        <v>66422.334416666665</v>
      </c>
      <c r="R25" s="14">
        <f t="shared" si="7"/>
        <v>263577.66558333335</v>
      </c>
    </row>
    <row r="26" spans="1:19" s="2" customFormat="1" ht="15.75" customHeight="1" thickBot="1" x14ac:dyDescent="0.25">
      <c r="A26" s="62"/>
      <c r="B26" s="62"/>
      <c r="C26" s="62"/>
      <c r="D26" s="62"/>
      <c r="E26" s="62"/>
      <c r="F26" s="62"/>
      <c r="G26" s="62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</row>
    <row r="27" spans="1:19" s="2" customFormat="1" ht="24.95" customHeight="1" thickBot="1" x14ac:dyDescent="0.25">
      <c r="A27" s="223" t="s">
        <v>431</v>
      </c>
      <c r="B27" s="224"/>
      <c r="C27" s="224"/>
      <c r="D27" s="224"/>
      <c r="E27" s="224"/>
      <c r="F27" s="224"/>
      <c r="G27" s="224"/>
      <c r="H27" s="224"/>
      <c r="I27" s="224"/>
      <c r="J27" s="224"/>
      <c r="K27" s="224"/>
      <c r="L27" s="224"/>
      <c r="M27" s="224"/>
      <c r="N27" s="224"/>
      <c r="O27" s="224"/>
      <c r="P27" s="224"/>
      <c r="Q27" s="224"/>
      <c r="R27" s="224"/>
    </row>
    <row r="28" spans="1:19" s="74" customFormat="1" ht="28.5" customHeight="1" x14ac:dyDescent="0.2">
      <c r="A28" s="101">
        <f>A24+1</f>
        <v>10</v>
      </c>
      <c r="B28" s="180" t="s">
        <v>432</v>
      </c>
      <c r="C28" s="181" t="s">
        <v>422</v>
      </c>
      <c r="D28" s="182" t="s">
        <v>433</v>
      </c>
      <c r="E28" s="115" t="s">
        <v>214</v>
      </c>
      <c r="F28" s="120" t="s">
        <v>550</v>
      </c>
      <c r="G28" s="24" t="s">
        <v>614</v>
      </c>
      <c r="H28" s="10">
        <v>130000</v>
      </c>
      <c r="I28" s="8">
        <f>H28*2.87%</f>
        <v>3731</v>
      </c>
      <c r="J28" s="8">
        <f>+H28*3.04%</f>
        <v>3952</v>
      </c>
      <c r="K28" s="8"/>
      <c r="L28" s="8">
        <f>+J28+I28+K28</f>
        <v>7683</v>
      </c>
      <c r="M28" s="8">
        <f>+H28-L28</f>
        <v>122317</v>
      </c>
      <c r="N28" s="8">
        <f>+IF(M28*12&lt;=416220.01,0,IF(M28*12&lt;=624329.01,(((M28*12-416220.01)*0.15)/12),IF((M28*12&lt;=867123.01),(31216+0.2*(M28*12-624329.01))/12,((79776+0.25*(M28*12-867123.01))/12))))</f>
        <v>19162.187291666665</v>
      </c>
      <c r="O28" s="8"/>
      <c r="P28" s="99">
        <v>25</v>
      </c>
      <c r="Q28" s="8">
        <f>+P28+N28+L28</f>
        <v>26870.187291666665</v>
      </c>
      <c r="R28" s="9">
        <f>+H28-Q28</f>
        <v>103129.81270833334</v>
      </c>
      <c r="S28" s="6"/>
    </row>
    <row r="29" spans="1:19" s="6" customFormat="1" ht="24.95" customHeight="1" x14ac:dyDescent="0.2">
      <c r="A29" s="295" t="s">
        <v>125</v>
      </c>
      <c r="B29" s="296"/>
      <c r="C29" s="225"/>
      <c r="D29" s="225"/>
      <c r="E29" s="225"/>
      <c r="F29" s="225"/>
      <c r="G29" s="225"/>
      <c r="H29" s="14">
        <f>SUM(H28)</f>
        <v>130000</v>
      </c>
      <c r="I29" s="14">
        <f t="shared" ref="I29:R29" si="8">SUM(I28)</f>
        <v>3731</v>
      </c>
      <c r="J29" s="14">
        <f t="shared" si="8"/>
        <v>3952</v>
      </c>
      <c r="K29" s="14">
        <f t="shared" si="8"/>
        <v>0</v>
      </c>
      <c r="L29" s="14">
        <f t="shared" si="8"/>
        <v>7683</v>
      </c>
      <c r="M29" s="14">
        <f t="shared" si="8"/>
        <v>122317</v>
      </c>
      <c r="N29" s="14">
        <f t="shared" si="8"/>
        <v>19162.187291666665</v>
      </c>
      <c r="O29" s="14">
        <f t="shared" si="8"/>
        <v>0</v>
      </c>
      <c r="P29" s="14">
        <f t="shared" si="8"/>
        <v>25</v>
      </c>
      <c r="Q29" s="14">
        <f t="shared" si="8"/>
        <v>26870.187291666665</v>
      </c>
      <c r="R29" s="14">
        <f t="shared" si="8"/>
        <v>103129.81270833334</v>
      </c>
    </row>
    <row r="30" spans="1:19" s="6" customFormat="1" ht="24.95" customHeight="1" thickBot="1" x14ac:dyDescent="0.25">
      <c r="A30" s="62"/>
      <c r="B30" s="62"/>
      <c r="C30" s="62"/>
      <c r="D30" s="62"/>
      <c r="E30" s="62"/>
      <c r="F30" s="62"/>
      <c r="G30" s="62"/>
    </row>
    <row r="31" spans="1:19" s="2" customFormat="1" ht="24.95" customHeight="1" thickBot="1" x14ac:dyDescent="0.25">
      <c r="A31" s="231" t="s">
        <v>375</v>
      </c>
      <c r="B31" s="232"/>
      <c r="C31" s="232"/>
      <c r="D31" s="232"/>
      <c r="E31" s="232"/>
      <c r="F31" s="232"/>
      <c r="G31" s="232"/>
      <c r="H31" s="232"/>
      <c r="I31" s="232"/>
      <c r="J31" s="232"/>
      <c r="K31" s="232"/>
      <c r="L31" s="232"/>
      <c r="M31" s="232"/>
      <c r="N31" s="232"/>
      <c r="O31" s="232"/>
      <c r="P31" s="232"/>
      <c r="Q31" s="232"/>
      <c r="R31" s="232"/>
    </row>
    <row r="32" spans="1:19" s="2" customFormat="1" ht="24.95" customHeight="1" x14ac:dyDescent="0.2">
      <c r="A32" s="119">
        <f>+A28+1</f>
        <v>11</v>
      </c>
      <c r="B32" s="5" t="s">
        <v>373</v>
      </c>
      <c r="C32" s="145" t="s">
        <v>421</v>
      </c>
      <c r="D32" s="115" t="s">
        <v>538</v>
      </c>
      <c r="E32" s="115" t="s">
        <v>214</v>
      </c>
      <c r="F32" s="192" t="s">
        <v>615</v>
      </c>
      <c r="G32" s="192" t="s">
        <v>699</v>
      </c>
      <c r="H32" s="9">
        <v>100000</v>
      </c>
      <c r="I32" s="100">
        <f>H32*2.87%</f>
        <v>2870</v>
      </c>
      <c r="J32" s="100">
        <f>+H32*3.04%</f>
        <v>3040</v>
      </c>
      <c r="K32" s="100"/>
      <c r="L32" s="8">
        <f>+J32+I32+K32</f>
        <v>5910</v>
      </c>
      <c r="M32" s="8">
        <f>+H32-L32</f>
        <v>94090</v>
      </c>
      <c r="N32" s="8">
        <f>+IF(M32*12&lt;=416220.01,0,IF(M32*12&lt;=624329.01,(((M32*12-416220.01)*0.15)/12),IF((M32*12&lt;=867123.01),(31216+0.2*(M32*12-624329.01))/12,((79776+0.25*(M32*12-867123.01))/12))))-O32</f>
        <v>12105.437291666667</v>
      </c>
      <c r="O32" s="8"/>
      <c r="P32" s="99">
        <v>23985.35</v>
      </c>
      <c r="Q32" s="8">
        <f>+P32+N32+L32</f>
        <v>42000.787291666667</v>
      </c>
      <c r="R32" s="99">
        <f>+H32-Q32</f>
        <v>57999.212708333333</v>
      </c>
    </row>
    <row r="33" spans="1:19" s="68" customFormat="1" ht="27" customHeight="1" x14ac:dyDescent="0.2">
      <c r="A33" s="12">
        <f>A32+1</f>
        <v>12</v>
      </c>
      <c r="B33" s="100" t="s">
        <v>376</v>
      </c>
      <c r="C33" s="145" t="s">
        <v>422</v>
      </c>
      <c r="D33" s="115" t="s">
        <v>146</v>
      </c>
      <c r="E33" s="115" t="s">
        <v>214</v>
      </c>
      <c r="F33" s="98" t="s">
        <v>616</v>
      </c>
      <c r="G33" s="98" t="s">
        <v>692</v>
      </c>
      <c r="H33" s="9">
        <v>100000</v>
      </c>
      <c r="I33" s="100">
        <f>H33*2.87%</f>
        <v>2870</v>
      </c>
      <c r="J33" s="100">
        <f>+H33*3.04%</f>
        <v>3040</v>
      </c>
      <c r="K33" s="100"/>
      <c r="L33" s="8">
        <f>+J33+I33+K33</f>
        <v>5910</v>
      </c>
      <c r="M33" s="8">
        <f>+H33-L33</f>
        <v>94090</v>
      </c>
      <c r="N33" s="8">
        <f t="shared" ref="N33:N34" si="9">+IF(M33*12&lt;=416220.01,0,IF(M33*12&lt;=624329.01,(((M33*12-416220.01)*0.15)/12),IF((M33*12&lt;=867123.01),(31216+0.2*(M33*12-624329.01))/12,((79776+0.25*(M33*12-867123.01))/12))))-O33</f>
        <v>12105.437291666667</v>
      </c>
      <c r="O33" s="8"/>
      <c r="P33" s="99">
        <f>1073.01+25</f>
        <v>1098.01</v>
      </c>
      <c r="Q33" s="8">
        <f>+P33+N33+L33</f>
        <v>19113.447291666667</v>
      </c>
      <c r="R33" s="99">
        <f>+H33-Q33</f>
        <v>80886.552708333329</v>
      </c>
      <c r="S33" s="2"/>
    </row>
    <row r="34" spans="1:19" s="74" customFormat="1" ht="24.95" customHeight="1" x14ac:dyDescent="0.2">
      <c r="A34" s="96">
        <f>+A33+1</f>
        <v>13</v>
      </c>
      <c r="B34" s="117" t="s">
        <v>387</v>
      </c>
      <c r="C34" s="144" t="s">
        <v>422</v>
      </c>
      <c r="D34" s="115" t="s">
        <v>695</v>
      </c>
      <c r="E34" s="115" t="s">
        <v>214</v>
      </c>
      <c r="F34" s="24" t="s">
        <v>560</v>
      </c>
      <c r="G34" s="24" t="s">
        <v>618</v>
      </c>
      <c r="H34" s="114">
        <v>70000</v>
      </c>
      <c r="I34" s="8">
        <f t="shared" ref="I34" si="10">H34*2.87%</f>
        <v>2009</v>
      </c>
      <c r="J34" s="8">
        <f t="shared" ref="J34" si="11">+H34*3.04%</f>
        <v>2128</v>
      </c>
      <c r="K34" s="8"/>
      <c r="L34" s="8">
        <f>+J34+I34+K34</f>
        <v>4137</v>
      </c>
      <c r="M34" s="8">
        <f>+H34-L34</f>
        <v>65863</v>
      </c>
      <c r="N34" s="8">
        <f t="shared" si="9"/>
        <v>5368.4498333333331</v>
      </c>
      <c r="O34" s="8"/>
      <c r="P34" s="99">
        <v>11174.9</v>
      </c>
      <c r="Q34" s="8">
        <f>+P34+N34+L34</f>
        <v>20680.349833333334</v>
      </c>
      <c r="R34" s="9">
        <f>+H34-Q34</f>
        <v>49319.650166666666</v>
      </c>
      <c r="S34" s="6"/>
    </row>
    <row r="35" spans="1:19" s="2" customFormat="1" ht="24.95" customHeight="1" x14ac:dyDescent="0.2">
      <c r="A35" s="295" t="s">
        <v>125</v>
      </c>
      <c r="B35" s="296"/>
      <c r="C35" s="225"/>
      <c r="D35" s="225"/>
      <c r="E35" s="225"/>
      <c r="F35" s="225"/>
      <c r="G35" s="225"/>
      <c r="H35" s="14">
        <f>SUM(H32:H34)</f>
        <v>270000</v>
      </c>
      <c r="I35" s="14">
        <f t="shared" ref="I35:R35" si="12">SUM(I32:I34)</f>
        <v>7749</v>
      </c>
      <c r="J35" s="14">
        <f t="shared" si="12"/>
        <v>8208</v>
      </c>
      <c r="K35" s="14">
        <f t="shared" si="12"/>
        <v>0</v>
      </c>
      <c r="L35" s="14">
        <f t="shared" si="12"/>
        <v>15957</v>
      </c>
      <c r="M35" s="14">
        <f t="shared" si="12"/>
        <v>254043</v>
      </c>
      <c r="N35" s="14">
        <f t="shared" si="12"/>
        <v>29579.324416666666</v>
      </c>
      <c r="O35" s="14">
        <f t="shared" si="12"/>
        <v>0</v>
      </c>
      <c r="P35" s="14">
        <f t="shared" si="12"/>
        <v>36258.259999999995</v>
      </c>
      <c r="Q35" s="14">
        <f t="shared" si="12"/>
        <v>81794.584416666679</v>
      </c>
      <c r="R35" s="14">
        <f t="shared" si="12"/>
        <v>188205.41558333332</v>
      </c>
    </row>
    <row r="36" spans="1:19" s="6" customFormat="1" ht="15" customHeight="1" thickBot="1" x14ac:dyDescent="0.25">
      <c r="A36" s="62"/>
      <c r="B36" s="62"/>
      <c r="C36" s="62"/>
      <c r="D36" s="62"/>
      <c r="E36" s="62"/>
      <c r="F36" s="62"/>
      <c r="G36" s="62"/>
    </row>
    <row r="37" spans="1:19" s="2" customFormat="1" ht="24.95" customHeight="1" thickBot="1" x14ac:dyDescent="0.25">
      <c r="A37" s="231" t="s">
        <v>92</v>
      </c>
      <c r="B37" s="232"/>
      <c r="C37" s="232"/>
      <c r="D37" s="232"/>
      <c r="E37" s="232"/>
      <c r="F37" s="232"/>
      <c r="G37" s="232"/>
      <c r="H37" s="232"/>
      <c r="I37" s="232"/>
      <c r="J37" s="232"/>
      <c r="K37" s="232"/>
      <c r="L37" s="232"/>
      <c r="M37" s="232"/>
      <c r="N37" s="232"/>
      <c r="O37" s="232"/>
      <c r="P37" s="232"/>
      <c r="Q37" s="232"/>
      <c r="R37" s="232"/>
    </row>
    <row r="38" spans="1:19" s="74" customFormat="1" ht="35.25" customHeight="1" x14ac:dyDescent="0.2">
      <c r="A38" s="119">
        <f>+A34+1</f>
        <v>14</v>
      </c>
      <c r="B38" s="120" t="s">
        <v>377</v>
      </c>
      <c r="C38" s="119" t="s">
        <v>422</v>
      </c>
      <c r="D38" s="118" t="s">
        <v>453</v>
      </c>
      <c r="E38" s="118" t="s">
        <v>214</v>
      </c>
      <c r="F38" s="185" t="s">
        <v>613</v>
      </c>
      <c r="G38" s="185" t="s">
        <v>710</v>
      </c>
      <c r="H38" s="61">
        <v>110000</v>
      </c>
      <c r="I38" s="61">
        <f>H38*2.87%</f>
        <v>3157</v>
      </c>
      <c r="J38" s="61">
        <f>+H38*3.04%</f>
        <v>3344</v>
      </c>
      <c r="K38" s="61"/>
      <c r="L38" s="8">
        <f>+J38+I38+K38</f>
        <v>6501</v>
      </c>
      <c r="M38" s="8">
        <f>+H38-L38</f>
        <v>103499</v>
      </c>
      <c r="N38" s="8">
        <f>+IF(M38*12&lt;=416220.01,0,IF(M38*12&lt;=624329.01,(((M38*12-416220.01)*0.15)/12),IF((M38*12&lt;=867123.01),(31216+0.2*(M38*12-624329.01))/12,((79776+0.25*(M38*12-867123.01))/12))))-O38</f>
        <v>14457.687291666667</v>
      </c>
      <c r="O38" s="8"/>
      <c r="P38" s="67">
        <v>25</v>
      </c>
      <c r="Q38" s="8">
        <f>+P38+N38+L38</f>
        <v>20983.687291666669</v>
      </c>
      <c r="R38" s="67">
        <f>+H38-Q38</f>
        <v>89016.312708333338</v>
      </c>
      <c r="S38" s="6"/>
    </row>
    <row r="39" spans="1:19" s="74" customFormat="1" ht="35.25" customHeight="1" x14ac:dyDescent="0.2">
      <c r="A39" s="66">
        <f>+A38+1</f>
        <v>15</v>
      </c>
      <c r="B39" s="120" t="s">
        <v>434</v>
      </c>
      <c r="C39" s="119" t="s">
        <v>422</v>
      </c>
      <c r="D39" s="118" t="s">
        <v>287</v>
      </c>
      <c r="E39" s="118" t="s">
        <v>214</v>
      </c>
      <c r="F39" s="98" t="s">
        <v>546</v>
      </c>
      <c r="G39" s="98" t="s">
        <v>611</v>
      </c>
      <c r="H39" s="100">
        <v>80000</v>
      </c>
      <c r="I39" s="100">
        <f>H39*2.87%</f>
        <v>2296</v>
      </c>
      <c r="J39" s="100">
        <f>+H39*3.04%</f>
        <v>2432</v>
      </c>
      <c r="K39" s="100"/>
      <c r="L39" s="8">
        <f>+J39+I39+K39</f>
        <v>4728</v>
      </c>
      <c r="M39" s="8">
        <f>+H39-L39</f>
        <v>75272</v>
      </c>
      <c r="N39" s="8">
        <f>+IF(M39*12&lt;=416220.01,0,IF(M39*12&lt;=624329.01,(((M39*12-416220.01)*0.15)/12),IF((M39*12&lt;=867123.01),(31216+0.2*(M39*12-624329.01))/12,((79776+0.25*(M39*12-867123.01))/12))))-O39</f>
        <v>7400.9372916666662</v>
      </c>
      <c r="O39" s="8"/>
      <c r="P39" s="99">
        <v>25</v>
      </c>
      <c r="Q39" s="8">
        <f>+P39+N39+L39</f>
        <v>12153.937291666665</v>
      </c>
      <c r="R39" s="99">
        <f>+H39-Q39</f>
        <v>67846.062708333338</v>
      </c>
      <c r="S39" s="6"/>
    </row>
    <row r="40" spans="1:19" s="6" customFormat="1" ht="24.95" customHeight="1" x14ac:dyDescent="0.2">
      <c r="A40" s="96">
        <f>+A39+1</f>
        <v>16</v>
      </c>
      <c r="B40" s="24" t="s">
        <v>502</v>
      </c>
      <c r="C40" s="12" t="s">
        <v>422</v>
      </c>
      <c r="D40" s="118" t="s">
        <v>287</v>
      </c>
      <c r="E40" s="115" t="s">
        <v>214</v>
      </c>
      <c r="F40" s="98" t="s">
        <v>624</v>
      </c>
      <c r="G40" s="98" t="s">
        <v>711</v>
      </c>
      <c r="H40" s="100">
        <v>70000</v>
      </c>
      <c r="I40" s="100">
        <f>H40*2.87%</f>
        <v>2009</v>
      </c>
      <c r="J40" s="100">
        <f>+H40*3.04%</f>
        <v>2128</v>
      </c>
      <c r="K40" s="100"/>
      <c r="L40" s="8">
        <f>+J40+I40+K40</f>
        <v>4137</v>
      </c>
      <c r="M40" s="8">
        <f>+H40-L40</f>
        <v>65863</v>
      </c>
      <c r="N40" s="5">
        <f>+IF(M40*12&lt;=416220.01,0,IF(M40*12&lt;=624329.01,(((M40*12-416220.01)*0.15)/12),IF((M40*12&lt;=867123.01),(31216+0.2*(M40*12-624329.01))/12,((79776+0.25*(M40*12-867123.01))/12))))-O40</f>
        <v>5368.4498333333331</v>
      </c>
      <c r="O40" s="8">
        <v>0</v>
      </c>
      <c r="P40" s="99">
        <v>2525</v>
      </c>
      <c r="Q40" s="8">
        <f>+P40+N40+L40</f>
        <v>12030.449833333332</v>
      </c>
      <c r="R40" s="99">
        <f>+H40-Q40</f>
        <v>57969.550166666668</v>
      </c>
    </row>
    <row r="41" spans="1:19" s="6" customFormat="1" ht="24.95" customHeight="1" x14ac:dyDescent="0.2">
      <c r="A41" s="96">
        <f>+A40+1</f>
        <v>17</v>
      </c>
      <c r="B41" s="24" t="s">
        <v>677</v>
      </c>
      <c r="C41" s="12" t="s">
        <v>421</v>
      </c>
      <c r="D41" s="118" t="s">
        <v>287</v>
      </c>
      <c r="E41" s="115" t="s">
        <v>214</v>
      </c>
      <c r="F41" s="98" t="s">
        <v>613</v>
      </c>
      <c r="G41" s="98" t="s">
        <v>667</v>
      </c>
      <c r="H41" s="100">
        <v>70000</v>
      </c>
      <c r="I41" s="100">
        <f>H41*2.87%</f>
        <v>2009</v>
      </c>
      <c r="J41" s="100">
        <f>+H41*3.04%</f>
        <v>2128</v>
      </c>
      <c r="K41" s="100"/>
      <c r="L41" s="8">
        <f>+J41+I41+K41</f>
        <v>4137</v>
      </c>
      <c r="M41" s="8">
        <f>+H41-L41</f>
        <v>65863</v>
      </c>
      <c r="N41" s="5">
        <f>+IF(M41*12&lt;=416220.01,0,IF(M41*12&lt;=624329.01,(((M41*12-416220.01)*0.15)/12),IF((M41*12&lt;=867123.01),(31216+0.2*(M41*12-624329.01))/12,((79776+0.25*(M41*12-867123.01))/12))))-O41</f>
        <v>5368.4498333333331</v>
      </c>
      <c r="O41" s="8"/>
      <c r="P41" s="99">
        <v>65</v>
      </c>
      <c r="Q41" s="100">
        <f>+P41+N41+L41</f>
        <v>9570.4498333333322</v>
      </c>
      <c r="R41" s="99">
        <f>+H41-Q41</f>
        <v>60429.550166666668</v>
      </c>
    </row>
    <row r="42" spans="1:19" s="6" customFormat="1" ht="24.95" customHeight="1" x14ac:dyDescent="0.2">
      <c r="A42" s="96">
        <f>+A41+1</f>
        <v>18</v>
      </c>
      <c r="B42" s="24" t="s">
        <v>641</v>
      </c>
      <c r="C42" s="249" t="s">
        <v>422</v>
      </c>
      <c r="D42" s="118" t="s">
        <v>287</v>
      </c>
      <c r="E42" s="115" t="s">
        <v>214</v>
      </c>
      <c r="F42" s="192" t="s">
        <v>616</v>
      </c>
      <c r="G42" s="98" t="s">
        <v>692</v>
      </c>
      <c r="H42" s="100">
        <v>70000</v>
      </c>
      <c r="I42" s="100">
        <f t="shared" ref="I42" si="13">H42*2.87%</f>
        <v>2009</v>
      </c>
      <c r="J42" s="100">
        <f t="shared" ref="J42" si="14">+H42*3.04%</f>
        <v>2128</v>
      </c>
      <c r="K42" s="100"/>
      <c r="L42" s="8">
        <f>+I42+J42+K42</f>
        <v>4137</v>
      </c>
      <c r="M42" s="8">
        <f>+H42-L42</f>
        <v>65863</v>
      </c>
      <c r="N42" s="5">
        <f t="shared" ref="N42" si="15">+IF(M42*12&lt;=416220.01,0,IF(M42*12&lt;=624329.01,(((M42*12-416220.01)*0.15)/12),IF((M42*12&lt;=867123.01),(31216+0.2*(M42*12-624329.01))/12,((79776+0.25*(M42*12-867123.01))/12))))</f>
        <v>5368.4498333333331</v>
      </c>
      <c r="O42" s="8"/>
      <c r="P42" s="99">
        <v>2025</v>
      </c>
      <c r="Q42" s="100">
        <f>+P42+K42+J42+I42+N42</f>
        <v>11530.449833333332</v>
      </c>
      <c r="R42" s="99">
        <f>+H42-Q42</f>
        <v>58469.550166666668</v>
      </c>
    </row>
    <row r="43" spans="1:19" s="6" customFormat="1" ht="24.95" customHeight="1" x14ac:dyDescent="0.2">
      <c r="A43" s="295" t="s">
        <v>125</v>
      </c>
      <c r="B43" s="296"/>
      <c r="C43" s="225"/>
      <c r="D43" s="225"/>
      <c r="E43" s="225"/>
      <c r="F43" s="225"/>
      <c r="G43" s="225"/>
      <c r="H43" s="14">
        <f>SUM(H38:H42)</f>
        <v>400000</v>
      </c>
      <c r="I43" s="14">
        <f t="shared" ref="I43:R43" si="16">SUM(I38:I42)</f>
        <v>11480</v>
      </c>
      <c r="J43" s="14">
        <f t="shared" si="16"/>
        <v>12160</v>
      </c>
      <c r="K43" s="14">
        <f t="shared" si="16"/>
        <v>0</v>
      </c>
      <c r="L43" s="14">
        <f t="shared" si="16"/>
        <v>23640</v>
      </c>
      <c r="M43" s="14">
        <f t="shared" si="16"/>
        <v>376360</v>
      </c>
      <c r="N43" s="14">
        <f t="shared" si="16"/>
        <v>37963.974083333334</v>
      </c>
      <c r="O43" s="14">
        <f t="shared" si="16"/>
        <v>0</v>
      </c>
      <c r="P43" s="14">
        <f t="shared" si="16"/>
        <v>4665</v>
      </c>
      <c r="Q43" s="14">
        <f t="shared" si="16"/>
        <v>66268.974083333334</v>
      </c>
      <c r="R43" s="14">
        <f t="shared" si="16"/>
        <v>333731.02591666672</v>
      </c>
    </row>
    <row r="44" spans="1:19" s="74" customFormat="1" ht="24.95" customHeight="1" thickBot="1" x14ac:dyDescent="0.25">
      <c r="A44" s="197"/>
      <c r="B44" s="197"/>
      <c r="C44" s="197"/>
      <c r="D44" s="197"/>
      <c r="E44" s="197"/>
      <c r="F44" s="197"/>
      <c r="G44" s="197"/>
      <c r="S44" s="6"/>
    </row>
    <row r="45" spans="1:19" s="2" customFormat="1" ht="24.95" customHeight="1" thickBot="1" x14ac:dyDescent="0.25">
      <c r="A45" s="223" t="s">
        <v>154</v>
      </c>
      <c r="B45" s="224"/>
      <c r="C45" s="224"/>
      <c r="D45" s="224"/>
      <c r="E45" s="224"/>
      <c r="F45" s="224"/>
      <c r="G45" s="224"/>
      <c r="H45" s="224"/>
      <c r="I45" s="224"/>
      <c r="J45" s="224"/>
      <c r="K45" s="224"/>
      <c r="L45" s="224"/>
      <c r="M45" s="224"/>
      <c r="N45" s="224"/>
      <c r="O45" s="224"/>
      <c r="P45" s="224"/>
      <c r="Q45" s="224"/>
      <c r="R45" s="224"/>
    </row>
    <row r="46" spans="1:19" s="74" customFormat="1" ht="24.95" customHeight="1" x14ac:dyDescent="0.2">
      <c r="A46" s="96">
        <f>+A42+1</f>
        <v>19</v>
      </c>
      <c r="B46" s="1" t="s">
        <v>128</v>
      </c>
      <c r="C46" s="4" t="s">
        <v>421</v>
      </c>
      <c r="D46" s="115" t="s">
        <v>51</v>
      </c>
      <c r="E46" s="115" t="s">
        <v>214</v>
      </c>
      <c r="F46" s="24" t="s">
        <v>546</v>
      </c>
      <c r="G46" s="24" t="s">
        <v>611</v>
      </c>
      <c r="H46" s="8">
        <v>80000</v>
      </c>
      <c r="I46" s="100">
        <f>H46*2.87%</f>
        <v>2296</v>
      </c>
      <c r="J46" s="100">
        <f>+H46*3.04%</f>
        <v>2432</v>
      </c>
      <c r="K46" s="100"/>
      <c r="L46" s="8">
        <f>+J46+I46+K46</f>
        <v>4728</v>
      </c>
      <c r="M46" s="8">
        <f>+H46-L46</f>
        <v>75272</v>
      </c>
      <c r="N46" s="8">
        <f>+IF(M46*12&lt;=416220.01,0,IF(M46*12&lt;=624329.01,(((M46*12-416220.01)*0.15)/12),IF((M46*12&lt;=867123.01),(31216+0.2*(M46*12-624329.01))/12,((79776+0.25*(M46*12-867123.01))/12))))-O46</f>
        <v>7400.9372916666662</v>
      </c>
      <c r="O46" s="8"/>
      <c r="P46" s="99">
        <v>25</v>
      </c>
      <c r="Q46" s="8">
        <f>+P46+N46+L46</f>
        <v>12153.937291666665</v>
      </c>
      <c r="R46" s="99">
        <f>+H46-Q46</f>
        <v>67846.062708333338</v>
      </c>
      <c r="S46" s="6"/>
    </row>
    <row r="47" spans="1:19" s="6" customFormat="1" ht="24.95" customHeight="1" x14ac:dyDescent="0.2">
      <c r="A47" s="295" t="s">
        <v>125</v>
      </c>
      <c r="B47" s="296"/>
      <c r="C47" s="225"/>
      <c r="D47" s="225"/>
      <c r="E47" s="225"/>
      <c r="F47" s="225"/>
      <c r="G47" s="225"/>
      <c r="H47" s="14">
        <f>SUM(H46)</f>
        <v>80000</v>
      </c>
      <c r="I47" s="14">
        <f t="shared" ref="I47:R47" si="17">SUM(I46)</f>
        <v>2296</v>
      </c>
      <c r="J47" s="14">
        <f t="shared" si="17"/>
        <v>2432</v>
      </c>
      <c r="K47" s="14">
        <f t="shared" si="17"/>
        <v>0</v>
      </c>
      <c r="L47" s="14">
        <f t="shared" si="17"/>
        <v>4728</v>
      </c>
      <c r="M47" s="14">
        <f t="shared" si="17"/>
        <v>75272</v>
      </c>
      <c r="N47" s="14">
        <f t="shared" si="17"/>
        <v>7400.9372916666662</v>
      </c>
      <c r="O47" s="14">
        <f t="shared" si="17"/>
        <v>0</v>
      </c>
      <c r="P47" s="14">
        <f t="shared" si="17"/>
        <v>25</v>
      </c>
      <c r="Q47" s="14">
        <f t="shared" si="17"/>
        <v>12153.937291666665</v>
      </c>
      <c r="R47" s="14">
        <f t="shared" si="17"/>
        <v>67846.062708333338</v>
      </c>
    </row>
    <row r="48" spans="1:19" s="6" customFormat="1" ht="18.75" customHeight="1" thickBot="1" x14ac:dyDescent="0.25">
      <c r="A48" s="62"/>
      <c r="B48" s="62"/>
      <c r="C48" s="62"/>
      <c r="D48" s="62"/>
      <c r="E48" s="62"/>
      <c r="F48" s="62"/>
      <c r="G48" s="62"/>
    </row>
    <row r="49" spans="1:19" s="2" customFormat="1" ht="24.95" customHeight="1" thickBot="1" x14ac:dyDescent="0.25">
      <c r="A49" s="223" t="s">
        <v>155</v>
      </c>
      <c r="B49" s="224"/>
      <c r="C49" s="224"/>
      <c r="D49" s="224"/>
      <c r="E49" s="224"/>
      <c r="F49" s="224"/>
      <c r="G49" s="224"/>
      <c r="H49" s="224"/>
      <c r="I49" s="224"/>
      <c r="J49" s="224"/>
      <c r="K49" s="224"/>
      <c r="L49" s="224"/>
      <c r="M49" s="224"/>
      <c r="N49" s="224"/>
      <c r="O49" s="224"/>
      <c r="P49" s="224"/>
      <c r="Q49" s="224"/>
      <c r="R49" s="224"/>
    </row>
    <row r="50" spans="1:19" s="74" customFormat="1" ht="30.75" customHeight="1" x14ac:dyDescent="0.2">
      <c r="A50" s="96">
        <f>+A46+1</f>
        <v>20</v>
      </c>
      <c r="B50" s="133" t="s">
        <v>216</v>
      </c>
      <c r="C50" s="12" t="s">
        <v>422</v>
      </c>
      <c r="D50" s="115" t="s">
        <v>147</v>
      </c>
      <c r="E50" s="115" t="s">
        <v>214</v>
      </c>
      <c r="F50" s="185" t="s">
        <v>613</v>
      </c>
      <c r="G50" s="185" t="s">
        <v>710</v>
      </c>
      <c r="H50" s="100">
        <v>70000</v>
      </c>
      <c r="I50" s="100">
        <f>H50*2.87%</f>
        <v>2009</v>
      </c>
      <c r="J50" s="100">
        <f>+H50*3.04%</f>
        <v>2128</v>
      </c>
      <c r="K50" s="100"/>
      <c r="L50" s="8">
        <f>+J50+I50+K50</f>
        <v>4137</v>
      </c>
      <c r="M50" s="8">
        <f>+H50-L50</f>
        <v>65863</v>
      </c>
      <c r="N50" s="8">
        <f>+IF(M50*12&lt;=416220.01,0,IF(M50*12&lt;=624329.01,(((M50*12-416220.01)*0.15)/12),IF((M50*12&lt;=867123.01),(31216+0.2*(M50*12-624329.01))/12,((79776+0.25*(M50*12-867123.01))/12))))</f>
        <v>5368.4498333333331</v>
      </c>
      <c r="O50" s="8"/>
      <c r="P50" s="99">
        <v>2387.12</v>
      </c>
      <c r="Q50" s="8">
        <f>+P50+N50+L50</f>
        <v>11892.569833333333</v>
      </c>
      <c r="R50" s="99">
        <f>+H50-Q50</f>
        <v>58107.430166666665</v>
      </c>
      <c r="S50" s="6"/>
    </row>
    <row r="51" spans="1:19" s="74" customFormat="1" ht="27" customHeight="1" x14ac:dyDescent="0.2">
      <c r="A51" s="96">
        <f>+A50+1</f>
        <v>21</v>
      </c>
      <c r="B51" s="117" t="s">
        <v>435</v>
      </c>
      <c r="C51" s="119" t="s">
        <v>422</v>
      </c>
      <c r="D51" s="118" t="s">
        <v>147</v>
      </c>
      <c r="E51" s="118" t="s">
        <v>214</v>
      </c>
      <c r="F51" s="24" t="s">
        <v>546</v>
      </c>
      <c r="G51" s="24" t="s">
        <v>611</v>
      </c>
      <c r="H51" s="8">
        <v>70000</v>
      </c>
      <c r="I51" s="100">
        <f>H51*2.87%</f>
        <v>2009</v>
      </c>
      <c r="J51" s="100">
        <f>+H51*3.04%</f>
        <v>2128</v>
      </c>
      <c r="K51" s="100"/>
      <c r="L51" s="8">
        <f>+J51+I51+K51</f>
        <v>4137</v>
      </c>
      <c r="M51" s="8">
        <f>+H51-L51</f>
        <v>65863</v>
      </c>
      <c r="N51" s="8">
        <f>+IF(M51*12&lt;=416220.01,0,IF(M51*12&lt;=624329.01,(((M51*12-416220.01)*0.15)/12),IF((M51*12&lt;=867123.01),(31216+0.2*(M51*12-624329.01))/12,((79776+0.25*(M51*12-867123.01))/12))))-O51</f>
        <v>5368.4498333333331</v>
      </c>
      <c r="O51" s="8"/>
      <c r="P51" s="99">
        <v>25</v>
      </c>
      <c r="Q51" s="8">
        <f>+P51+N51+L51</f>
        <v>9530.4498333333322</v>
      </c>
      <c r="R51" s="99">
        <f>+H51-Q51</f>
        <v>60469.550166666668</v>
      </c>
      <c r="S51" s="6"/>
    </row>
    <row r="52" spans="1:19" s="6" customFormat="1" ht="24.75" customHeight="1" x14ac:dyDescent="0.2">
      <c r="A52" s="295" t="s">
        <v>125</v>
      </c>
      <c r="B52" s="296"/>
      <c r="C52" s="225"/>
      <c r="D52" s="225"/>
      <c r="E52" s="225"/>
      <c r="F52" s="225"/>
      <c r="G52" s="225"/>
      <c r="H52" s="14">
        <f>SUM(H50:H51)</f>
        <v>140000</v>
      </c>
      <c r="I52" s="14">
        <f t="shared" ref="I52:R52" si="18">SUM(I50:I51)</f>
        <v>4018</v>
      </c>
      <c r="J52" s="14">
        <f t="shared" si="18"/>
        <v>4256</v>
      </c>
      <c r="K52" s="14">
        <f t="shared" si="18"/>
        <v>0</v>
      </c>
      <c r="L52" s="14">
        <f t="shared" si="18"/>
        <v>8274</v>
      </c>
      <c r="M52" s="14">
        <f t="shared" si="18"/>
        <v>131726</v>
      </c>
      <c r="N52" s="14">
        <f t="shared" si="18"/>
        <v>10736.899666666666</v>
      </c>
      <c r="O52" s="14">
        <f t="shared" si="18"/>
        <v>0</v>
      </c>
      <c r="P52" s="14">
        <f t="shared" si="18"/>
        <v>2412.12</v>
      </c>
      <c r="Q52" s="14">
        <f t="shared" si="18"/>
        <v>21423.019666666667</v>
      </c>
      <c r="R52" s="14">
        <f t="shared" si="18"/>
        <v>118576.98033333334</v>
      </c>
    </row>
    <row r="53" spans="1:19" s="6" customFormat="1" ht="14.25" customHeight="1" x14ac:dyDescent="0.2">
      <c r="A53" s="62"/>
      <c r="B53" s="62"/>
      <c r="C53" s="62"/>
      <c r="D53" s="62"/>
      <c r="E53" s="62"/>
      <c r="F53" s="62"/>
      <c r="G53" s="62"/>
    </row>
    <row r="54" spans="1:19" s="6" customFormat="1" ht="16.5" customHeight="1" thickBot="1" x14ac:dyDescent="0.25">
      <c r="A54" s="62"/>
      <c r="B54" s="62"/>
      <c r="C54" s="62"/>
      <c r="D54" s="62"/>
      <c r="E54" s="62"/>
      <c r="F54" s="62"/>
      <c r="G54" s="62"/>
    </row>
    <row r="55" spans="1:19" s="6" customFormat="1" ht="23.25" customHeight="1" thickBot="1" x14ac:dyDescent="0.25">
      <c r="A55" s="231" t="s">
        <v>156</v>
      </c>
      <c r="B55" s="232"/>
      <c r="C55" s="232"/>
      <c r="D55" s="232"/>
      <c r="E55" s="232"/>
      <c r="F55" s="232"/>
      <c r="G55" s="232"/>
      <c r="H55" s="232"/>
      <c r="I55" s="232"/>
      <c r="J55" s="232"/>
      <c r="K55" s="232"/>
      <c r="L55" s="232"/>
      <c r="M55" s="232"/>
      <c r="N55" s="232"/>
      <c r="O55" s="232"/>
      <c r="P55" s="232"/>
      <c r="Q55" s="232"/>
      <c r="R55" s="232"/>
    </row>
    <row r="56" spans="1:19" s="6" customFormat="1" ht="28.5" customHeight="1" x14ac:dyDescent="0.2">
      <c r="A56" s="12">
        <f>+A51+1</f>
        <v>22</v>
      </c>
      <c r="B56" s="5" t="s">
        <v>665</v>
      </c>
      <c r="C56" s="145" t="s">
        <v>421</v>
      </c>
      <c r="D56" s="115" t="s">
        <v>147</v>
      </c>
      <c r="E56" s="115" t="s">
        <v>214</v>
      </c>
      <c r="F56" s="24" t="s">
        <v>666</v>
      </c>
      <c r="G56" s="24" t="s">
        <v>667</v>
      </c>
      <c r="H56" s="9">
        <v>70000</v>
      </c>
      <c r="I56" s="8">
        <f>H56*2.87%</f>
        <v>2009</v>
      </c>
      <c r="J56" s="8">
        <f>+H56*3.04%</f>
        <v>2128</v>
      </c>
      <c r="K56" s="8"/>
      <c r="L56" s="8">
        <f>+J56+I56+K56</f>
        <v>4137</v>
      </c>
      <c r="M56" s="8">
        <f>+H56-L56</f>
        <v>65863</v>
      </c>
      <c r="N56" s="8">
        <f>+IF(M57*12&lt;=416220.01,0,IF(M56*12&lt;=624329.01,(((M56*12-416220.01)*0.15)/12),IF((M56*12&lt;=867123.01),(31216+0.2*(M56*12-624329.01))/12,((79776+0.25*(M56*12-867123.01))/12))))-O56</f>
        <v>5368.4498333333331</v>
      </c>
      <c r="O56" s="8"/>
      <c r="P56" s="99">
        <v>10025</v>
      </c>
      <c r="Q56" s="8">
        <f>+P56+N56+L56</f>
        <v>19530.449833333332</v>
      </c>
      <c r="R56" s="9">
        <f>+H56-Q56</f>
        <v>50469.550166666668</v>
      </c>
    </row>
    <row r="57" spans="1:19" s="6" customFormat="1" ht="23.25" customHeight="1" x14ac:dyDescent="0.2">
      <c r="A57" s="295" t="s">
        <v>125</v>
      </c>
      <c r="B57" s="296"/>
      <c r="C57" s="225"/>
      <c r="D57" s="225"/>
      <c r="E57" s="225"/>
      <c r="F57" s="225"/>
      <c r="G57" s="225"/>
      <c r="H57" s="14">
        <f>SUM(H56)</f>
        <v>70000</v>
      </c>
      <c r="I57" s="14">
        <f t="shared" ref="I57:R57" si="19">SUM(I56)</f>
        <v>2009</v>
      </c>
      <c r="J57" s="14">
        <f t="shared" si="19"/>
        <v>2128</v>
      </c>
      <c r="K57" s="14">
        <f t="shared" si="19"/>
        <v>0</v>
      </c>
      <c r="L57" s="14">
        <f t="shared" si="19"/>
        <v>4137</v>
      </c>
      <c r="M57" s="14">
        <f t="shared" si="19"/>
        <v>65863</v>
      </c>
      <c r="N57" s="14">
        <f t="shared" si="19"/>
        <v>5368.4498333333331</v>
      </c>
      <c r="O57" s="14">
        <f t="shared" si="19"/>
        <v>0</v>
      </c>
      <c r="P57" s="14">
        <f t="shared" si="19"/>
        <v>10025</v>
      </c>
      <c r="Q57" s="14">
        <f t="shared" si="19"/>
        <v>19530.449833333332</v>
      </c>
      <c r="R57" s="14">
        <f t="shared" si="19"/>
        <v>50469.550166666668</v>
      </c>
    </row>
    <row r="58" spans="1:19" s="6" customFormat="1" ht="16.5" customHeight="1" x14ac:dyDescent="0.2">
      <c r="A58" s="62"/>
      <c r="B58" s="62"/>
      <c r="C58" s="62"/>
      <c r="D58" s="62"/>
      <c r="E58" s="62"/>
      <c r="F58" s="62"/>
      <c r="G58" s="62"/>
    </row>
    <row r="59" spans="1:19" s="6" customFormat="1" ht="16.5" customHeight="1" thickBot="1" x14ac:dyDescent="0.25">
      <c r="A59" s="62"/>
      <c r="B59" s="62"/>
      <c r="C59" s="62"/>
      <c r="D59" s="62"/>
      <c r="E59" s="62"/>
      <c r="F59" s="62"/>
      <c r="G59" s="62"/>
    </row>
    <row r="60" spans="1:19" s="6" customFormat="1" ht="23.25" customHeight="1" thickBot="1" x14ac:dyDescent="0.25">
      <c r="A60" s="231" t="s">
        <v>158</v>
      </c>
      <c r="B60" s="232"/>
      <c r="C60" s="232"/>
      <c r="D60" s="232"/>
      <c r="E60" s="232"/>
      <c r="F60" s="232"/>
      <c r="G60" s="232"/>
      <c r="H60" s="232"/>
      <c r="I60" s="232"/>
      <c r="J60" s="232"/>
      <c r="K60" s="232"/>
      <c r="L60" s="232"/>
      <c r="M60" s="232"/>
      <c r="N60" s="232"/>
      <c r="O60" s="232"/>
      <c r="P60" s="232"/>
      <c r="Q60" s="232"/>
      <c r="R60" s="232"/>
    </row>
    <row r="61" spans="1:19" s="6" customFormat="1" ht="28.5" customHeight="1" x14ac:dyDescent="0.2">
      <c r="A61" s="12">
        <f>+A56+1</f>
        <v>23</v>
      </c>
      <c r="B61" s="5" t="s">
        <v>461</v>
      </c>
      <c r="C61" s="145" t="s">
        <v>421</v>
      </c>
      <c r="D61" s="115" t="s">
        <v>147</v>
      </c>
      <c r="E61" s="115" t="s">
        <v>214</v>
      </c>
      <c r="F61" s="24" t="s">
        <v>579</v>
      </c>
      <c r="G61" s="24" t="s">
        <v>668</v>
      </c>
      <c r="H61" s="9">
        <v>70000</v>
      </c>
      <c r="I61" s="8">
        <f>H61*2.87%</f>
        <v>2009</v>
      </c>
      <c r="J61" s="8">
        <f>+H61*3.04%</f>
        <v>2128</v>
      </c>
      <c r="K61" s="8"/>
      <c r="L61" s="8">
        <f>+J61+I61+K61</f>
        <v>4137</v>
      </c>
      <c r="M61" s="8">
        <f>+H61-L61</f>
        <v>65863</v>
      </c>
      <c r="N61" s="8">
        <f>+IF(M62*12&lt;=416220.01,0,IF(M61*12&lt;=624329.01,(((M61*12-416220.01)*0.15)/12),IF((M61*12&lt;=867123.01),(31216+0.2*(M61*12-624329.01))/12,((79776+0.25*(M61*12-867123.01))/12))))-O61</f>
        <v>5368.4498333333331</v>
      </c>
      <c r="O61" s="8"/>
      <c r="P61" s="99">
        <v>3668.07</v>
      </c>
      <c r="Q61" s="8">
        <f>+P61+N61+L61</f>
        <v>13173.519833333334</v>
      </c>
      <c r="R61" s="9">
        <f>+H61-Q61</f>
        <v>56826.480166666668</v>
      </c>
    </row>
    <row r="62" spans="1:19" s="6" customFormat="1" ht="23.25" customHeight="1" x14ac:dyDescent="0.2">
      <c r="A62" s="295" t="s">
        <v>125</v>
      </c>
      <c r="B62" s="296"/>
      <c r="C62" s="225"/>
      <c r="D62" s="225"/>
      <c r="E62" s="225"/>
      <c r="F62" s="225"/>
      <c r="G62" s="225"/>
      <c r="H62" s="14">
        <f>SUM(H61)</f>
        <v>70000</v>
      </c>
      <c r="I62" s="14">
        <f t="shared" ref="I62:R62" si="20">SUM(I61)</f>
        <v>2009</v>
      </c>
      <c r="J62" s="14">
        <f t="shared" si="20"/>
        <v>2128</v>
      </c>
      <c r="K62" s="14">
        <f t="shared" si="20"/>
        <v>0</v>
      </c>
      <c r="L62" s="14">
        <f t="shared" si="20"/>
        <v>4137</v>
      </c>
      <c r="M62" s="14">
        <f t="shared" si="20"/>
        <v>65863</v>
      </c>
      <c r="N62" s="14">
        <f t="shared" si="20"/>
        <v>5368.4498333333331</v>
      </c>
      <c r="O62" s="14">
        <f t="shared" si="20"/>
        <v>0</v>
      </c>
      <c r="P62" s="14">
        <f t="shared" si="20"/>
        <v>3668.07</v>
      </c>
      <c r="Q62" s="14">
        <f t="shared" si="20"/>
        <v>13173.519833333334</v>
      </c>
      <c r="R62" s="14">
        <f t="shared" si="20"/>
        <v>56826.480166666668</v>
      </c>
    </row>
    <row r="63" spans="1:19" s="6" customFormat="1" ht="23.25" customHeight="1" thickBot="1" x14ac:dyDescent="0.25">
      <c r="A63" s="62"/>
      <c r="B63" s="62"/>
      <c r="C63" s="62"/>
      <c r="D63" s="62"/>
      <c r="E63" s="62"/>
      <c r="F63" s="62"/>
      <c r="G63" s="62"/>
      <c r="J63" s="74"/>
      <c r="K63" s="74"/>
      <c r="L63" s="74"/>
      <c r="M63" s="74"/>
      <c r="N63" s="74"/>
      <c r="O63" s="74"/>
      <c r="P63" s="74"/>
      <c r="Q63" s="74"/>
      <c r="R63" s="74"/>
    </row>
    <row r="64" spans="1:19" s="6" customFormat="1" ht="23.25" customHeight="1" thickBot="1" x14ac:dyDescent="0.25">
      <c r="A64" s="231" t="s">
        <v>499</v>
      </c>
      <c r="B64" s="232"/>
      <c r="C64" s="232"/>
      <c r="D64" s="232"/>
      <c r="E64" s="232"/>
      <c r="F64" s="232"/>
      <c r="G64" s="232"/>
      <c r="H64" s="232"/>
      <c r="I64" s="232"/>
      <c r="J64" s="232"/>
      <c r="K64" s="232"/>
      <c r="L64" s="232"/>
      <c r="M64" s="232"/>
      <c r="N64" s="232"/>
      <c r="O64" s="232"/>
      <c r="P64" s="232"/>
      <c r="Q64" s="232"/>
      <c r="R64" s="232"/>
    </row>
    <row r="65" spans="1:19" s="6" customFormat="1" ht="29.25" customHeight="1" x14ac:dyDescent="0.2">
      <c r="A65" s="12">
        <f>+A61+1</f>
        <v>24</v>
      </c>
      <c r="B65" s="5" t="s">
        <v>498</v>
      </c>
      <c r="C65" s="145" t="s">
        <v>422</v>
      </c>
      <c r="D65" s="115" t="s">
        <v>147</v>
      </c>
      <c r="E65" s="115" t="s">
        <v>214</v>
      </c>
      <c r="F65" s="24" t="s">
        <v>548</v>
      </c>
      <c r="G65" s="24" t="s">
        <v>617</v>
      </c>
      <c r="H65" s="9">
        <v>70000</v>
      </c>
      <c r="I65" s="8">
        <f>H65*2.87%</f>
        <v>2009</v>
      </c>
      <c r="J65" s="8">
        <f>+H65*3.04%</f>
        <v>2128</v>
      </c>
      <c r="K65" s="8"/>
      <c r="L65" s="8">
        <f>+J65+I65+K65</f>
        <v>4137</v>
      </c>
      <c r="M65" s="8">
        <f>+H65-L65</f>
        <v>65863</v>
      </c>
      <c r="N65" s="8">
        <f>+IF(M65*12&lt;=416220.01,0,IF(M65*12&lt;=624329.01,(((M65*12-416220.01)*0.15)/12),IF((M65*12&lt;=867123.01),(31216+0.2*(M65*12-624329.01))/12,((79776+0.25*(M65*12-867123.01))/12))))-O65</f>
        <v>5368.4498333333331</v>
      </c>
      <c r="O65" s="8">
        <v>0</v>
      </c>
      <c r="P65" s="99">
        <v>2705</v>
      </c>
      <c r="Q65" s="8">
        <f>+P65+N65+L65</f>
        <v>12210.449833333332</v>
      </c>
      <c r="R65" s="9">
        <f>+H65-Q65</f>
        <v>57789.550166666668</v>
      </c>
    </row>
    <row r="66" spans="1:19" s="6" customFormat="1" ht="23.25" customHeight="1" x14ac:dyDescent="0.2">
      <c r="A66" s="295" t="s">
        <v>125</v>
      </c>
      <c r="B66" s="296"/>
      <c r="C66" s="225"/>
      <c r="D66" s="225"/>
      <c r="E66" s="225"/>
      <c r="F66" s="225"/>
      <c r="G66" s="225"/>
      <c r="H66" s="14">
        <f>SUM(H65)</f>
        <v>70000</v>
      </c>
      <c r="I66" s="14">
        <f t="shared" ref="I66:R66" si="21">SUM(I65)</f>
        <v>2009</v>
      </c>
      <c r="J66" s="14">
        <f t="shared" si="21"/>
        <v>2128</v>
      </c>
      <c r="K66" s="14">
        <f t="shared" si="21"/>
        <v>0</v>
      </c>
      <c r="L66" s="14">
        <f t="shared" si="21"/>
        <v>4137</v>
      </c>
      <c r="M66" s="14">
        <f t="shared" si="21"/>
        <v>65863</v>
      </c>
      <c r="N66" s="14">
        <f t="shared" si="21"/>
        <v>5368.4498333333331</v>
      </c>
      <c r="O66" s="14">
        <f t="shared" si="21"/>
        <v>0</v>
      </c>
      <c r="P66" s="14">
        <f t="shared" si="21"/>
        <v>2705</v>
      </c>
      <c r="Q66" s="14">
        <f t="shared" si="21"/>
        <v>12210.449833333332</v>
      </c>
      <c r="R66" s="14">
        <f t="shared" si="21"/>
        <v>57789.550166666668</v>
      </c>
    </row>
    <row r="67" spans="1:19" s="6" customFormat="1" ht="23.25" customHeight="1" x14ac:dyDescent="0.2">
      <c r="A67" s="62"/>
      <c r="B67" s="62"/>
      <c r="C67" s="62"/>
      <c r="D67" s="62"/>
      <c r="E67" s="62"/>
      <c r="F67" s="62"/>
      <c r="G67" s="62"/>
    </row>
    <row r="68" spans="1:19" s="2" customFormat="1" ht="12" customHeight="1" thickBot="1" x14ac:dyDescent="0.25">
      <c r="A68" s="62"/>
      <c r="B68" s="62"/>
      <c r="C68" s="62"/>
      <c r="D68" s="62"/>
      <c r="E68" s="62"/>
      <c r="F68" s="62"/>
      <c r="G68" s="62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</row>
    <row r="69" spans="1:19" s="68" customFormat="1" ht="27" customHeight="1" thickBot="1" x14ac:dyDescent="0.25">
      <c r="A69" s="231" t="s">
        <v>195</v>
      </c>
      <c r="B69" s="232"/>
      <c r="C69" s="232"/>
      <c r="D69" s="232"/>
      <c r="E69" s="232"/>
      <c r="F69" s="232"/>
      <c r="G69" s="232"/>
      <c r="H69" s="232"/>
      <c r="I69" s="232"/>
      <c r="J69" s="232"/>
      <c r="K69" s="232"/>
      <c r="L69" s="232"/>
      <c r="M69" s="232"/>
      <c r="N69" s="232"/>
      <c r="O69" s="232"/>
      <c r="P69" s="232"/>
      <c r="Q69" s="232"/>
      <c r="R69" s="232"/>
      <c r="S69" s="2"/>
    </row>
    <row r="70" spans="1:19" s="68" customFormat="1" ht="39" customHeight="1" x14ac:dyDescent="0.2">
      <c r="A70" s="96">
        <f>A65+1</f>
        <v>25</v>
      </c>
      <c r="B70" s="5" t="s">
        <v>378</v>
      </c>
      <c r="C70" s="145" t="s">
        <v>422</v>
      </c>
      <c r="D70" s="115" t="s">
        <v>147</v>
      </c>
      <c r="E70" s="115" t="s">
        <v>214</v>
      </c>
      <c r="F70" s="98" t="s">
        <v>616</v>
      </c>
      <c r="G70" s="98" t="s">
        <v>710</v>
      </c>
      <c r="H70" s="9">
        <v>80000</v>
      </c>
      <c r="I70" s="100">
        <f>H70*2.87%</f>
        <v>2296</v>
      </c>
      <c r="J70" s="100">
        <f>+H70*3.04%</f>
        <v>2432</v>
      </c>
      <c r="K70" s="100"/>
      <c r="L70" s="8">
        <f>+J70+I70+K70</f>
        <v>4728</v>
      </c>
      <c r="M70" s="8">
        <f>+H70-L70</f>
        <v>75272</v>
      </c>
      <c r="N70" s="8">
        <f>+IF(M70*12&lt;=416220.01,0,IF(M70*12&lt;=624329.01,(((M70*12-416220.01)*0.15)/12),IF((M70*12&lt;=867123.01),(31216+0.2*(M70*12-624329.01))/12,((79776+0.25*(M70*12-867123.01))/12))))-O70</f>
        <v>7400.9372916666662</v>
      </c>
      <c r="O70" s="8"/>
      <c r="P70" s="99">
        <v>5025</v>
      </c>
      <c r="Q70" s="8">
        <f>+P70+N70+L70</f>
        <v>17153.937291666665</v>
      </c>
      <c r="R70" s="99">
        <f>+H70-Q70</f>
        <v>62846.062708333338</v>
      </c>
      <c r="S70" s="2"/>
    </row>
    <row r="71" spans="1:19" s="68" customFormat="1" ht="39" customHeight="1" x14ac:dyDescent="0.2">
      <c r="A71" s="96">
        <f>+A70+1</f>
        <v>26</v>
      </c>
      <c r="B71" s="5" t="s">
        <v>379</v>
      </c>
      <c r="C71" s="145" t="s">
        <v>422</v>
      </c>
      <c r="D71" s="115" t="s">
        <v>147</v>
      </c>
      <c r="E71" s="115" t="s">
        <v>214</v>
      </c>
      <c r="F71" s="120" t="s">
        <v>564</v>
      </c>
      <c r="G71" s="120" t="s">
        <v>619</v>
      </c>
      <c r="H71" s="9">
        <v>70000</v>
      </c>
      <c r="I71" s="100">
        <f>H71*2.87%</f>
        <v>2009</v>
      </c>
      <c r="J71" s="100">
        <f>+H71*3.04%</f>
        <v>2128</v>
      </c>
      <c r="K71" s="100"/>
      <c r="L71" s="8">
        <f>+J71+I71+K71</f>
        <v>4137</v>
      </c>
      <c r="M71" s="8">
        <f>+H71-L71</f>
        <v>65863</v>
      </c>
      <c r="N71" s="8">
        <f>+IF(M71*12&lt;=416220.01,0,IF(M71*12&lt;=624329.01,(((M71*12-416220.01)*0.15)/12),IF((M71*12&lt;=867123.01),(31216+0.2*(M71*12-624329.01))/12,((79776+0.25*(M71*12-867123.01))/12))))-O71</f>
        <v>5368.4498333333331</v>
      </c>
      <c r="O71" s="8"/>
      <c r="P71" s="99">
        <v>6336.33</v>
      </c>
      <c r="Q71" s="8">
        <f>+P71+N71+L71</f>
        <v>15841.779833333334</v>
      </c>
      <c r="R71" s="99">
        <f>+H71-Q71</f>
        <v>54158.220166666666</v>
      </c>
      <c r="S71" s="2"/>
    </row>
    <row r="72" spans="1:19" s="2" customFormat="1" ht="23.25" customHeight="1" x14ac:dyDescent="0.2">
      <c r="A72" s="295" t="s">
        <v>125</v>
      </c>
      <c r="B72" s="296"/>
      <c r="C72" s="225"/>
      <c r="D72" s="225"/>
      <c r="E72" s="225"/>
      <c r="F72" s="225"/>
      <c r="G72" s="225"/>
      <c r="H72" s="14">
        <f>SUM(H70:H71)</f>
        <v>150000</v>
      </c>
      <c r="I72" s="14">
        <f t="shared" ref="I72:R72" si="22">SUM(I70:I71)</f>
        <v>4305</v>
      </c>
      <c r="J72" s="14">
        <f t="shared" si="22"/>
        <v>4560</v>
      </c>
      <c r="K72" s="14">
        <f t="shared" si="22"/>
        <v>0</v>
      </c>
      <c r="L72" s="14">
        <f t="shared" si="22"/>
        <v>8865</v>
      </c>
      <c r="M72" s="14">
        <f t="shared" si="22"/>
        <v>141135</v>
      </c>
      <c r="N72" s="14">
        <f t="shared" si="22"/>
        <v>12769.387124999999</v>
      </c>
      <c r="O72" s="14">
        <f t="shared" si="22"/>
        <v>0</v>
      </c>
      <c r="P72" s="14">
        <f t="shared" si="22"/>
        <v>11361.33</v>
      </c>
      <c r="Q72" s="14">
        <f t="shared" si="22"/>
        <v>32995.717124999996</v>
      </c>
      <c r="R72" s="14">
        <f t="shared" si="22"/>
        <v>117004.282875</v>
      </c>
    </row>
    <row r="73" spans="1:19" s="6" customFormat="1" ht="24.75" customHeight="1" thickBot="1" x14ac:dyDescent="0.25">
      <c r="A73" s="62"/>
      <c r="B73" s="62"/>
      <c r="C73" s="62"/>
      <c r="D73" s="62"/>
      <c r="E73" s="62"/>
      <c r="F73" s="62"/>
      <c r="G73" s="62"/>
    </row>
    <row r="74" spans="1:19" s="74" customFormat="1" ht="30" customHeight="1" thickBot="1" x14ac:dyDescent="0.25">
      <c r="A74" s="231" t="s">
        <v>161</v>
      </c>
      <c r="B74" s="232"/>
      <c r="C74" s="232"/>
      <c r="D74" s="232"/>
      <c r="E74" s="232"/>
      <c r="F74" s="232"/>
      <c r="G74" s="232"/>
      <c r="H74" s="232"/>
      <c r="I74" s="232"/>
      <c r="J74" s="232"/>
      <c r="K74" s="232"/>
      <c r="L74" s="232"/>
      <c r="M74" s="232"/>
      <c r="N74" s="232"/>
      <c r="O74" s="232"/>
      <c r="P74" s="232"/>
      <c r="Q74" s="232"/>
      <c r="R74" s="232"/>
      <c r="S74" s="6"/>
    </row>
    <row r="75" spans="1:19" s="74" customFormat="1" ht="38.25" x14ac:dyDescent="0.2">
      <c r="A75" s="96">
        <f>A71+1</f>
        <v>27</v>
      </c>
      <c r="B75" s="5" t="s">
        <v>151</v>
      </c>
      <c r="C75" s="145" t="s">
        <v>421</v>
      </c>
      <c r="D75" s="115" t="s">
        <v>541</v>
      </c>
      <c r="E75" s="115" t="s">
        <v>214</v>
      </c>
      <c r="F75" s="24" t="s">
        <v>579</v>
      </c>
      <c r="G75" s="24" t="s">
        <v>668</v>
      </c>
      <c r="H75" s="9">
        <v>155000</v>
      </c>
      <c r="I75" s="100">
        <f>H75*2.87%</f>
        <v>4448.5</v>
      </c>
      <c r="J75" s="100">
        <f>+H75*3.04%</f>
        <v>4712</v>
      </c>
      <c r="K75" s="100"/>
      <c r="L75" s="8">
        <f>+J75+I75+K75</f>
        <v>9160.5</v>
      </c>
      <c r="M75" s="8">
        <f>+H75-L75</f>
        <v>145839.5</v>
      </c>
      <c r="N75" s="8">
        <f>+IF(M75*12&lt;=416220.01,0,IF(M75*12&lt;=624329.01,(((M75*12-416220.01)*0.15)/12),IF((M75*12&lt;=867123.01),(31216+0.2*(M75*12-624329.01))/12,((79776+0.25*(M75*12-867123.01))/12))))-O75</f>
        <v>25042.812291666665</v>
      </c>
      <c r="O75" s="8">
        <v>0</v>
      </c>
      <c r="P75" s="99">
        <v>25</v>
      </c>
      <c r="Q75" s="8">
        <f>+P75+N75+L75</f>
        <v>34228.312291666662</v>
      </c>
      <c r="R75" s="99">
        <f>+H75-Q75</f>
        <v>120771.68770833334</v>
      </c>
      <c r="S75" s="6"/>
    </row>
    <row r="76" spans="1:19" s="6" customFormat="1" ht="31.5" customHeight="1" x14ac:dyDescent="0.2">
      <c r="A76" s="12">
        <f>A75+1</f>
        <v>28</v>
      </c>
      <c r="B76" s="5" t="s">
        <v>380</v>
      </c>
      <c r="C76" s="145" t="s">
        <v>421</v>
      </c>
      <c r="D76" s="115" t="s">
        <v>147</v>
      </c>
      <c r="E76" s="115" t="s">
        <v>214</v>
      </c>
      <c r="F76" s="120" t="s">
        <v>546</v>
      </c>
      <c r="G76" s="120" t="s">
        <v>611</v>
      </c>
      <c r="H76" s="9">
        <v>70000</v>
      </c>
      <c r="I76" s="100">
        <f>H76*2.87%</f>
        <v>2009</v>
      </c>
      <c r="J76" s="100">
        <f>+H76*3.04%</f>
        <v>2128</v>
      </c>
      <c r="K76" s="100"/>
      <c r="L76" s="8">
        <f>+J76+I76+K76</f>
        <v>4137</v>
      </c>
      <c r="M76" s="8">
        <f>+H76-L76</f>
        <v>65863</v>
      </c>
      <c r="N76" s="8">
        <f>+IF(M76*12&lt;=416220.01,0,IF(M76*12&lt;=624329.01,(((M76*12-416220.01)*0.15)/12),IF((M76*12&lt;=867123.01),(31216+0.2*(M76*12-624329.01))/12,((79776+0.25*(M76*12-867123.01))/12))))-O76</f>
        <v>5368.4498333333331</v>
      </c>
      <c r="O76" s="8"/>
      <c r="P76" s="99">
        <v>9344.06</v>
      </c>
      <c r="Q76" s="8">
        <f>+P76+N76+L76</f>
        <v>18849.509833333334</v>
      </c>
      <c r="R76" s="99">
        <f>+H76-Q76</f>
        <v>51150.49016666667</v>
      </c>
    </row>
    <row r="77" spans="1:19" s="6" customFormat="1" ht="29.25" customHeight="1" x14ac:dyDescent="0.2">
      <c r="A77" s="12">
        <f>+A76+1</f>
        <v>29</v>
      </c>
      <c r="B77" s="5" t="s">
        <v>500</v>
      </c>
      <c r="C77" s="145" t="s">
        <v>422</v>
      </c>
      <c r="D77" s="115" t="s">
        <v>147</v>
      </c>
      <c r="E77" s="115" t="s">
        <v>214</v>
      </c>
      <c r="F77" s="120" t="s">
        <v>548</v>
      </c>
      <c r="G77" s="120" t="s">
        <v>617</v>
      </c>
      <c r="H77" s="9">
        <v>70000</v>
      </c>
      <c r="I77" s="100">
        <f>H77*2.87%</f>
        <v>2009</v>
      </c>
      <c r="J77" s="100">
        <f>+H77*3.04%</f>
        <v>2128</v>
      </c>
      <c r="K77" s="100"/>
      <c r="L77" s="8">
        <f>+J77+I77+K77</f>
        <v>4137</v>
      </c>
      <c r="M77" s="8">
        <f>+H77-L77</f>
        <v>65863</v>
      </c>
      <c r="N77" s="8">
        <f>+IF(M77*12&lt;=416220.01,0,IF(M77*12&lt;=624329.01,(((M77*12-416220.01)*0.15)/12),IF((M77*12&lt;=867123.01),(31216+0.2*(M77*12-624329.01))/12,((79776+0.25*(M77*12-867123.01))/12))))-O77</f>
        <v>5368.4498333333331</v>
      </c>
      <c r="O77" s="8">
        <v>0</v>
      </c>
      <c r="P77" s="99">
        <v>1025</v>
      </c>
      <c r="Q77" s="8">
        <f>+P77+N77+L77</f>
        <v>10530.449833333332</v>
      </c>
      <c r="R77" s="99">
        <f>+H77-Q77</f>
        <v>59469.550166666668</v>
      </c>
    </row>
    <row r="78" spans="1:19" s="6" customFormat="1" ht="23.25" customHeight="1" x14ac:dyDescent="0.2">
      <c r="A78" s="295" t="s">
        <v>125</v>
      </c>
      <c r="B78" s="296"/>
      <c r="C78" s="225"/>
      <c r="D78" s="225"/>
      <c r="E78" s="225"/>
      <c r="F78" s="225"/>
      <c r="G78" s="225"/>
      <c r="H78" s="14">
        <f>SUM(H75:H77)</f>
        <v>295000</v>
      </c>
      <c r="I78" s="14">
        <f t="shared" ref="I78:R78" si="23">SUM(I75:I77)</f>
        <v>8466.5</v>
      </c>
      <c r="J78" s="14">
        <f t="shared" si="23"/>
        <v>8968</v>
      </c>
      <c r="K78" s="14">
        <f t="shared" si="23"/>
        <v>0</v>
      </c>
      <c r="L78" s="14">
        <f t="shared" si="23"/>
        <v>17434.5</v>
      </c>
      <c r="M78" s="14">
        <f t="shared" si="23"/>
        <v>277565.5</v>
      </c>
      <c r="N78" s="14">
        <f t="shared" si="23"/>
        <v>35779.711958333333</v>
      </c>
      <c r="O78" s="14">
        <f t="shared" si="23"/>
        <v>0</v>
      </c>
      <c r="P78" s="14">
        <f t="shared" si="23"/>
        <v>10394.06</v>
      </c>
      <c r="Q78" s="14">
        <f t="shared" si="23"/>
        <v>63608.271958333324</v>
      </c>
      <c r="R78" s="14">
        <f t="shared" si="23"/>
        <v>231391.72804166668</v>
      </c>
    </row>
    <row r="79" spans="1:19" s="6" customFormat="1" ht="24.75" customHeight="1" thickBot="1" x14ac:dyDescent="0.25">
      <c r="A79" s="62"/>
      <c r="B79" s="62"/>
      <c r="C79" s="62"/>
      <c r="D79" s="62"/>
      <c r="E79" s="62"/>
      <c r="F79" s="62"/>
      <c r="G79" s="62"/>
    </row>
    <row r="80" spans="1:19" s="74" customFormat="1" ht="30" customHeight="1" thickBot="1" x14ac:dyDescent="0.25">
      <c r="A80" s="231"/>
      <c r="B80" s="232"/>
      <c r="C80" s="232"/>
      <c r="D80" s="232"/>
      <c r="E80" s="232"/>
      <c r="F80" s="232"/>
      <c r="G80" s="232"/>
      <c r="H80" s="232"/>
      <c r="I80" s="232"/>
      <c r="J80" s="232"/>
      <c r="K80" s="232"/>
      <c r="L80" s="232"/>
      <c r="M80" s="232"/>
      <c r="N80" s="232"/>
      <c r="O80" s="232"/>
      <c r="P80" s="232"/>
      <c r="Q80" s="232"/>
      <c r="R80" s="232"/>
      <c r="S80" s="6"/>
    </row>
    <row r="81" spans="1:19" s="74" customFormat="1" ht="30" customHeight="1" thickBot="1" x14ac:dyDescent="0.25">
      <c r="A81" s="231" t="s">
        <v>578</v>
      </c>
      <c r="B81" s="232"/>
      <c r="C81" s="232"/>
      <c r="D81" s="232"/>
      <c r="E81" s="232"/>
      <c r="F81" s="232"/>
      <c r="G81" s="232"/>
      <c r="H81" s="232"/>
      <c r="I81" s="232"/>
      <c r="J81" s="232"/>
      <c r="K81" s="232"/>
      <c r="L81" s="232"/>
      <c r="M81" s="232"/>
      <c r="N81" s="232"/>
      <c r="O81" s="232"/>
      <c r="P81" s="232"/>
      <c r="Q81" s="232"/>
      <c r="R81" s="232"/>
      <c r="S81" s="6"/>
    </row>
    <row r="82" spans="1:19" s="2" customFormat="1" ht="24.95" customHeight="1" x14ac:dyDescent="0.2">
      <c r="A82" s="96">
        <f>+A77+1</f>
        <v>30</v>
      </c>
      <c r="B82" s="59" t="s">
        <v>401</v>
      </c>
      <c r="C82" s="145" t="s">
        <v>421</v>
      </c>
      <c r="D82" s="116" t="s">
        <v>147</v>
      </c>
      <c r="E82" s="115" t="s">
        <v>214</v>
      </c>
      <c r="F82" s="103" t="s">
        <v>607</v>
      </c>
      <c r="G82" s="103" t="s">
        <v>700</v>
      </c>
      <c r="H82" s="100">
        <v>70000</v>
      </c>
      <c r="I82" s="100">
        <f>H82*2.87%</f>
        <v>2009</v>
      </c>
      <c r="J82" s="100">
        <f>+H82*3.04%</f>
        <v>2128</v>
      </c>
      <c r="K82" s="100"/>
      <c r="L82" s="8">
        <f>+J82+I82+K82</f>
        <v>4137</v>
      </c>
      <c r="M82" s="8">
        <f>+H82-L82</f>
        <v>65863</v>
      </c>
      <c r="N82" s="8">
        <f>+IF(M82*12&lt;=416220.01,0,IF(M82*12&lt;=624329.01,(((M82*12-416220.01)*0.15)/12),IF((M82*12&lt;=867123.01),(31216+0.2*(M82*12-624329.01))/12,((79776+0.25*(M82*12-867123.01))/12))))-O82</f>
        <v>5368.4498333333331</v>
      </c>
      <c r="O82" s="8"/>
      <c r="P82" s="99">
        <v>1025</v>
      </c>
      <c r="Q82" s="8">
        <f>+P82+N82+L82</f>
        <v>10530.449833333332</v>
      </c>
      <c r="R82" s="99">
        <f>+H82-Q82</f>
        <v>59469.550166666668</v>
      </c>
    </row>
    <row r="83" spans="1:19" s="6" customFormat="1" ht="24.75" customHeight="1" x14ac:dyDescent="0.2">
      <c r="A83" s="295" t="s">
        <v>125</v>
      </c>
      <c r="B83" s="296"/>
      <c r="C83" s="225"/>
      <c r="D83" s="225"/>
      <c r="E83" s="225"/>
      <c r="F83" s="225"/>
      <c r="G83" s="225"/>
      <c r="H83" s="14">
        <f>SUM(H82)</f>
        <v>70000</v>
      </c>
      <c r="I83" s="14">
        <f t="shared" ref="I83:R83" si="24">SUM(I82)</f>
        <v>2009</v>
      </c>
      <c r="J83" s="14">
        <f t="shared" si="24"/>
        <v>2128</v>
      </c>
      <c r="K83" s="14">
        <f t="shared" si="24"/>
        <v>0</v>
      </c>
      <c r="L83" s="14">
        <f t="shared" si="24"/>
        <v>4137</v>
      </c>
      <c r="M83" s="14">
        <f t="shared" si="24"/>
        <v>65863</v>
      </c>
      <c r="N83" s="14">
        <f t="shared" si="24"/>
        <v>5368.4498333333331</v>
      </c>
      <c r="O83" s="14">
        <f t="shared" si="24"/>
        <v>0</v>
      </c>
      <c r="P83" s="14">
        <f t="shared" si="24"/>
        <v>1025</v>
      </c>
      <c r="Q83" s="14">
        <f t="shared" si="24"/>
        <v>10530.449833333332</v>
      </c>
      <c r="R83" s="14">
        <f t="shared" si="24"/>
        <v>59469.550166666668</v>
      </c>
    </row>
    <row r="84" spans="1:19" s="6" customFormat="1" ht="23.25" customHeight="1" thickBot="1" x14ac:dyDescent="0.25">
      <c r="A84" s="62"/>
      <c r="B84" s="62"/>
      <c r="C84" s="62"/>
      <c r="D84" s="62"/>
      <c r="E84" s="62"/>
      <c r="G84" s="62"/>
    </row>
    <row r="85" spans="1:19" s="6" customFormat="1" ht="28.5" customHeight="1" thickBot="1" x14ac:dyDescent="0.25">
      <c r="A85" s="231" t="s">
        <v>166</v>
      </c>
      <c r="B85" s="232"/>
      <c r="C85" s="232"/>
      <c r="D85" s="232"/>
      <c r="E85" s="232"/>
      <c r="F85" s="232"/>
      <c r="G85" s="232"/>
      <c r="H85" s="232"/>
      <c r="I85" s="232"/>
      <c r="J85" s="232"/>
      <c r="K85" s="232"/>
      <c r="L85" s="232"/>
      <c r="M85" s="232"/>
      <c r="N85" s="232"/>
      <c r="O85" s="232"/>
      <c r="P85" s="232"/>
      <c r="Q85" s="232"/>
      <c r="R85" s="232"/>
    </row>
    <row r="86" spans="1:19" s="6" customFormat="1" ht="23.25" customHeight="1" x14ac:dyDescent="0.2">
      <c r="A86" s="12">
        <f>+A82+1</f>
        <v>31</v>
      </c>
      <c r="B86" s="5" t="s">
        <v>452</v>
      </c>
      <c r="C86" s="145" t="s">
        <v>421</v>
      </c>
      <c r="D86" s="115" t="s">
        <v>147</v>
      </c>
      <c r="E86" s="115" t="s">
        <v>214</v>
      </c>
      <c r="F86" s="24" t="s">
        <v>558</v>
      </c>
      <c r="G86" s="24" t="s">
        <v>620</v>
      </c>
      <c r="H86" s="9">
        <v>70000</v>
      </c>
      <c r="I86" s="8">
        <f>H86*2.87%</f>
        <v>2009</v>
      </c>
      <c r="J86" s="8">
        <f>+H86*3.04%</f>
        <v>2128</v>
      </c>
      <c r="K86" s="8"/>
      <c r="L86" s="8">
        <f>+J86+I86+K86</f>
        <v>4137</v>
      </c>
      <c r="M86" s="8">
        <f>+H86-L86</f>
        <v>65863</v>
      </c>
      <c r="N86" s="8">
        <f>+IF(M86*12&lt;=416220.01,0,IF(M86*12&lt;=624329.01,(((M86*12-416220.01)*0.15)/12),IF((M86*12&lt;=867123.01),(31216+0.2*(M86*12-624329.01))/12,((79776+0.25*(M86*12-867123.01))/12))))</f>
        <v>5368.4498333333331</v>
      </c>
      <c r="O86" s="8"/>
      <c r="P86" s="99">
        <f>25+100</f>
        <v>125</v>
      </c>
      <c r="Q86" s="8">
        <f>+P86+N86+L86</f>
        <v>9630.4498333333322</v>
      </c>
      <c r="R86" s="9">
        <f>+H86-Q86</f>
        <v>60369.550166666668</v>
      </c>
    </row>
    <row r="87" spans="1:19" s="6" customFormat="1" ht="26.25" customHeight="1" x14ac:dyDescent="0.2">
      <c r="A87" s="295" t="s">
        <v>125</v>
      </c>
      <c r="B87" s="296"/>
      <c r="C87" s="225"/>
      <c r="D87" s="225"/>
      <c r="E87" s="225"/>
      <c r="F87" s="225"/>
      <c r="G87" s="225"/>
      <c r="H87" s="14">
        <f>SUM(H86)</f>
        <v>70000</v>
      </c>
      <c r="I87" s="14">
        <f t="shared" ref="I87:R87" si="25">SUM(I86)</f>
        <v>2009</v>
      </c>
      <c r="J87" s="14">
        <f t="shared" si="25"/>
        <v>2128</v>
      </c>
      <c r="K87" s="14">
        <f t="shared" si="25"/>
        <v>0</v>
      </c>
      <c r="L87" s="14">
        <f t="shared" si="25"/>
        <v>4137</v>
      </c>
      <c r="M87" s="14">
        <f t="shared" si="25"/>
        <v>65863</v>
      </c>
      <c r="N87" s="14">
        <f t="shared" si="25"/>
        <v>5368.4498333333331</v>
      </c>
      <c r="O87" s="14">
        <f t="shared" si="25"/>
        <v>0</v>
      </c>
      <c r="P87" s="14">
        <f t="shared" si="25"/>
        <v>125</v>
      </c>
      <c r="Q87" s="14">
        <f t="shared" si="25"/>
        <v>9630.4498333333322</v>
      </c>
      <c r="R87" s="14">
        <f t="shared" si="25"/>
        <v>60369.550166666668</v>
      </c>
    </row>
    <row r="88" spans="1:19" s="6" customFormat="1" ht="24.75" customHeight="1" thickBot="1" x14ac:dyDescent="0.25">
      <c r="A88" s="62"/>
      <c r="B88" s="62"/>
      <c r="C88" s="62"/>
      <c r="D88" s="62"/>
      <c r="E88" s="62"/>
      <c r="F88" s="62"/>
      <c r="G88" s="62"/>
    </row>
    <row r="89" spans="1:19" s="74" customFormat="1" ht="27" customHeight="1" thickBot="1" x14ac:dyDescent="0.25">
      <c r="A89" s="231" t="s">
        <v>167</v>
      </c>
      <c r="B89" s="232"/>
      <c r="C89" s="232"/>
      <c r="D89" s="232"/>
      <c r="E89" s="232"/>
      <c r="F89" s="232"/>
      <c r="G89" s="232"/>
      <c r="H89" s="232"/>
      <c r="I89" s="232"/>
      <c r="J89" s="232"/>
      <c r="K89" s="232"/>
      <c r="L89" s="232"/>
      <c r="M89" s="232"/>
      <c r="N89" s="232"/>
      <c r="O89" s="232"/>
      <c r="P89" s="232"/>
      <c r="Q89" s="232"/>
      <c r="R89" s="232"/>
      <c r="S89" s="6"/>
    </row>
    <row r="90" spans="1:19" s="74" customFormat="1" ht="24.95" customHeight="1" x14ac:dyDescent="0.2">
      <c r="A90" s="12">
        <f>+A86+1</f>
        <v>32</v>
      </c>
      <c r="B90" s="5" t="s">
        <v>436</v>
      </c>
      <c r="C90" s="145" t="s">
        <v>422</v>
      </c>
      <c r="D90" s="115" t="s">
        <v>147</v>
      </c>
      <c r="E90" s="115" t="s">
        <v>214</v>
      </c>
      <c r="F90" s="120" t="s">
        <v>546</v>
      </c>
      <c r="G90" s="120" t="s">
        <v>611</v>
      </c>
      <c r="H90" s="9">
        <v>70000</v>
      </c>
      <c r="I90" s="8">
        <f>H90*2.87%</f>
        <v>2009</v>
      </c>
      <c r="J90" s="8">
        <f>+H90*3.04%</f>
        <v>2128</v>
      </c>
      <c r="K90" s="8"/>
      <c r="L90" s="8">
        <f>+J90+I90+K90</f>
        <v>4137</v>
      </c>
      <c r="M90" s="8">
        <f>+H90-L90</f>
        <v>65863</v>
      </c>
      <c r="N90" s="8">
        <f>+IF(M90*12&lt;=416220.01,0,IF(M90*12&lt;=624329.01,(((M90*12-416220.01)*0.15)/12),IF((M90*12&lt;=867123.01),(31216+0.2*(M90*12-624329.01))/12,((79776+0.25*(M90*12-867123.01))/12))))-O90</f>
        <v>5368.4498333333331</v>
      </c>
      <c r="O90" s="8"/>
      <c r="P90" s="99">
        <v>125</v>
      </c>
      <c r="Q90" s="8">
        <f>+P90+N90+L90</f>
        <v>9630.4498333333322</v>
      </c>
      <c r="R90" s="9">
        <f>+H90-Q90</f>
        <v>60369.550166666668</v>
      </c>
      <c r="S90" s="6"/>
    </row>
    <row r="91" spans="1:19" s="6" customFormat="1" ht="24.75" customHeight="1" x14ac:dyDescent="0.2">
      <c r="A91" s="12">
        <f>+A90+1</f>
        <v>33</v>
      </c>
      <c r="B91" s="5" t="s">
        <v>451</v>
      </c>
      <c r="C91" s="145" t="s">
        <v>422</v>
      </c>
      <c r="D91" s="115" t="s">
        <v>147</v>
      </c>
      <c r="E91" s="115" t="s">
        <v>214</v>
      </c>
      <c r="F91" s="24" t="s">
        <v>558</v>
      </c>
      <c r="G91" s="24" t="s">
        <v>620</v>
      </c>
      <c r="H91" s="9">
        <v>70000</v>
      </c>
      <c r="I91" s="8">
        <f>H91*2.87%</f>
        <v>2009</v>
      </c>
      <c r="J91" s="8">
        <f>+H91*3.04%</f>
        <v>2128</v>
      </c>
      <c r="K91" s="8"/>
      <c r="L91" s="8">
        <f>+J91+I91+K91</f>
        <v>4137</v>
      </c>
      <c r="M91" s="8">
        <f>+H91-L91</f>
        <v>65863</v>
      </c>
      <c r="N91" s="8">
        <f>+IF(M91*12&lt;=416220.01,0,IF(M91*12&lt;=624329.01,(((M91*12-416220.01)*0.15)/12),IF((M91*12&lt;=867123.01),(31216+0.2*(M91*12-624329.01))/12,((79776+0.25*(M91*12-867123.01))/12))))</f>
        <v>5368.4498333333331</v>
      </c>
      <c r="O91" s="8"/>
      <c r="P91" s="99">
        <v>25</v>
      </c>
      <c r="Q91" s="8">
        <f>+P91+N91+L91</f>
        <v>9530.4498333333322</v>
      </c>
      <c r="R91" s="9">
        <f>+H91-Q91</f>
        <v>60469.550166666668</v>
      </c>
    </row>
    <row r="92" spans="1:19" s="6" customFormat="1" ht="24.75" customHeight="1" x14ac:dyDescent="0.2">
      <c r="A92" s="12">
        <f>+A91+1</f>
        <v>34</v>
      </c>
      <c r="B92" s="5" t="s">
        <v>645</v>
      </c>
      <c r="C92" s="145" t="s">
        <v>421</v>
      </c>
      <c r="D92" s="115" t="s">
        <v>147</v>
      </c>
      <c r="E92" s="115" t="s">
        <v>214</v>
      </c>
      <c r="F92" s="120" t="s">
        <v>564</v>
      </c>
      <c r="G92" s="24" t="s">
        <v>619</v>
      </c>
      <c r="H92" s="9">
        <v>70000</v>
      </c>
      <c r="I92" s="8">
        <f>H92*2.87%</f>
        <v>2009</v>
      </c>
      <c r="J92" s="8">
        <f>+H92*3.04%</f>
        <v>2128</v>
      </c>
      <c r="K92" s="8"/>
      <c r="L92" s="8">
        <f>+J92+I92+K92</f>
        <v>4137</v>
      </c>
      <c r="M92" s="8">
        <f>+H92-L92</f>
        <v>65863</v>
      </c>
      <c r="N92" s="8">
        <f>+IF(M92*12&lt;=416220.01,0,IF(M92*12&lt;=624329.01,(((M92*12-416220.01)*0.15)/12),IF((M92*12&lt;=867123.01),(31216+0.2*(M92*12-624329.01))/12,((79776+0.25*(M92*12-867123.01))/12))))-O92</f>
        <v>5368.4498333333331</v>
      </c>
      <c r="O92" s="8"/>
      <c r="P92" s="99">
        <f>40+25</f>
        <v>65</v>
      </c>
      <c r="Q92" s="8">
        <f>+P92+N92+L92</f>
        <v>9570.4498333333322</v>
      </c>
      <c r="R92" s="9">
        <f>+H92-Q92</f>
        <v>60429.550166666668</v>
      </c>
    </row>
    <row r="93" spans="1:19" customFormat="1" ht="21" customHeight="1" thickBot="1" x14ac:dyDescent="0.25">
      <c r="A93" s="297" t="s">
        <v>125</v>
      </c>
      <c r="B93" s="298"/>
      <c r="C93" s="225"/>
      <c r="D93" s="225"/>
      <c r="E93" s="225"/>
      <c r="F93" s="225"/>
      <c r="G93" s="225"/>
      <c r="H93" s="14">
        <f>SUM(H90:H92)</f>
        <v>210000</v>
      </c>
      <c r="I93" s="14">
        <f t="shared" ref="I93:R93" si="26">SUM(I90:I92)</f>
        <v>6027</v>
      </c>
      <c r="J93" s="14">
        <f t="shared" si="26"/>
        <v>6384</v>
      </c>
      <c r="K93" s="14">
        <f t="shared" si="26"/>
        <v>0</v>
      </c>
      <c r="L93" s="14">
        <f t="shared" si="26"/>
        <v>12411</v>
      </c>
      <c r="M93" s="14">
        <f t="shared" si="26"/>
        <v>197589</v>
      </c>
      <c r="N93" s="14">
        <f t="shared" si="26"/>
        <v>16105.3495</v>
      </c>
      <c r="O93" s="14">
        <f t="shared" si="26"/>
        <v>0</v>
      </c>
      <c r="P93" s="14">
        <f t="shared" si="26"/>
        <v>215</v>
      </c>
      <c r="Q93" s="14">
        <f t="shared" si="26"/>
        <v>28731.349499999997</v>
      </c>
      <c r="R93" s="14">
        <f t="shared" si="26"/>
        <v>181268.65049999999</v>
      </c>
      <c r="S93" s="201"/>
    </row>
    <row r="94" spans="1:19" s="6" customFormat="1" ht="28.5" customHeight="1" thickBot="1" x14ac:dyDescent="0.25">
      <c r="A94" s="231" t="s">
        <v>166</v>
      </c>
      <c r="B94" s="232"/>
      <c r="C94" s="232"/>
      <c r="D94" s="232"/>
      <c r="E94" s="232"/>
      <c r="F94" s="232"/>
      <c r="G94" s="232"/>
      <c r="H94" s="232"/>
      <c r="I94" s="232"/>
      <c r="J94" s="232"/>
      <c r="K94" s="232"/>
      <c r="L94" s="232"/>
      <c r="M94" s="232"/>
      <c r="N94" s="232"/>
      <c r="O94" s="232"/>
      <c r="P94" s="232"/>
      <c r="Q94" s="232"/>
      <c r="R94" s="232"/>
    </row>
    <row r="95" spans="1:19" s="6" customFormat="1" ht="31.15" customHeight="1" x14ac:dyDescent="0.2">
      <c r="A95" s="12">
        <f>+A92+1</f>
        <v>35</v>
      </c>
      <c r="B95" s="5" t="s">
        <v>557</v>
      </c>
      <c r="C95" s="145" t="s">
        <v>421</v>
      </c>
      <c r="D95" s="115" t="s">
        <v>147</v>
      </c>
      <c r="E95" s="115" t="s">
        <v>214</v>
      </c>
      <c r="F95" s="120" t="s">
        <v>550</v>
      </c>
      <c r="G95" s="24" t="s">
        <v>614</v>
      </c>
      <c r="H95" s="9">
        <v>70000</v>
      </c>
      <c r="I95" s="8">
        <f>H95*2.87%</f>
        <v>2009</v>
      </c>
      <c r="J95" s="8">
        <f>+H95*3.04%</f>
        <v>2128</v>
      </c>
      <c r="K95" s="8"/>
      <c r="L95" s="8">
        <f>+J95+I95+K95</f>
        <v>4137</v>
      </c>
      <c r="M95" s="8">
        <f>+H95-L95</f>
        <v>65863</v>
      </c>
      <c r="N95" s="8">
        <v>431.4</v>
      </c>
      <c r="O95" s="8">
        <v>5368.45</v>
      </c>
      <c r="P95" s="99">
        <v>25</v>
      </c>
      <c r="Q95" s="8">
        <f>+P95+N95+L95</f>
        <v>4593.3999999999996</v>
      </c>
      <c r="R95" s="9">
        <f>+H95-Q95</f>
        <v>65406.6</v>
      </c>
    </row>
    <row r="96" spans="1:19" s="6" customFormat="1" ht="26.25" customHeight="1" x14ac:dyDescent="0.2">
      <c r="A96" s="295" t="s">
        <v>125</v>
      </c>
      <c r="B96" s="296"/>
      <c r="C96" s="225"/>
      <c r="D96" s="225"/>
      <c r="E96" s="225"/>
      <c r="F96" s="225"/>
      <c r="G96" s="225"/>
      <c r="H96" s="14">
        <f>SUM(H95)</f>
        <v>70000</v>
      </c>
      <c r="I96" s="14">
        <f t="shared" ref="I96:R96" si="27">SUM(I95)</f>
        <v>2009</v>
      </c>
      <c r="J96" s="14">
        <f t="shared" si="27"/>
        <v>2128</v>
      </c>
      <c r="K96" s="14">
        <f t="shared" si="27"/>
        <v>0</v>
      </c>
      <c r="L96" s="14">
        <f t="shared" si="27"/>
        <v>4137</v>
      </c>
      <c r="M96" s="14">
        <f t="shared" si="27"/>
        <v>65863</v>
      </c>
      <c r="N96" s="14">
        <f t="shared" si="27"/>
        <v>431.4</v>
      </c>
      <c r="O96" s="14">
        <f t="shared" si="27"/>
        <v>5368.45</v>
      </c>
      <c r="P96" s="14">
        <f t="shared" si="27"/>
        <v>25</v>
      </c>
      <c r="Q96" s="14">
        <f t="shared" si="27"/>
        <v>4593.3999999999996</v>
      </c>
      <c r="R96" s="14">
        <f t="shared" si="27"/>
        <v>65406.6</v>
      </c>
    </row>
    <row r="97" spans="1:19" s="6" customFormat="1" ht="24.75" customHeight="1" thickBot="1" x14ac:dyDescent="0.25">
      <c r="A97" s="62"/>
      <c r="B97" s="62"/>
      <c r="C97" s="62"/>
      <c r="D97" s="62"/>
      <c r="E97" s="62"/>
      <c r="F97" s="62"/>
      <c r="G97" s="62"/>
    </row>
    <row r="98" spans="1:19" customFormat="1" ht="34.5" customHeight="1" thickBot="1" x14ac:dyDescent="0.25">
      <c r="A98" s="223" t="s">
        <v>172</v>
      </c>
      <c r="B98" s="224"/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01"/>
    </row>
    <row r="99" spans="1:19" customFormat="1" ht="34.5" customHeight="1" x14ac:dyDescent="0.2">
      <c r="A99" s="12">
        <f>+A95+1</f>
        <v>36</v>
      </c>
      <c r="B99" s="59" t="s">
        <v>137</v>
      </c>
      <c r="C99" s="145" t="s">
        <v>421</v>
      </c>
      <c r="D99" s="116" t="s">
        <v>202</v>
      </c>
      <c r="E99" s="115" t="s">
        <v>214</v>
      </c>
      <c r="F99" s="98" t="s">
        <v>621</v>
      </c>
      <c r="G99" s="98" t="s">
        <v>712</v>
      </c>
      <c r="H99" s="10">
        <v>135000</v>
      </c>
      <c r="I99" s="8">
        <f>H99*2.87%</f>
        <v>3874.5</v>
      </c>
      <c r="J99" s="8">
        <f>+H99*3.04%</f>
        <v>4104</v>
      </c>
      <c r="K99" s="8">
        <v>1577.45</v>
      </c>
      <c r="L99" s="8">
        <f>+J99+I99+K99</f>
        <v>9555.9500000000007</v>
      </c>
      <c r="M99" s="8">
        <f>+H99-L99</f>
        <v>125444.05</v>
      </c>
      <c r="N99" s="8">
        <f>+IF(M99*12&lt;=416220.01,0,IF(M99*12&lt;=624329.01,(((M99*12-416220.01)*0.15)/12),IF((M99*12&lt;=867123.01),(31216+0.2*(M99*12-624329.01))/12,((79776+0.25*(M99*12-867123.01))/12))))</f>
        <v>19943.94979166667</v>
      </c>
      <c r="O99" s="8"/>
      <c r="P99" s="99">
        <v>8164.84</v>
      </c>
      <c r="Q99" s="8">
        <f>+P99+N99+L99</f>
        <v>37664.739791666667</v>
      </c>
      <c r="R99" s="9">
        <f>+H99-Q99</f>
        <v>97335.260208333333</v>
      </c>
      <c r="S99" s="201"/>
    </row>
    <row r="100" spans="1:19" s="6" customFormat="1" ht="24" customHeight="1" x14ac:dyDescent="0.2">
      <c r="A100" s="12">
        <f>+A99+1</f>
        <v>37</v>
      </c>
      <c r="B100" s="59" t="s">
        <v>217</v>
      </c>
      <c r="C100" s="145" t="s">
        <v>422</v>
      </c>
      <c r="D100" s="115" t="s">
        <v>147</v>
      </c>
      <c r="E100" s="115" t="s">
        <v>214</v>
      </c>
      <c r="F100" s="185" t="s">
        <v>613</v>
      </c>
      <c r="G100" s="185" t="s">
        <v>710</v>
      </c>
      <c r="H100" s="10">
        <v>90000</v>
      </c>
      <c r="I100" s="8">
        <f>H100*2.87%</f>
        <v>2583</v>
      </c>
      <c r="J100" s="8">
        <f>+H100*3.04%</f>
        <v>2736</v>
      </c>
      <c r="K100" s="8">
        <v>1577.45</v>
      </c>
      <c r="L100" s="8">
        <f>+J100+I100+K100</f>
        <v>6896.45</v>
      </c>
      <c r="M100" s="8">
        <f>+H100-L100</f>
        <v>83103.55</v>
      </c>
      <c r="N100" s="8">
        <f>+IF(M100*12&lt;=416220.01,0,IF(M100*12&lt;=624329.01,(((M100*12-416220.01)*0.15)/12),IF((M100*12&lt;=867123.01),(31216+0.2*(M100*12-624329.01))/12,((79776+0.25*(M100*12-867123.01))/12))))-O100</f>
        <v>9358.8247916666678</v>
      </c>
      <c r="O100" s="8"/>
      <c r="P100" s="99">
        <v>6347.25</v>
      </c>
      <c r="Q100" s="8">
        <f>+P100+N100+L100</f>
        <v>22602.524791666667</v>
      </c>
      <c r="R100" s="9">
        <f>+H100-Q100</f>
        <v>67397.47520833333</v>
      </c>
    </row>
    <row r="101" spans="1:19" s="2" customFormat="1" ht="22.5" customHeight="1" x14ac:dyDescent="0.2">
      <c r="A101" s="295" t="s">
        <v>125</v>
      </c>
      <c r="B101" s="296"/>
      <c r="C101" s="225"/>
      <c r="D101" s="225"/>
      <c r="E101" s="225"/>
      <c r="F101" s="225"/>
      <c r="G101" s="225"/>
      <c r="H101" s="14">
        <f>SUM(H99:H100)</f>
        <v>225000</v>
      </c>
      <c r="I101" s="14">
        <f t="shared" ref="I101:R101" si="28">SUM(I99:I100)</f>
        <v>6457.5</v>
      </c>
      <c r="J101" s="14">
        <f t="shared" si="28"/>
        <v>6840</v>
      </c>
      <c r="K101" s="14">
        <f t="shared" si="28"/>
        <v>3154.9</v>
      </c>
      <c r="L101" s="14">
        <f t="shared" si="28"/>
        <v>16452.400000000001</v>
      </c>
      <c r="M101" s="14">
        <f t="shared" si="28"/>
        <v>208547.6</v>
      </c>
      <c r="N101" s="14">
        <f t="shared" si="28"/>
        <v>29302.774583333339</v>
      </c>
      <c r="O101" s="14">
        <f t="shared" si="28"/>
        <v>0</v>
      </c>
      <c r="P101" s="14">
        <f t="shared" si="28"/>
        <v>14512.09</v>
      </c>
      <c r="Q101" s="14">
        <f t="shared" si="28"/>
        <v>60267.264583333337</v>
      </c>
      <c r="R101" s="14">
        <f t="shared" si="28"/>
        <v>164732.73541666666</v>
      </c>
    </row>
    <row r="102" spans="1:19" s="2" customFormat="1" ht="21" customHeight="1" thickBot="1" x14ac:dyDescent="0.25">
      <c r="A102" s="62"/>
      <c r="B102" s="62"/>
      <c r="C102" s="62"/>
      <c r="D102" s="62"/>
      <c r="E102" s="62"/>
      <c r="F102" s="62"/>
      <c r="G102" s="62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</row>
    <row r="103" spans="1:19" customFormat="1" ht="34.5" customHeight="1" thickBot="1" x14ac:dyDescent="0.25">
      <c r="A103" s="223" t="s">
        <v>174</v>
      </c>
      <c r="B103" s="224"/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01"/>
    </row>
    <row r="104" spans="1:19" customFormat="1" ht="34.5" customHeight="1" x14ac:dyDescent="0.2">
      <c r="A104" s="12">
        <f>+A100+1</f>
        <v>38</v>
      </c>
      <c r="B104" s="59" t="s">
        <v>631</v>
      </c>
      <c r="C104" s="145" t="s">
        <v>422</v>
      </c>
      <c r="D104" s="116" t="s">
        <v>51</v>
      </c>
      <c r="E104" s="115" t="s">
        <v>214</v>
      </c>
      <c r="F104" s="24" t="s">
        <v>559</v>
      </c>
      <c r="G104" s="24" t="s">
        <v>632</v>
      </c>
      <c r="H104" s="10">
        <v>70000</v>
      </c>
      <c r="I104" s="8">
        <f>H104*2.87%</f>
        <v>2009</v>
      </c>
      <c r="J104" s="8">
        <f>+H104*3.04%</f>
        <v>2128</v>
      </c>
      <c r="K104" s="8"/>
      <c r="L104" s="8">
        <f>+J104+I104+K104</f>
        <v>4137</v>
      </c>
      <c r="M104" s="8">
        <f>+H104-L104</f>
        <v>65863</v>
      </c>
      <c r="N104" s="8">
        <f>+IF(M104*12&lt;=416220.01,0,IF(M104*12&lt;=624329.01,(((M104*12-416220.01)*0.15)/12),IF((M104*12&lt;=867123.01),(31216+0.2*(M104*12-624329.01))/12,((79776+0.25*(M104*12-867123.01))/12))))</f>
        <v>5368.4498333333331</v>
      </c>
      <c r="O104" s="8"/>
      <c r="P104" s="99">
        <v>145</v>
      </c>
      <c r="Q104" s="8">
        <f>+P104+N104+L104</f>
        <v>9650.4498333333322</v>
      </c>
      <c r="R104" s="9">
        <f>+H104-Q104</f>
        <v>60349.550166666668</v>
      </c>
      <c r="S104" s="201"/>
    </row>
    <row r="105" spans="1:19" s="2" customFormat="1" ht="22.5" customHeight="1" x14ac:dyDescent="0.2">
      <c r="A105" s="295" t="s">
        <v>125</v>
      </c>
      <c r="B105" s="296"/>
      <c r="C105" s="225"/>
      <c r="D105" s="225"/>
      <c r="E105" s="225"/>
      <c r="F105" s="225"/>
      <c r="G105" s="225"/>
      <c r="H105" s="14">
        <f>SUM(H104:H104)</f>
        <v>70000</v>
      </c>
      <c r="I105" s="14">
        <f t="shared" ref="I105:R105" si="29">SUM(I104:I104)</f>
        <v>2009</v>
      </c>
      <c r="J105" s="14">
        <f t="shared" si="29"/>
        <v>2128</v>
      </c>
      <c r="K105" s="14">
        <f t="shared" si="29"/>
        <v>0</v>
      </c>
      <c r="L105" s="14">
        <f t="shared" si="29"/>
        <v>4137</v>
      </c>
      <c r="M105" s="14">
        <f t="shared" si="29"/>
        <v>65863</v>
      </c>
      <c r="N105" s="14">
        <f t="shared" si="29"/>
        <v>5368.4498333333331</v>
      </c>
      <c r="O105" s="14">
        <f t="shared" si="29"/>
        <v>0</v>
      </c>
      <c r="P105" s="14">
        <f t="shared" si="29"/>
        <v>145</v>
      </c>
      <c r="Q105" s="14">
        <f t="shared" si="29"/>
        <v>9650.4498333333322</v>
      </c>
      <c r="R105" s="14">
        <f t="shared" si="29"/>
        <v>60349.550166666668</v>
      </c>
    </row>
    <row r="106" spans="1:19" s="2" customFormat="1" ht="21" customHeight="1" thickBot="1" x14ac:dyDescent="0.25">
      <c r="A106" s="62"/>
      <c r="B106" s="62"/>
      <c r="C106" s="62"/>
      <c r="D106" s="62"/>
      <c r="E106" s="62"/>
      <c r="F106" s="62"/>
      <c r="G106" s="62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</row>
    <row r="107" spans="1:19" s="2" customFormat="1" ht="28.5" customHeight="1" thickBot="1" x14ac:dyDescent="0.25">
      <c r="A107" s="223" t="s">
        <v>469</v>
      </c>
      <c r="B107" s="224"/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</row>
    <row r="108" spans="1:19" s="2" customFormat="1" ht="32.25" customHeight="1" thickBot="1" x14ac:dyDescent="0.25">
      <c r="A108" s="223" t="s">
        <v>470</v>
      </c>
      <c r="B108" s="224"/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</row>
    <row r="109" spans="1:19" s="2" customFormat="1" ht="33" customHeight="1" x14ac:dyDescent="0.2">
      <c r="A109" s="12">
        <f>+A104+1</f>
        <v>39</v>
      </c>
      <c r="B109" s="187" t="s">
        <v>491</v>
      </c>
      <c r="C109" s="188" t="s">
        <v>421</v>
      </c>
      <c r="D109" s="97" t="s">
        <v>512</v>
      </c>
      <c r="E109" s="97" t="s">
        <v>214</v>
      </c>
      <c r="F109" s="98" t="s">
        <v>621</v>
      </c>
      <c r="G109" s="98" t="s">
        <v>713</v>
      </c>
      <c r="H109" s="99">
        <v>190000</v>
      </c>
      <c r="I109" s="100">
        <f>H109*2.87%</f>
        <v>5453</v>
      </c>
      <c r="J109" s="8">
        <f>187020*3.04%</f>
        <v>5685.4080000000004</v>
      </c>
      <c r="K109" s="100"/>
      <c r="L109" s="8">
        <f>+J109+I109+K109</f>
        <v>11138.407999999999</v>
      </c>
      <c r="M109" s="8">
        <f>+H109-L109</f>
        <v>178861.592</v>
      </c>
      <c r="N109" s="8">
        <f>+IF(M109*12&lt;=416220.01,0,IF(M109*12&lt;=624329.01,(((M109*12-416220.01)*0.15)/12),IF((M109*12&lt;=867123.01),(31216+0.2*(M109*12-624329.01))/12,((79776+0.25*(M109*12-867123.01))/12))))-O109</f>
        <v>33298.33529166667</v>
      </c>
      <c r="O109" s="8"/>
      <c r="P109" s="99">
        <v>25</v>
      </c>
      <c r="Q109" s="8">
        <f>+P109+N109+L109</f>
        <v>44461.743291666673</v>
      </c>
      <c r="R109" s="99">
        <f>+H109-Q109</f>
        <v>145538.25670833333</v>
      </c>
    </row>
    <row r="110" spans="1:19" s="2" customFormat="1" ht="33" customHeight="1" x14ac:dyDescent="0.2">
      <c r="A110" s="12">
        <f>+A109+1</f>
        <v>40</v>
      </c>
      <c r="B110" s="8" t="s">
        <v>369</v>
      </c>
      <c r="C110" s="145" t="s">
        <v>421</v>
      </c>
      <c r="D110" s="115" t="s">
        <v>468</v>
      </c>
      <c r="E110" s="115" t="s">
        <v>214</v>
      </c>
      <c r="F110" s="98" t="s">
        <v>621</v>
      </c>
      <c r="G110" s="98" t="s">
        <v>712</v>
      </c>
      <c r="H110" s="9">
        <v>150000</v>
      </c>
      <c r="I110" s="100">
        <f>H110*2.87%</f>
        <v>4305</v>
      </c>
      <c r="J110" s="8">
        <f>+H110*3.04%</f>
        <v>4560</v>
      </c>
      <c r="K110" s="8"/>
      <c r="L110" s="8">
        <f>+J110+I110+K110</f>
        <v>8865</v>
      </c>
      <c r="M110" s="8">
        <f>+H110-L110</f>
        <v>141135</v>
      </c>
      <c r="N110" s="8">
        <f t="shared" ref="N110" si="30">+IF(M110*12&lt;=416220.01,0,IF(M110*12&lt;=624329.01,(((M110*12-416220.01)*0.15)/12),IF((M110*12&lt;=867123.01),(31216+0.2*(M110*12-624329.01))/12,((79776+0.25*(M110*12-867123.01))/12))))-O110</f>
        <v>23866.687291666665</v>
      </c>
      <c r="O110" s="8"/>
      <c r="P110" s="99">
        <v>25</v>
      </c>
      <c r="Q110" s="8">
        <f>+P110+N110+L110</f>
        <v>32756.687291666665</v>
      </c>
      <c r="R110" s="99">
        <f>+H110-Q110</f>
        <v>117243.31270833334</v>
      </c>
    </row>
    <row r="111" spans="1:19" s="2" customFormat="1" ht="33" customHeight="1" x14ac:dyDescent="0.2">
      <c r="A111" s="12">
        <f>+A110+1</f>
        <v>41</v>
      </c>
      <c r="B111" s="8" t="s">
        <v>552</v>
      </c>
      <c r="C111" s="145" t="s">
        <v>422</v>
      </c>
      <c r="D111" s="115" t="s">
        <v>553</v>
      </c>
      <c r="E111" s="115" t="s">
        <v>214</v>
      </c>
      <c r="F111" s="98" t="s">
        <v>550</v>
      </c>
      <c r="G111" s="98" t="s">
        <v>614</v>
      </c>
      <c r="H111" s="9">
        <v>90000</v>
      </c>
      <c r="I111" s="100">
        <f>H111*2.87%</f>
        <v>2583</v>
      </c>
      <c r="J111" s="8">
        <f>+H111*3.04%</f>
        <v>2736</v>
      </c>
      <c r="K111" s="8"/>
      <c r="L111" s="8">
        <f>+J111+I111+K111</f>
        <v>5319</v>
      </c>
      <c r="M111" s="8">
        <f>+H111-L111</f>
        <v>84681</v>
      </c>
      <c r="N111" s="8">
        <v>6256.38</v>
      </c>
      <c r="O111" s="8">
        <v>9753.19</v>
      </c>
      <c r="P111" s="99">
        <v>25</v>
      </c>
      <c r="Q111" s="8">
        <f>+P111+N111+L111</f>
        <v>11600.380000000001</v>
      </c>
      <c r="R111" s="99">
        <f>+H111-Q111</f>
        <v>78399.62</v>
      </c>
    </row>
    <row r="112" spans="1:19" s="2" customFormat="1" ht="22.5" customHeight="1" x14ac:dyDescent="0.2">
      <c r="A112" s="295" t="s">
        <v>125</v>
      </c>
      <c r="B112" s="296"/>
      <c r="C112" s="225"/>
      <c r="D112" s="225"/>
      <c r="E112" s="225"/>
      <c r="F112" s="225"/>
      <c r="G112" s="225"/>
      <c r="H112" s="14">
        <f>SUM(H109:H111)</f>
        <v>430000</v>
      </c>
      <c r="I112" s="14">
        <f t="shared" ref="I112:R112" si="31">SUM(I109:I111)</f>
        <v>12341</v>
      </c>
      <c r="J112" s="14">
        <f t="shared" si="31"/>
        <v>12981.407999999999</v>
      </c>
      <c r="K112" s="14">
        <f t="shared" si="31"/>
        <v>0</v>
      </c>
      <c r="L112" s="14">
        <f t="shared" si="31"/>
        <v>25322.407999999999</v>
      </c>
      <c r="M112" s="14">
        <f t="shared" si="31"/>
        <v>404677.592</v>
      </c>
      <c r="N112" s="14">
        <f t="shared" si="31"/>
        <v>63421.402583333336</v>
      </c>
      <c r="O112" s="14">
        <f t="shared" si="31"/>
        <v>9753.19</v>
      </c>
      <c r="P112" s="14">
        <f t="shared" si="31"/>
        <v>75</v>
      </c>
      <c r="Q112" s="14">
        <f t="shared" si="31"/>
        <v>88818.810583333339</v>
      </c>
      <c r="R112" s="14">
        <f t="shared" si="31"/>
        <v>341181.18941666663</v>
      </c>
    </row>
    <row r="113" spans="1:19" s="2" customFormat="1" ht="29.25" customHeight="1" thickBot="1" x14ac:dyDescent="0.25">
      <c r="A113" s="62"/>
      <c r="B113" s="62"/>
      <c r="C113" s="62"/>
      <c r="D113" s="62"/>
      <c r="E113" s="62"/>
      <c r="F113" s="62"/>
      <c r="G113" s="62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</row>
    <row r="114" spans="1:19" s="2" customFormat="1" ht="22.5" customHeight="1" thickBot="1" x14ac:dyDescent="0.25">
      <c r="A114" s="223" t="s">
        <v>381</v>
      </c>
      <c r="B114" s="224"/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</row>
    <row r="115" spans="1:19" s="2" customFormat="1" ht="28.5" customHeight="1" x14ac:dyDescent="0.2">
      <c r="A115" s="96">
        <f>+A111+1</f>
        <v>42</v>
      </c>
      <c r="B115" s="98" t="s">
        <v>516</v>
      </c>
      <c r="C115" s="96" t="s">
        <v>422</v>
      </c>
      <c r="D115" s="98" t="s">
        <v>132</v>
      </c>
      <c r="E115" s="97" t="s">
        <v>214</v>
      </c>
      <c r="F115" s="24" t="s">
        <v>559</v>
      </c>
      <c r="G115" s="24" t="s">
        <v>622</v>
      </c>
      <c r="H115" s="8">
        <v>50000</v>
      </c>
      <c r="I115" s="100">
        <f>H115*2.87%</f>
        <v>1435</v>
      </c>
      <c r="J115" s="100">
        <f>+H115*3.04%</f>
        <v>1520</v>
      </c>
      <c r="K115" s="100"/>
      <c r="L115" s="8">
        <f>+J115+I115+K115</f>
        <v>2955</v>
      </c>
      <c r="M115" s="8">
        <f>+H115-L115</f>
        <v>47045</v>
      </c>
      <c r="N115" s="8">
        <f>+IF(M115*12&lt;=416220.01,0,IF(M115*12&lt;=624329.01,(((M115*12-416220.01)*0.15)/12),IF((M115*12&lt;=867123.01),(31216+0.2*(M115*12-624329.01))/12,((79776+0.25*(M115*12-867123.01))/12))))</f>
        <v>1853.9998749999997</v>
      </c>
      <c r="O115" s="8"/>
      <c r="P115" s="99">
        <v>25</v>
      </c>
      <c r="Q115" s="8">
        <f>+P115+N115+L115</f>
        <v>4833.9998749999995</v>
      </c>
      <c r="R115" s="99">
        <f>+H115-Q115</f>
        <v>45166.000124999999</v>
      </c>
    </row>
    <row r="116" spans="1:19" s="2" customFormat="1" ht="28.5" customHeight="1" x14ac:dyDescent="0.2">
      <c r="A116" s="96">
        <f>+A115+1</f>
        <v>43</v>
      </c>
      <c r="B116" s="98" t="s">
        <v>678</v>
      </c>
      <c r="C116" s="96" t="s">
        <v>422</v>
      </c>
      <c r="D116" s="98" t="s">
        <v>132</v>
      </c>
      <c r="E116" s="97" t="s">
        <v>214</v>
      </c>
      <c r="F116" s="24" t="s">
        <v>613</v>
      </c>
      <c r="G116" s="24" t="s">
        <v>667</v>
      </c>
      <c r="H116" s="8">
        <v>45000</v>
      </c>
      <c r="I116" s="100">
        <f>H116*2.87%</f>
        <v>1291.5</v>
      </c>
      <c r="J116" s="100">
        <f>+H116*3.04%</f>
        <v>1368</v>
      </c>
      <c r="K116" s="100"/>
      <c r="L116" s="8">
        <f>+J116+I116+K116</f>
        <v>2659.5</v>
      </c>
      <c r="M116" s="8">
        <f>+H116-L116</f>
        <v>42340.5</v>
      </c>
      <c r="N116" s="8">
        <f>+IF(M116*12&lt;=416220.01,0,IF(M116*12&lt;=624329.01,(((M116*12-416220.01)*0.15)/12),IF((M116*12&lt;=867123.01),(31216+0.2*(M116*12-624329.01))/12,((79776+0.25*(M116*12-867123.01))/12))))</f>
        <v>1148.3248749999998</v>
      </c>
      <c r="O116" s="8"/>
      <c r="P116" s="99">
        <v>25</v>
      </c>
      <c r="Q116" s="8">
        <f>+P116+N116+L116</f>
        <v>3832.8248749999998</v>
      </c>
      <c r="R116" s="99">
        <f>+H116-Q116</f>
        <v>41167.175125000002</v>
      </c>
    </row>
    <row r="117" spans="1:19" s="2" customFormat="1" ht="29.25" customHeight="1" x14ac:dyDescent="0.2">
      <c r="A117" s="295" t="s">
        <v>125</v>
      </c>
      <c r="B117" s="296"/>
      <c r="C117" s="225"/>
      <c r="D117" s="225"/>
      <c r="E117" s="225"/>
      <c r="F117" s="225"/>
      <c r="G117" s="225"/>
      <c r="H117" s="14">
        <f>SUM(H115:H116)</f>
        <v>95000</v>
      </c>
      <c r="I117" s="14">
        <f t="shared" ref="I117:R117" si="32">SUM(I115:I116)</f>
        <v>2726.5</v>
      </c>
      <c r="J117" s="14">
        <f t="shared" si="32"/>
        <v>2888</v>
      </c>
      <c r="K117" s="14">
        <f t="shared" si="32"/>
        <v>0</v>
      </c>
      <c r="L117" s="14">
        <f t="shared" si="32"/>
        <v>5614.5</v>
      </c>
      <c r="M117" s="14">
        <f t="shared" si="32"/>
        <v>89385.5</v>
      </c>
      <c r="N117" s="14">
        <f t="shared" si="32"/>
        <v>3002.3247499999998</v>
      </c>
      <c r="O117" s="14">
        <f t="shared" si="32"/>
        <v>0</v>
      </c>
      <c r="P117" s="14">
        <f t="shared" si="32"/>
        <v>50</v>
      </c>
      <c r="Q117" s="14">
        <f t="shared" si="32"/>
        <v>8666.8247499999998</v>
      </c>
      <c r="R117" s="14">
        <f t="shared" si="32"/>
        <v>86333.17525</v>
      </c>
    </row>
    <row r="118" spans="1:19" s="68" customFormat="1" ht="29.25" customHeight="1" thickBot="1" x14ac:dyDescent="0.25">
      <c r="A118" s="197"/>
      <c r="B118" s="197"/>
      <c r="C118" s="197"/>
      <c r="D118" s="197"/>
      <c r="E118" s="197"/>
      <c r="F118" s="197"/>
      <c r="G118" s="197"/>
      <c r="H118" s="74"/>
      <c r="I118" s="74"/>
      <c r="J118" s="74"/>
      <c r="K118" s="74"/>
      <c r="L118" s="74"/>
      <c r="M118" s="74"/>
      <c r="N118" s="74"/>
      <c r="O118" s="74"/>
      <c r="P118" s="74"/>
      <c r="Q118" s="74"/>
      <c r="R118" s="74"/>
      <c r="S118" s="2"/>
    </row>
    <row r="119" spans="1:19" s="74" customFormat="1" ht="24.95" customHeight="1" thickBot="1" x14ac:dyDescent="0.25">
      <c r="A119" s="223" t="s">
        <v>381</v>
      </c>
      <c r="B119" s="224"/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6"/>
    </row>
    <row r="120" spans="1:19" s="6" customFormat="1" ht="24.75" customHeight="1" x14ac:dyDescent="0.2">
      <c r="A120" s="96">
        <f>+A116+1</f>
        <v>44</v>
      </c>
      <c r="B120" s="24" t="s">
        <v>363</v>
      </c>
      <c r="C120" s="12" t="s">
        <v>422</v>
      </c>
      <c r="D120" s="24" t="s">
        <v>113</v>
      </c>
      <c r="E120" s="115" t="s">
        <v>214</v>
      </c>
      <c r="F120" s="98" t="s">
        <v>623</v>
      </c>
      <c r="G120" s="98" t="s">
        <v>714</v>
      </c>
      <c r="H120" s="8">
        <v>70000</v>
      </c>
      <c r="I120" s="100">
        <f>H120*2.87%</f>
        <v>2009</v>
      </c>
      <c r="J120" s="100">
        <f>+H120*3.04%</f>
        <v>2128</v>
      </c>
      <c r="K120" s="100"/>
      <c r="L120" s="8">
        <f>+J120+I120+K120</f>
        <v>4137</v>
      </c>
      <c r="M120" s="8">
        <f>+H120-L120</f>
        <v>65863</v>
      </c>
      <c r="N120" s="8">
        <f>+IF(M120*12&lt;=416220.01,0,IF(M120*12&lt;=624329.01,(((M120*12-416220.01)*0.15)/12),IF((M120*12&lt;=867123.01),(31216+0.2*(M120*12-624329.01))/12,((79776+0.25*(M120*12-867123.01))/12))))-O120</f>
        <v>5368.4498333333331</v>
      </c>
      <c r="O120" s="8"/>
      <c r="P120" s="99">
        <v>1065</v>
      </c>
      <c r="Q120" s="8">
        <f>+P120+N120+L120</f>
        <v>10570.449833333332</v>
      </c>
      <c r="R120" s="99">
        <f>+H120-Q120</f>
        <v>59429.550166666668</v>
      </c>
    </row>
    <row r="121" spans="1:19" s="6" customFormat="1" ht="24.95" customHeight="1" x14ac:dyDescent="0.2">
      <c r="A121" s="295" t="s">
        <v>125</v>
      </c>
      <c r="B121" s="296"/>
      <c r="C121" s="225"/>
      <c r="D121" s="225"/>
      <c r="E121" s="225"/>
      <c r="F121" s="225"/>
      <c r="G121" s="225"/>
      <c r="H121" s="14">
        <f>SUM(H120:H120)</f>
        <v>70000</v>
      </c>
      <c r="I121" s="14">
        <f t="shared" ref="I121:R121" si="33">SUM(I120:I120)</f>
        <v>2009</v>
      </c>
      <c r="J121" s="14">
        <f t="shared" si="33"/>
        <v>2128</v>
      </c>
      <c r="K121" s="14">
        <f t="shared" si="33"/>
        <v>0</v>
      </c>
      <c r="L121" s="14">
        <f t="shared" si="33"/>
        <v>4137</v>
      </c>
      <c r="M121" s="14">
        <f t="shared" si="33"/>
        <v>65863</v>
      </c>
      <c r="N121" s="14">
        <f t="shared" si="33"/>
        <v>5368.4498333333331</v>
      </c>
      <c r="O121" s="14">
        <f t="shared" si="33"/>
        <v>0</v>
      </c>
      <c r="P121" s="14">
        <f t="shared" si="33"/>
        <v>1065</v>
      </c>
      <c r="Q121" s="14">
        <f t="shared" si="33"/>
        <v>10570.449833333332</v>
      </c>
      <c r="R121" s="14">
        <f t="shared" si="33"/>
        <v>59429.550166666668</v>
      </c>
    </row>
    <row r="122" spans="1:19" s="6" customFormat="1" ht="24.95" customHeight="1" thickBot="1" x14ac:dyDescent="0.25">
      <c r="A122" s="62"/>
      <c r="B122" s="62"/>
      <c r="C122" s="62"/>
      <c r="D122" s="62"/>
      <c r="E122" s="62"/>
      <c r="F122" s="62"/>
      <c r="G122" s="62"/>
    </row>
    <row r="123" spans="1:19" s="6" customFormat="1" ht="24.95" customHeight="1" x14ac:dyDescent="0.2">
      <c r="A123" s="233" t="s">
        <v>501</v>
      </c>
      <c r="B123" s="234"/>
      <c r="C123" s="234"/>
      <c r="D123" s="234"/>
      <c r="E123" s="234"/>
      <c r="F123" s="234"/>
      <c r="G123" s="234"/>
      <c r="H123" s="234"/>
      <c r="I123" s="234"/>
      <c r="J123" s="234"/>
      <c r="K123" s="234"/>
      <c r="L123" s="234"/>
      <c r="M123" s="234"/>
      <c r="N123" s="234"/>
      <c r="O123" s="234"/>
      <c r="P123" s="234"/>
      <c r="Q123" s="234"/>
      <c r="R123" s="234"/>
    </row>
    <row r="124" spans="1:19" s="6" customFormat="1" ht="24.95" customHeight="1" x14ac:dyDescent="0.2">
      <c r="A124" s="66">
        <f>+A120+1</f>
        <v>45</v>
      </c>
      <c r="B124" s="186" t="s">
        <v>515</v>
      </c>
      <c r="C124" s="66" t="s">
        <v>422</v>
      </c>
      <c r="D124" s="186" t="s">
        <v>93</v>
      </c>
      <c r="E124" s="103" t="s">
        <v>214</v>
      </c>
      <c r="F124" s="24" t="s">
        <v>559</v>
      </c>
      <c r="G124" s="24" t="s">
        <v>622</v>
      </c>
      <c r="H124" s="61">
        <v>90000</v>
      </c>
      <c r="I124" s="61">
        <f>H124*2.87%</f>
        <v>2583</v>
      </c>
      <c r="J124" s="61">
        <f>+H124*3.04%</f>
        <v>2736</v>
      </c>
      <c r="K124" s="61"/>
      <c r="L124" s="5">
        <f>+J124+I124+K124</f>
        <v>5319</v>
      </c>
      <c r="M124" s="5">
        <f>+H124-L124</f>
        <v>84681</v>
      </c>
      <c r="N124" s="5">
        <f>+IF(M124*12&lt;=416220.01,0,IF(M124*12&lt;=624329.01,(((M124*12-416220.01)*0.15)/12),IF((M124*12&lt;=867123.01),(31216+0.2*(M124*12-624329.01))/12,((79776+0.25*(M124*12-867123.01))/12))))-O124</f>
        <v>9753.1872916666671</v>
      </c>
      <c r="O124" s="5"/>
      <c r="P124" s="67">
        <v>2783.31</v>
      </c>
      <c r="Q124" s="5">
        <f>+P124+N124+L124</f>
        <v>17855.497291666667</v>
      </c>
      <c r="R124" s="67">
        <f>+H124-Q124</f>
        <v>72144.502708333341</v>
      </c>
    </row>
    <row r="125" spans="1:19" s="6" customFormat="1" ht="24.95" customHeight="1" x14ac:dyDescent="0.2">
      <c r="A125" s="295" t="s">
        <v>125</v>
      </c>
      <c r="B125" s="296"/>
      <c r="C125" s="225"/>
      <c r="D125" s="225"/>
      <c r="E125" s="225"/>
      <c r="F125" s="225"/>
      <c r="G125" s="225"/>
      <c r="H125" s="14">
        <f>SUM(H124:H124)</f>
        <v>90000</v>
      </c>
      <c r="I125" s="14">
        <f t="shared" ref="I125:R125" si="34">SUM(I124:I124)</f>
        <v>2583</v>
      </c>
      <c r="J125" s="14">
        <f t="shared" si="34"/>
        <v>2736</v>
      </c>
      <c r="K125" s="14">
        <f t="shared" si="34"/>
        <v>0</v>
      </c>
      <c r="L125" s="14">
        <f t="shared" si="34"/>
        <v>5319</v>
      </c>
      <c r="M125" s="14">
        <f t="shared" si="34"/>
        <v>84681</v>
      </c>
      <c r="N125" s="14">
        <f t="shared" si="34"/>
        <v>9753.1872916666671</v>
      </c>
      <c r="O125" s="14">
        <f t="shared" si="34"/>
        <v>0</v>
      </c>
      <c r="P125" s="14">
        <f t="shared" si="34"/>
        <v>2783.31</v>
      </c>
      <c r="Q125" s="14">
        <f t="shared" si="34"/>
        <v>17855.497291666667</v>
      </c>
      <c r="R125" s="14">
        <f t="shared" si="34"/>
        <v>72144.502708333341</v>
      </c>
    </row>
    <row r="126" spans="1:19" s="6" customFormat="1" ht="24.95" customHeight="1" thickBot="1" x14ac:dyDescent="0.25">
      <c r="A126" s="62"/>
      <c r="B126" s="62"/>
      <c r="C126" s="62"/>
      <c r="D126" s="62"/>
      <c r="E126" s="62"/>
      <c r="F126" s="62"/>
      <c r="G126" s="62"/>
      <c r="H126" s="62"/>
      <c r="I126" s="62"/>
      <c r="J126" s="62"/>
      <c r="K126" s="62"/>
      <c r="L126" s="62"/>
      <c r="M126" s="62"/>
      <c r="N126" s="62"/>
      <c r="O126" s="62"/>
      <c r="P126" s="62"/>
      <c r="Q126" s="62"/>
      <c r="R126" s="62"/>
    </row>
    <row r="127" spans="1:19" s="6" customFormat="1" ht="24.95" customHeight="1" x14ac:dyDescent="0.2">
      <c r="A127" s="233" t="s">
        <v>381</v>
      </c>
      <c r="B127" s="234"/>
      <c r="C127" s="234"/>
      <c r="D127" s="234"/>
      <c r="E127" s="234"/>
      <c r="F127" s="234"/>
      <c r="G127" s="234"/>
      <c r="H127" s="234"/>
      <c r="I127" s="234"/>
      <c r="J127" s="234"/>
      <c r="K127" s="234"/>
      <c r="L127" s="234"/>
      <c r="M127" s="234"/>
      <c r="N127" s="234"/>
      <c r="O127" s="234"/>
      <c r="P127" s="234"/>
      <c r="Q127" s="234"/>
      <c r="R127" s="234"/>
    </row>
    <row r="128" spans="1:19" s="6" customFormat="1" ht="24.95" customHeight="1" x14ac:dyDescent="0.2">
      <c r="A128" s="66">
        <f>+A124+1</f>
        <v>46</v>
      </c>
      <c r="B128" s="120" t="s">
        <v>503</v>
      </c>
      <c r="C128" s="119" t="s">
        <v>422</v>
      </c>
      <c r="D128" s="120" t="s">
        <v>472</v>
      </c>
      <c r="E128" s="118" t="s">
        <v>214</v>
      </c>
      <c r="F128" s="185" t="s">
        <v>624</v>
      </c>
      <c r="G128" s="185" t="s">
        <v>711</v>
      </c>
      <c r="H128" s="5">
        <v>80000</v>
      </c>
      <c r="I128" s="61">
        <f>H128*2.87%</f>
        <v>2296</v>
      </c>
      <c r="J128" s="61">
        <f>+H128*3.04%</f>
        <v>2432</v>
      </c>
      <c r="K128" s="61">
        <v>1577.45</v>
      </c>
      <c r="L128" s="5">
        <f>+J128+I128+K128</f>
        <v>6305.45</v>
      </c>
      <c r="M128" s="5">
        <f>+H128-L128</f>
        <v>73694.55</v>
      </c>
      <c r="N128" s="5">
        <f>+IF(M128*12&lt;=416220.01,0,IF(M128*12&lt;=624329.01,(((M128*12-416220.01)*0.15)/12),IF((M128*12&lt;=867123.01),(31216+0.2*(M128*12-624329.01))/12,((79776+0.25*(M128*12-867123.01))/12))))-O128</f>
        <v>7006.5747916666687</v>
      </c>
      <c r="O128" s="5"/>
      <c r="P128" s="67">
        <v>25</v>
      </c>
      <c r="Q128" s="5">
        <f>+P128+N128+L128</f>
        <v>13337.024791666669</v>
      </c>
      <c r="R128" s="67">
        <f>+H128-Q128</f>
        <v>66662.97520833333</v>
      </c>
    </row>
    <row r="129" spans="1:19" s="6" customFormat="1" ht="24.95" customHeight="1" x14ac:dyDescent="0.2">
      <c r="A129" s="66">
        <f>+A128+1</f>
        <v>47</v>
      </c>
      <c r="B129" s="120" t="s">
        <v>471</v>
      </c>
      <c r="C129" s="119" t="s">
        <v>422</v>
      </c>
      <c r="D129" s="120" t="s">
        <v>472</v>
      </c>
      <c r="E129" s="118" t="s">
        <v>214</v>
      </c>
      <c r="F129" s="185" t="s">
        <v>613</v>
      </c>
      <c r="G129" s="185" t="s">
        <v>710</v>
      </c>
      <c r="H129" s="5">
        <v>70000</v>
      </c>
      <c r="I129" s="61">
        <f>H129*2.87%</f>
        <v>2009</v>
      </c>
      <c r="J129" s="61">
        <f>+H129*3.04%</f>
        <v>2128</v>
      </c>
      <c r="K129" s="61">
        <v>1577.45</v>
      </c>
      <c r="L129" s="8">
        <f>+J129+I129+K129</f>
        <v>5714.45</v>
      </c>
      <c r="M129" s="8">
        <f>+H129-L129</f>
        <v>64285.55</v>
      </c>
      <c r="N129" s="5">
        <f>+IF(M129*12&lt;=416220.01,0,IF(M129*12&lt;=624329.01,(((M129*12-416220.01)*0.15)/12),IF((M129*12&lt;=867123.01),(31216+0.2*(M129*12-624329.01))/12,((79776+0.25*(M129*12-867123.01))/12))))-O129</f>
        <v>5052.9598333333352</v>
      </c>
      <c r="O129" s="8"/>
      <c r="P129" s="67">
        <v>1025</v>
      </c>
      <c r="Q129" s="8">
        <f>+P129+N129+L129</f>
        <v>11792.409833333335</v>
      </c>
      <c r="R129" s="67">
        <f>+H129-Q129</f>
        <v>58207.590166666661</v>
      </c>
    </row>
    <row r="130" spans="1:19" s="6" customFormat="1" ht="24.95" customHeight="1" x14ac:dyDescent="0.2">
      <c r="A130" s="66">
        <f>+A129+1</f>
        <v>48</v>
      </c>
      <c r="B130" s="120" t="s">
        <v>679</v>
      </c>
      <c r="C130" s="119" t="s">
        <v>422</v>
      </c>
      <c r="D130" s="120" t="s">
        <v>472</v>
      </c>
      <c r="E130" s="118" t="s">
        <v>214</v>
      </c>
      <c r="F130" s="117" t="s">
        <v>613</v>
      </c>
      <c r="G130" s="117" t="s">
        <v>670</v>
      </c>
      <c r="H130" s="5">
        <v>70000</v>
      </c>
      <c r="I130" s="61">
        <f>H130*2.87%</f>
        <v>2009</v>
      </c>
      <c r="J130" s="61">
        <f>+H130*3.04%</f>
        <v>2128</v>
      </c>
      <c r="K130" s="61"/>
      <c r="L130" s="8">
        <f>+J130+I130+K130</f>
        <v>4137</v>
      </c>
      <c r="M130" s="8">
        <f>+H130-L130</f>
        <v>65863</v>
      </c>
      <c r="N130" s="5">
        <f>+IF(M130*12&lt;=416220.01,0,IF(M130*12&lt;=624329.01,(((M130*12-416220.01)*0.15)/12),IF((M130*12&lt;=867123.01),(31216+0.2*(M130*12-624329.01))/12,((79776+0.25*(M130*12-867123.01))/12))))-O130</f>
        <v>5368.4498333333331</v>
      </c>
      <c r="O130" s="8"/>
      <c r="P130" s="67">
        <v>25</v>
      </c>
      <c r="Q130" s="8">
        <f>+P130+N130+L130</f>
        <v>9530.4498333333322</v>
      </c>
      <c r="R130" s="67">
        <f>+H130-Q130</f>
        <v>60469.550166666668</v>
      </c>
    </row>
    <row r="131" spans="1:19" s="6" customFormat="1" ht="24.95" customHeight="1" x14ac:dyDescent="0.2">
      <c r="A131" s="295" t="s">
        <v>125</v>
      </c>
      <c r="B131" s="296"/>
      <c r="C131" s="225"/>
      <c r="D131" s="225"/>
      <c r="E131" s="225"/>
      <c r="F131" s="225"/>
      <c r="G131" s="225"/>
      <c r="H131" s="14">
        <f>SUM(H128:H130)</f>
        <v>220000</v>
      </c>
      <c r="I131" s="14">
        <f t="shared" ref="I131:R131" si="35">SUM(I128:I130)</f>
        <v>6314</v>
      </c>
      <c r="J131" s="14">
        <f t="shared" si="35"/>
        <v>6688</v>
      </c>
      <c r="K131" s="14">
        <f t="shared" si="35"/>
        <v>3154.9</v>
      </c>
      <c r="L131" s="14">
        <f t="shared" si="35"/>
        <v>16156.9</v>
      </c>
      <c r="M131" s="14">
        <f t="shared" si="35"/>
        <v>203843.1</v>
      </c>
      <c r="N131" s="14">
        <f t="shared" si="35"/>
        <v>17427.984458333336</v>
      </c>
      <c r="O131" s="14">
        <f t="shared" si="35"/>
        <v>0</v>
      </c>
      <c r="P131" s="14">
        <f t="shared" si="35"/>
        <v>1075</v>
      </c>
      <c r="Q131" s="14">
        <f t="shared" si="35"/>
        <v>34659.884458333334</v>
      </c>
      <c r="R131" s="14">
        <f t="shared" si="35"/>
        <v>185340.11554166666</v>
      </c>
    </row>
    <row r="132" spans="1:19" s="2" customFormat="1" ht="24.95" customHeight="1" thickBot="1" x14ac:dyDescent="0.25">
      <c r="A132" s="62"/>
      <c r="B132" s="62"/>
      <c r="C132" s="62"/>
      <c r="D132" s="62"/>
      <c r="E132" s="62"/>
      <c r="F132" s="62"/>
      <c r="G132" s="62"/>
      <c r="H132"/>
      <c r="I132"/>
      <c r="J132"/>
      <c r="K132"/>
      <c r="L132"/>
      <c r="M132"/>
      <c r="N132"/>
      <c r="O132"/>
      <c r="P132"/>
      <c r="Q132"/>
      <c r="R132"/>
    </row>
    <row r="133" spans="1:19" s="68" customFormat="1" ht="24.95" customHeight="1" thickBot="1" x14ac:dyDescent="0.25">
      <c r="A133" s="223" t="s">
        <v>298</v>
      </c>
      <c r="B133" s="224"/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"/>
    </row>
    <row r="134" spans="1:19" s="68" customFormat="1" ht="26.25" customHeight="1" x14ac:dyDescent="0.2">
      <c r="A134" s="96">
        <f>+A130+1</f>
        <v>49</v>
      </c>
      <c r="B134" s="24" t="s">
        <v>130</v>
      </c>
      <c r="C134" s="12" t="s">
        <v>421</v>
      </c>
      <c r="D134" s="115" t="s">
        <v>129</v>
      </c>
      <c r="E134" s="115" t="s">
        <v>214</v>
      </c>
      <c r="F134" s="24" t="s">
        <v>546</v>
      </c>
      <c r="G134" s="24" t="s">
        <v>611</v>
      </c>
      <c r="H134" s="9">
        <v>190000</v>
      </c>
      <c r="I134" s="100">
        <f>H134*2.87%</f>
        <v>5453</v>
      </c>
      <c r="J134" s="5">
        <f>187020*3.04%</f>
        <v>5685.4080000000004</v>
      </c>
      <c r="K134" s="5"/>
      <c r="L134" s="8">
        <f>+J134+I134+K134</f>
        <v>11138.407999999999</v>
      </c>
      <c r="M134" s="8">
        <f>+H134-L134</f>
        <v>178861.592</v>
      </c>
      <c r="N134" s="8">
        <f>+IF(M134*12&lt;=416220.01,0,IF(M134*12&lt;=624329.01,(((M134*12-416220.01)*0.15)/12),IF((M134*12&lt;=867123.01),(31216+0.2*(M134*12-624329.01))/12,((79776+0.25*(M134*12-867123.01))/12))))-O134</f>
        <v>33298.33529166667</v>
      </c>
      <c r="O134" s="8"/>
      <c r="P134" s="99">
        <v>25</v>
      </c>
      <c r="Q134" s="8">
        <f>+P134+N134+L134</f>
        <v>44461.743291666673</v>
      </c>
      <c r="R134" s="99">
        <f>+H134-Q134</f>
        <v>145538.25670833333</v>
      </c>
      <c r="S134" s="2"/>
    </row>
    <row r="135" spans="1:19" s="68" customFormat="1" ht="24.95" customHeight="1" x14ac:dyDescent="0.2">
      <c r="A135" s="96">
        <f>+A134+1</f>
        <v>50</v>
      </c>
      <c r="B135" s="185" t="s">
        <v>633</v>
      </c>
      <c r="C135" s="66" t="s">
        <v>422</v>
      </c>
      <c r="D135" s="185" t="s">
        <v>521</v>
      </c>
      <c r="E135" s="115" t="s">
        <v>214</v>
      </c>
      <c r="F135" s="24" t="s">
        <v>559</v>
      </c>
      <c r="G135" s="24" t="s">
        <v>632</v>
      </c>
      <c r="H135" s="104">
        <v>45000</v>
      </c>
      <c r="I135" s="5">
        <f t="shared" ref="I135:I136" si="36">H135*2.87%</f>
        <v>1291.5</v>
      </c>
      <c r="J135" s="5">
        <f t="shared" ref="J135:J136" si="37">+H135*3.04%</f>
        <v>1368</v>
      </c>
      <c r="K135" s="5"/>
      <c r="L135" s="8">
        <f>+J135+I135+K135</f>
        <v>2659.5</v>
      </c>
      <c r="M135" s="8">
        <f>+H135-L135</f>
        <v>42340.5</v>
      </c>
      <c r="N135" s="8">
        <f t="shared" ref="N135:N136" si="38">+IF(M135*12&lt;=416220.01,0,IF(M135*12&lt;=624329.01,(((M135*12-416220.01)*0.15)/12),IF((M135*12&lt;=867123.01),(31216+0.2*(M135*12-624329.01))/12,((79776+0.25*(M135*12-867123.01))/12))))-O135</f>
        <v>1148.3248749999998</v>
      </c>
      <c r="O135" s="8"/>
      <c r="P135" s="99">
        <v>3525</v>
      </c>
      <c r="Q135" s="8">
        <f t="shared" ref="Q135:Q136" si="39">+P135+N135+L135</f>
        <v>7332.8248750000002</v>
      </c>
      <c r="R135" s="99">
        <f>H135-Q135</f>
        <v>37667.175125000002</v>
      </c>
      <c r="S135" s="2"/>
    </row>
    <row r="136" spans="1:19" s="68" customFormat="1" ht="24.95" customHeight="1" x14ac:dyDescent="0.2">
      <c r="A136" s="96">
        <f t="shared" ref="A136" si="40">+A135+1</f>
        <v>51</v>
      </c>
      <c r="B136" s="185" t="s">
        <v>634</v>
      </c>
      <c r="C136" s="66" t="s">
        <v>422</v>
      </c>
      <c r="D136" s="185" t="s">
        <v>521</v>
      </c>
      <c r="E136" s="115" t="s">
        <v>214</v>
      </c>
      <c r="F136" s="24" t="s">
        <v>559</v>
      </c>
      <c r="G136" s="24" t="s">
        <v>632</v>
      </c>
      <c r="H136" s="104">
        <v>45000</v>
      </c>
      <c r="I136" s="5">
        <f t="shared" si="36"/>
        <v>1291.5</v>
      </c>
      <c r="J136" s="5">
        <f t="shared" si="37"/>
        <v>1368</v>
      </c>
      <c r="K136" s="5"/>
      <c r="L136" s="8">
        <f>+J136+I136+K136</f>
        <v>2659.5</v>
      </c>
      <c r="M136" s="8">
        <f>+H136-L136</f>
        <v>42340.5</v>
      </c>
      <c r="N136" s="8">
        <f t="shared" si="38"/>
        <v>1148.3248749999998</v>
      </c>
      <c r="O136" s="8"/>
      <c r="P136" s="99">
        <v>25</v>
      </c>
      <c r="Q136" s="8">
        <f t="shared" si="39"/>
        <v>3832.8248749999998</v>
      </c>
      <c r="R136" s="99">
        <f>H136-Q136</f>
        <v>41167.175125000002</v>
      </c>
      <c r="S136" s="2"/>
    </row>
    <row r="137" spans="1:19" s="2" customFormat="1" ht="27" customHeight="1" x14ac:dyDescent="0.2">
      <c r="A137" s="295" t="s">
        <v>125</v>
      </c>
      <c r="B137" s="296"/>
      <c r="C137" s="225"/>
      <c r="D137" s="225"/>
      <c r="E137" s="225"/>
      <c r="F137" s="225"/>
      <c r="G137" s="225"/>
      <c r="H137" s="14">
        <f>SUM(H134:H136)</f>
        <v>280000</v>
      </c>
      <c r="I137" s="14">
        <f t="shared" ref="I137:R137" si="41">SUM(I134:I136)</f>
        <v>8036</v>
      </c>
      <c r="J137" s="14">
        <f t="shared" si="41"/>
        <v>8421.4079999999994</v>
      </c>
      <c r="K137" s="14">
        <f t="shared" si="41"/>
        <v>0</v>
      </c>
      <c r="L137" s="14">
        <f t="shared" si="41"/>
        <v>16457.407999999999</v>
      </c>
      <c r="M137" s="14">
        <f t="shared" si="41"/>
        <v>263542.592</v>
      </c>
      <c r="N137" s="14">
        <f t="shared" si="41"/>
        <v>35594.985041666667</v>
      </c>
      <c r="O137" s="14">
        <f t="shared" si="41"/>
        <v>0</v>
      </c>
      <c r="P137" s="14">
        <f t="shared" si="41"/>
        <v>3575</v>
      </c>
      <c r="Q137" s="14">
        <f t="shared" si="41"/>
        <v>55627.39304166667</v>
      </c>
      <c r="R137" s="14">
        <f t="shared" si="41"/>
        <v>224372.60695833334</v>
      </c>
    </row>
    <row r="138" spans="1:19" s="2" customFormat="1" ht="27" customHeight="1" thickBot="1" x14ac:dyDescent="0.25">
      <c r="A138" s="62"/>
      <c r="B138" s="62"/>
      <c r="C138" s="62"/>
      <c r="D138" s="62"/>
      <c r="E138" s="62"/>
      <c r="F138" s="62"/>
      <c r="G138" s="62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</row>
    <row r="139" spans="1:19" s="2" customFormat="1" ht="27" customHeight="1" thickBot="1" x14ac:dyDescent="0.25">
      <c r="A139" s="223" t="s">
        <v>506</v>
      </c>
      <c r="B139" s="224"/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</row>
    <row r="140" spans="1:19" s="2" customFormat="1" ht="27" customHeight="1" x14ac:dyDescent="0.2">
      <c r="A140" s="96">
        <f>+A136+1</f>
        <v>52</v>
      </c>
      <c r="B140" s="24" t="s">
        <v>504</v>
      </c>
      <c r="C140" s="12" t="s">
        <v>421</v>
      </c>
      <c r="D140" s="115" t="s">
        <v>505</v>
      </c>
      <c r="E140" s="115" t="s">
        <v>214</v>
      </c>
      <c r="F140" s="185" t="s">
        <v>625</v>
      </c>
      <c r="G140" s="185" t="s">
        <v>715</v>
      </c>
      <c r="H140" s="8">
        <v>190000</v>
      </c>
      <c r="I140" s="100">
        <f>H140*2.87%</f>
        <v>5453</v>
      </c>
      <c r="J140" s="5">
        <f>187020*3.04%</f>
        <v>5685.4080000000004</v>
      </c>
      <c r="K140" s="5"/>
      <c r="L140" s="8">
        <f>+J140+I140+K140</f>
        <v>11138.407999999999</v>
      </c>
      <c r="M140" s="8">
        <f>+H140-L140</f>
        <v>178861.592</v>
      </c>
      <c r="N140" s="8">
        <f>+IF(M140*12&lt;=416220.01,0,IF(M140*12&lt;=624329.01,(((M140*12-416220.01)*0.15)/12),IF((M140*12&lt;=867123.01),(31216+0.2*(M140*12-624329.01))/12,((79776+0.25*(M140*12-867123.01))/12))))-O140</f>
        <v>33298.33529166667</v>
      </c>
      <c r="O140" s="8"/>
      <c r="P140" s="99">
        <v>1025</v>
      </c>
      <c r="Q140" s="8">
        <f>+P140+N140+L140</f>
        <v>45461.743291666673</v>
      </c>
      <c r="R140" s="99">
        <f>+H140-Q140</f>
        <v>144538.25670833333</v>
      </c>
    </row>
    <row r="141" spans="1:19" s="2" customFormat="1" ht="27" customHeight="1" x14ac:dyDescent="0.2">
      <c r="A141" s="119">
        <f>+A140+1</f>
        <v>53</v>
      </c>
      <c r="B141" s="120" t="s">
        <v>528</v>
      </c>
      <c r="C141" s="119" t="s">
        <v>422</v>
      </c>
      <c r="D141" s="118" t="s">
        <v>132</v>
      </c>
      <c r="E141" s="115" t="s">
        <v>214</v>
      </c>
      <c r="F141" s="185" t="s">
        <v>613</v>
      </c>
      <c r="G141" s="185" t="s">
        <v>710</v>
      </c>
      <c r="H141" s="5">
        <v>50000</v>
      </c>
      <c r="I141" s="5">
        <f>H141*2.87%</f>
        <v>1435</v>
      </c>
      <c r="J141" s="5">
        <f>+H141*3.04%</f>
        <v>1520</v>
      </c>
      <c r="K141" s="5"/>
      <c r="L141" s="8">
        <f>+J141+I141+K141</f>
        <v>2955</v>
      </c>
      <c r="M141" s="8">
        <f>+H141-L141</f>
        <v>47045</v>
      </c>
      <c r="N141" s="8">
        <f>+IF(M141*12&lt;=416220.01,0,IF(M141*12&lt;=624329.01,(((M141*12-416220.01)*0.15)/12),IF((M141*12&lt;=867123.01),(31216+0.2*(M141*12-624329.01))/12,((79776+0.25*(M141*12-867123.01))/12))))-O141</f>
        <v>-1.2500000025283953E-4</v>
      </c>
      <c r="O141" s="8">
        <v>1854</v>
      </c>
      <c r="P141" s="67">
        <v>1165</v>
      </c>
      <c r="Q141" s="8">
        <f>+P141+N141+L141</f>
        <v>4119.9998749999995</v>
      </c>
      <c r="R141" s="99">
        <f>+H141-Q141</f>
        <v>45880.000124999999</v>
      </c>
    </row>
    <row r="142" spans="1:19" s="2" customFormat="1" ht="27" customHeight="1" thickBot="1" x14ac:dyDescent="0.25">
      <c r="A142" s="295" t="s">
        <v>125</v>
      </c>
      <c r="B142" s="296"/>
      <c r="C142" s="226"/>
      <c r="D142" s="226"/>
      <c r="E142" s="226"/>
      <c r="F142" s="226"/>
      <c r="G142" s="230"/>
      <c r="H142" s="72">
        <f>SUM(H140:H141)</f>
        <v>240000</v>
      </c>
      <c r="I142" s="72">
        <f t="shared" ref="I142:R142" si="42">SUM(I140:I141)</f>
        <v>6888</v>
      </c>
      <c r="J142" s="72">
        <f t="shared" si="42"/>
        <v>7205.4080000000004</v>
      </c>
      <c r="K142" s="72">
        <f t="shared" si="42"/>
        <v>0</v>
      </c>
      <c r="L142" s="72">
        <f t="shared" si="42"/>
        <v>14093.407999999999</v>
      </c>
      <c r="M142" s="72">
        <f t="shared" si="42"/>
        <v>225906.592</v>
      </c>
      <c r="N142" s="72">
        <f t="shared" si="42"/>
        <v>33298.335166666671</v>
      </c>
      <c r="O142" s="72">
        <f t="shared" si="42"/>
        <v>1854</v>
      </c>
      <c r="P142" s="72">
        <f t="shared" si="42"/>
        <v>2190</v>
      </c>
      <c r="Q142" s="72">
        <f t="shared" si="42"/>
        <v>49581.743166666674</v>
      </c>
      <c r="R142" s="72">
        <f t="shared" si="42"/>
        <v>190418.25683333332</v>
      </c>
    </row>
    <row r="143" spans="1:19" s="2" customFormat="1" ht="24.95" customHeight="1" thickBot="1" x14ac:dyDescent="0.25">
      <c r="C143" s="146"/>
    </row>
    <row r="144" spans="1:19" s="68" customFormat="1" ht="27.75" customHeight="1" thickBot="1" x14ac:dyDescent="0.25">
      <c r="A144" s="223" t="s">
        <v>637</v>
      </c>
      <c r="B144" s="224"/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"/>
    </row>
    <row r="145" spans="1:19" s="26" customFormat="1" ht="25.5" customHeight="1" x14ac:dyDescent="0.2">
      <c r="A145" s="66">
        <f>+A141+1</f>
        <v>54</v>
      </c>
      <c r="B145" s="117" t="s">
        <v>635</v>
      </c>
      <c r="C145" s="119" t="s">
        <v>422</v>
      </c>
      <c r="D145" s="116" t="s">
        <v>636</v>
      </c>
      <c r="E145" s="115" t="s">
        <v>214</v>
      </c>
      <c r="F145" s="24" t="s">
        <v>559</v>
      </c>
      <c r="G145" s="24" t="s">
        <v>622</v>
      </c>
      <c r="H145" s="164">
        <v>70000</v>
      </c>
      <c r="I145" s="100">
        <f>H145*2.87%</f>
        <v>2009</v>
      </c>
      <c r="J145" s="100">
        <f>+H145*3.04%</f>
        <v>2128</v>
      </c>
      <c r="K145" s="100">
        <v>1577.45</v>
      </c>
      <c r="L145" s="8">
        <f>+J145+I145+K145</f>
        <v>5714.45</v>
      </c>
      <c r="M145" s="8">
        <f>+H145-L145</f>
        <v>64285.55</v>
      </c>
      <c r="N145" s="8">
        <f>+IF(M145*12&lt;=416220.01,0,IF(M145*12&lt;=624329.01,(((M145*12-416220.01)*0.15)/12),IF((M145*12&lt;=867123.01),(31216+0.2*(M145*12-624329.01))/12,((79776+0.25*(M145*12-867123.01))/12))))-O145</f>
        <v>5052.9598333333352</v>
      </c>
      <c r="O145" s="8">
        <v>0</v>
      </c>
      <c r="P145" s="99">
        <v>25</v>
      </c>
      <c r="Q145" s="8">
        <f>+P145+N145+L145</f>
        <v>10792.409833333335</v>
      </c>
      <c r="R145" s="99">
        <f>+H145-Q145</f>
        <v>59207.590166666661</v>
      </c>
    </row>
    <row r="146" spans="1:19" s="26" customFormat="1" ht="25.5" customHeight="1" x14ac:dyDescent="0.2">
      <c r="A146" s="66">
        <f>+A145+1</f>
        <v>55</v>
      </c>
      <c r="B146" s="117" t="s">
        <v>646</v>
      </c>
      <c r="C146" s="119" t="s">
        <v>422</v>
      </c>
      <c r="D146" s="116" t="s">
        <v>647</v>
      </c>
      <c r="E146" s="115" t="s">
        <v>214</v>
      </c>
      <c r="F146" s="24" t="s">
        <v>564</v>
      </c>
      <c r="G146" s="24" t="s">
        <v>619</v>
      </c>
      <c r="H146" s="164">
        <v>80000</v>
      </c>
      <c r="I146" s="100">
        <f>H146*2.87%</f>
        <v>2296</v>
      </c>
      <c r="J146" s="100">
        <f>+H146*3.04%</f>
        <v>2432</v>
      </c>
      <c r="K146" s="100"/>
      <c r="L146" s="8">
        <f>+J146+I146+K146</f>
        <v>4728</v>
      </c>
      <c r="M146" s="8">
        <f>+H146-L146</f>
        <v>75272</v>
      </c>
      <c r="N146" s="8">
        <f>+IF(M146*12&lt;=416220.01,0,IF(M146*12&lt;=624329.01,(((M146*12-416220.01)*0.15)/12),IF((M146*12&lt;=867123.01),(31216+0.2*(M146*12-624329.01))/12,((79776+0.25*(M146*12-867123.01))/12))))-O146</f>
        <v>7400.9372916666662</v>
      </c>
      <c r="O146" s="8"/>
      <c r="P146" s="99">
        <v>65</v>
      </c>
      <c r="Q146" s="8">
        <f>+P146+N146+L146</f>
        <v>12193.937291666665</v>
      </c>
      <c r="R146" s="99">
        <f>+H146-Q146</f>
        <v>67806.062708333338</v>
      </c>
    </row>
    <row r="147" spans="1:19" s="26" customFormat="1" ht="22.15" customHeight="1" x14ac:dyDescent="0.2">
      <c r="A147" s="295" t="s">
        <v>125</v>
      </c>
      <c r="B147" s="296"/>
      <c r="C147" s="225"/>
      <c r="D147" s="225"/>
      <c r="E147" s="225"/>
      <c r="F147" s="225"/>
      <c r="G147" s="225"/>
      <c r="H147" s="14">
        <f>SUM(H145:H146)</f>
        <v>150000</v>
      </c>
      <c r="I147" s="14">
        <f t="shared" ref="I147:R147" si="43">SUM(I145:I146)</f>
        <v>4305</v>
      </c>
      <c r="J147" s="14">
        <f t="shared" si="43"/>
        <v>4560</v>
      </c>
      <c r="K147" s="14">
        <f t="shared" si="43"/>
        <v>1577.45</v>
      </c>
      <c r="L147" s="14">
        <f t="shared" si="43"/>
        <v>10442.450000000001</v>
      </c>
      <c r="M147" s="14">
        <f t="shared" si="43"/>
        <v>139557.54999999999</v>
      </c>
      <c r="N147" s="14">
        <f t="shared" si="43"/>
        <v>12453.897125000001</v>
      </c>
      <c r="O147" s="14">
        <f t="shared" si="43"/>
        <v>0</v>
      </c>
      <c r="P147" s="14">
        <f t="shared" si="43"/>
        <v>90</v>
      </c>
      <c r="Q147" s="14">
        <f t="shared" si="43"/>
        <v>22986.347125</v>
      </c>
      <c r="R147" s="14">
        <f t="shared" si="43"/>
        <v>127013.652875</v>
      </c>
    </row>
    <row r="148" spans="1:19" s="26" customFormat="1" ht="22.15" customHeight="1" thickBot="1" x14ac:dyDescent="0.25">
      <c r="A148" s="62"/>
      <c r="B148" s="62"/>
      <c r="C148" s="235"/>
      <c r="D148" s="235"/>
      <c r="E148" s="235"/>
      <c r="F148" s="235"/>
      <c r="G148" s="235"/>
      <c r="H148" s="74"/>
      <c r="I148" s="74"/>
      <c r="J148" s="74"/>
      <c r="K148" s="74"/>
      <c r="L148" s="74"/>
      <c r="M148" s="74"/>
      <c r="N148" s="74"/>
      <c r="O148" s="74"/>
      <c r="P148" s="74"/>
      <c r="Q148" s="74"/>
      <c r="R148" s="74"/>
    </row>
    <row r="149" spans="1:19" s="68" customFormat="1" ht="27.75" customHeight="1" thickBot="1" x14ac:dyDescent="0.25">
      <c r="A149" s="223" t="s">
        <v>383</v>
      </c>
      <c r="B149" s="224"/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"/>
    </row>
    <row r="150" spans="1:19" s="26" customFormat="1" ht="25.5" customHeight="1" x14ac:dyDescent="0.2">
      <c r="A150" s="66">
        <f>+A146+1</f>
        <v>56</v>
      </c>
      <c r="B150" s="117" t="s">
        <v>131</v>
      </c>
      <c r="C150" s="119" t="s">
        <v>422</v>
      </c>
      <c r="D150" s="116" t="s">
        <v>526</v>
      </c>
      <c r="E150" s="115" t="s">
        <v>214</v>
      </c>
      <c r="F150" s="24" t="s">
        <v>546</v>
      </c>
      <c r="G150" s="24" t="s">
        <v>611</v>
      </c>
      <c r="H150" s="164">
        <v>135000</v>
      </c>
      <c r="I150" s="100">
        <f>H150*2.87%</f>
        <v>3874.5</v>
      </c>
      <c r="J150" s="100">
        <f>+H150*3.04%</f>
        <v>4104</v>
      </c>
      <c r="K150" s="100"/>
      <c r="L150" s="8">
        <f>+J150+I150+K150</f>
        <v>7978.5</v>
      </c>
      <c r="M150" s="8">
        <f>+H150-L150</f>
        <v>127021.5</v>
      </c>
      <c r="N150" s="8">
        <f>+IF(M150*12&lt;=416220.01,0,IF(M150*12&lt;=624329.01,(((M150*12-416220.01)*0.15)/12),IF((M150*12&lt;=867123.01),(31216+0.2*(M150*12-624329.01))/12,((79776+0.25*(M150*12-867123.01))/12))))-O150</f>
        <v>20338.312291666665</v>
      </c>
      <c r="O150" s="8"/>
      <c r="P150" s="99">
        <v>25</v>
      </c>
      <c r="Q150" s="8">
        <f>+P150+N150+L150</f>
        <v>28341.812291666665</v>
      </c>
      <c r="R150" s="8">
        <v>106658.19</v>
      </c>
    </row>
    <row r="151" spans="1:19" s="26" customFormat="1" ht="25.5" customHeight="1" x14ac:dyDescent="0.2">
      <c r="A151" s="244">
        <f>+A150+1</f>
        <v>57</v>
      </c>
      <c r="B151" s="185" t="s">
        <v>690</v>
      </c>
      <c r="C151" s="66" t="s">
        <v>422</v>
      </c>
      <c r="D151" s="274" t="s">
        <v>691</v>
      </c>
      <c r="E151" s="115" t="s">
        <v>214</v>
      </c>
      <c r="F151" s="24" t="s">
        <v>616</v>
      </c>
      <c r="G151" s="24" t="s">
        <v>692</v>
      </c>
      <c r="H151" s="164">
        <v>45000</v>
      </c>
      <c r="I151" s="100">
        <f>H151*2.87%</f>
        <v>1291.5</v>
      </c>
      <c r="J151" s="100">
        <f>+H151*3.04%</f>
        <v>1368</v>
      </c>
      <c r="K151" s="5">
        <v>0</v>
      </c>
      <c r="L151" s="8">
        <f>+J151+I151+K151</f>
        <v>2659.5</v>
      </c>
      <c r="M151" s="8">
        <f>+H151-L151</f>
        <v>42340.5</v>
      </c>
      <c r="N151" s="8">
        <v>1148.32</v>
      </c>
      <c r="O151" s="8">
        <f t="shared" ref="O151" si="44">+IF(N151*12&lt;=416220.01,0,IF(N151*12&lt;=624329.01,(((N151*12-416220.01)*0.15)/12),IF((N151*12&lt;=867123.01),(31216+0.2*(N151*12-624329.01))/12,((79776+0.25*(N151*12-867123.01))/12))))-P151</f>
        <v>-25</v>
      </c>
      <c r="P151" s="99">
        <v>25</v>
      </c>
      <c r="Q151" s="8">
        <v>3832.82</v>
      </c>
      <c r="R151" s="8">
        <f>+H151-Q151</f>
        <v>41167.18</v>
      </c>
    </row>
    <row r="152" spans="1:19" s="26" customFormat="1" ht="22.15" customHeight="1" x14ac:dyDescent="0.2">
      <c r="A152" s="295" t="s">
        <v>125</v>
      </c>
      <c r="B152" s="296"/>
      <c r="C152" s="225"/>
      <c r="D152" s="225"/>
      <c r="E152" s="225"/>
      <c r="F152" s="225"/>
      <c r="G152" s="225"/>
      <c r="H152" s="14">
        <f>SUM(H150:H151)</f>
        <v>180000</v>
      </c>
      <c r="I152" s="14">
        <f t="shared" ref="I152:R152" si="45">SUM(I150:I151)</f>
        <v>5166</v>
      </c>
      <c r="J152" s="14">
        <f t="shared" si="45"/>
        <v>5472</v>
      </c>
      <c r="K152" s="14">
        <f t="shared" si="45"/>
        <v>0</v>
      </c>
      <c r="L152" s="14">
        <f t="shared" si="45"/>
        <v>10638</v>
      </c>
      <c r="M152" s="14">
        <f t="shared" si="45"/>
        <v>169362</v>
      </c>
      <c r="N152" s="14">
        <f t="shared" si="45"/>
        <v>21486.632291666665</v>
      </c>
      <c r="O152" s="14">
        <f t="shared" si="45"/>
        <v>-25</v>
      </c>
      <c r="P152" s="14">
        <f t="shared" si="45"/>
        <v>50</v>
      </c>
      <c r="Q152" s="14">
        <f t="shared" si="45"/>
        <v>32174.632291666665</v>
      </c>
      <c r="R152" s="14">
        <f t="shared" si="45"/>
        <v>147825.37</v>
      </c>
    </row>
    <row r="153" spans="1:19" s="2" customFormat="1" ht="24.95" customHeight="1" thickBot="1" x14ac:dyDescent="0.25">
      <c r="A153" s="62"/>
      <c r="B153" s="62"/>
      <c r="C153" s="62"/>
      <c r="D153" s="62"/>
      <c r="E153" s="62"/>
      <c r="F153" s="62"/>
      <c r="G153" s="62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</row>
    <row r="154" spans="1:19" s="73" customFormat="1" ht="23.25" customHeight="1" thickBot="1" x14ac:dyDescent="0.25">
      <c r="A154" s="223" t="s">
        <v>219</v>
      </c>
      <c r="B154" s="224"/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6"/>
    </row>
    <row r="155" spans="1:19" s="26" customFormat="1" ht="25.5" customHeight="1" x14ac:dyDescent="0.2">
      <c r="A155" s="66">
        <f>+A151+1</f>
        <v>58</v>
      </c>
      <c r="B155" s="5" t="s">
        <v>385</v>
      </c>
      <c r="C155" s="144" t="s">
        <v>422</v>
      </c>
      <c r="D155" s="120" t="s">
        <v>218</v>
      </c>
      <c r="E155" s="115" t="s">
        <v>214</v>
      </c>
      <c r="F155" s="24" t="s">
        <v>560</v>
      </c>
      <c r="G155" s="24" t="s">
        <v>618</v>
      </c>
      <c r="H155" s="114">
        <v>70000</v>
      </c>
      <c r="I155" s="8">
        <f>H155*2.87%</f>
        <v>2009</v>
      </c>
      <c r="J155" s="100">
        <f>+H155*3.04%</f>
        <v>2128</v>
      </c>
      <c r="K155" s="100">
        <v>1577.45</v>
      </c>
      <c r="L155" s="8">
        <f>+J155+I155+K155</f>
        <v>5714.45</v>
      </c>
      <c r="M155" s="8">
        <f>+H155-L155</f>
        <v>64285.55</v>
      </c>
      <c r="N155" s="8">
        <f>+IF(M155*12&lt;=416220.01,0,IF(M155*12&lt;=624329.01,(((M155*12-416220.01)*0.15)/12),IF((M155*12&lt;=867123.01),(31216+0.2*(M155*12-624329.01))/12,((79776+0.25*(M155*12-867123.01))/12))))-O155</f>
        <v>5052.9598333333352</v>
      </c>
      <c r="O155" s="8"/>
      <c r="P155" s="99">
        <v>25</v>
      </c>
      <c r="Q155" s="8">
        <f>+P155+N155+L155</f>
        <v>10792.409833333335</v>
      </c>
      <c r="R155" s="99">
        <f>+H155-Q155</f>
        <v>59207.590166666661</v>
      </c>
    </row>
    <row r="156" spans="1:19" s="26" customFormat="1" ht="25.5" customHeight="1" x14ac:dyDescent="0.2">
      <c r="A156" s="66">
        <f>+A155+1</f>
        <v>59</v>
      </c>
      <c r="B156" s="185" t="s">
        <v>519</v>
      </c>
      <c r="C156" s="66" t="s">
        <v>421</v>
      </c>
      <c r="D156" s="274" t="s">
        <v>720</v>
      </c>
      <c r="E156" s="97" t="s">
        <v>214</v>
      </c>
      <c r="F156" s="24" t="s">
        <v>564</v>
      </c>
      <c r="G156" s="24" t="s">
        <v>619</v>
      </c>
      <c r="H156" s="10">
        <v>80000</v>
      </c>
      <c r="I156" s="5">
        <f>H156*2.87%</f>
        <v>2296</v>
      </c>
      <c r="J156" s="5">
        <f>+H156*3.04%</f>
        <v>2432</v>
      </c>
      <c r="K156" s="5"/>
      <c r="L156" s="8">
        <f>+J156+I156+K156</f>
        <v>4728</v>
      </c>
      <c r="M156" s="8">
        <f>+H156-L156</f>
        <v>75272</v>
      </c>
      <c r="N156" s="8">
        <v>7400.94</v>
      </c>
      <c r="O156" s="8">
        <v>855.8</v>
      </c>
      <c r="P156" s="99">
        <f>100+25</f>
        <v>125</v>
      </c>
      <c r="Q156" s="8">
        <f>+P156+N156+L156</f>
        <v>12253.939999999999</v>
      </c>
      <c r="R156" s="99">
        <f>H156-Q156</f>
        <v>67746.06</v>
      </c>
    </row>
    <row r="157" spans="1:19" s="68" customFormat="1" ht="23.25" customHeight="1" x14ac:dyDescent="0.2">
      <c r="A157" s="295" t="s">
        <v>125</v>
      </c>
      <c r="B157" s="303"/>
      <c r="C157" s="228"/>
      <c r="D157" s="228"/>
      <c r="E157" s="228"/>
      <c r="F157" s="228"/>
      <c r="G157" s="229"/>
      <c r="H157" s="14">
        <f>SUM(H155:H156)</f>
        <v>150000</v>
      </c>
      <c r="I157" s="14">
        <f t="shared" ref="I157:R157" si="46">SUM(I155:I156)</f>
        <v>4305</v>
      </c>
      <c r="J157" s="14">
        <f t="shared" si="46"/>
        <v>4560</v>
      </c>
      <c r="K157" s="14">
        <f t="shared" si="46"/>
        <v>1577.45</v>
      </c>
      <c r="L157" s="14">
        <f t="shared" si="46"/>
        <v>10442.450000000001</v>
      </c>
      <c r="M157" s="14">
        <f t="shared" si="46"/>
        <v>139557.54999999999</v>
      </c>
      <c r="N157" s="14">
        <f t="shared" si="46"/>
        <v>12453.899833333335</v>
      </c>
      <c r="O157" s="14">
        <f t="shared" si="46"/>
        <v>855.8</v>
      </c>
      <c r="P157" s="14">
        <f t="shared" si="46"/>
        <v>150</v>
      </c>
      <c r="Q157" s="14">
        <f t="shared" si="46"/>
        <v>23046.349833333334</v>
      </c>
      <c r="R157" s="14">
        <f t="shared" si="46"/>
        <v>126953.65016666666</v>
      </c>
      <c r="S157" s="2"/>
    </row>
    <row r="158" spans="1:19" s="2" customFormat="1" ht="24.95" customHeight="1" thickBot="1" x14ac:dyDescent="0.25">
      <c r="A158" s="128"/>
      <c r="B158" s="1"/>
      <c r="C158" s="4"/>
      <c r="D158" s="129"/>
      <c r="E158" s="130"/>
      <c r="F158" s="23"/>
      <c r="G158" s="23"/>
      <c r="H158" s="131"/>
      <c r="I158" s="68"/>
      <c r="J158" s="68"/>
      <c r="K158" s="68"/>
      <c r="L158" s="68"/>
      <c r="M158" s="68"/>
      <c r="N158" s="68"/>
      <c r="O158" s="68"/>
      <c r="P158" s="68"/>
      <c r="Q158" s="68"/>
      <c r="R158" s="68"/>
    </row>
    <row r="159" spans="1:19" s="2" customFormat="1" ht="24.95" customHeight="1" thickBot="1" x14ac:dyDescent="0.25">
      <c r="A159" s="223" t="s">
        <v>206</v>
      </c>
      <c r="B159" s="224"/>
      <c r="C159" s="224"/>
      <c r="D159" s="224"/>
      <c r="E159" s="224"/>
      <c r="F159" s="224"/>
      <c r="G159" s="224"/>
      <c r="H159" s="224"/>
      <c r="I159" s="224"/>
      <c r="J159" s="224"/>
      <c r="K159" s="224"/>
      <c r="L159" s="224"/>
      <c r="M159" s="224"/>
      <c r="N159" s="224"/>
      <c r="O159" s="224"/>
      <c r="P159" s="224"/>
      <c r="Q159" s="224"/>
      <c r="R159" s="224"/>
    </row>
    <row r="160" spans="1:19" s="74" customFormat="1" ht="24.95" customHeight="1" x14ac:dyDescent="0.2">
      <c r="A160" s="119">
        <f>+A156+1</f>
        <v>60</v>
      </c>
      <c r="B160" s="117" t="s">
        <v>386</v>
      </c>
      <c r="C160" s="119" t="s">
        <v>422</v>
      </c>
      <c r="D160" s="118" t="s">
        <v>220</v>
      </c>
      <c r="E160" s="115" t="s">
        <v>214</v>
      </c>
      <c r="F160" s="185" t="s">
        <v>613</v>
      </c>
      <c r="G160" s="185" t="s">
        <v>710</v>
      </c>
      <c r="H160" s="164">
        <v>135000</v>
      </c>
      <c r="I160" s="8">
        <f>H160*2.87%</f>
        <v>3874.5</v>
      </c>
      <c r="J160" s="8">
        <f>+H160*3.04%</f>
        <v>4104</v>
      </c>
      <c r="K160" s="8"/>
      <c r="L160" s="8">
        <f t="shared" ref="L160:L166" si="47">+J160+I160+K160</f>
        <v>7978.5</v>
      </c>
      <c r="M160" s="8">
        <f t="shared" ref="M160:M166" si="48">+H160-L160</f>
        <v>127021.5</v>
      </c>
      <c r="N160" s="8">
        <f>+IF(M160*12&lt;=416220.01,0,IF(M160*12&lt;=624329.01,(((M160*12-416220.01)*0.15)/12),IF((M160*12&lt;=867123.01),(31216+0.2*(M160*12-624329.01))/12,((79776+0.25*(M160*12-867123.01))/12))))-O160</f>
        <v>20338.312291666665</v>
      </c>
      <c r="O160" s="8"/>
      <c r="P160" s="99">
        <v>3025</v>
      </c>
      <c r="Q160" s="8">
        <f t="shared" ref="Q160:Q166" si="49">+P160+N160+L160</f>
        <v>31341.812291666665</v>
      </c>
      <c r="R160" s="9">
        <f t="shared" ref="R160:R166" si="50">+H160-Q160</f>
        <v>103658.18770833334</v>
      </c>
      <c r="S160" s="6"/>
    </row>
    <row r="161" spans="1:19" s="74" customFormat="1" ht="24.95" customHeight="1" x14ac:dyDescent="0.2">
      <c r="A161" s="96">
        <f>+A160+1</f>
        <v>61</v>
      </c>
      <c r="B161" s="185" t="s">
        <v>382</v>
      </c>
      <c r="C161" s="66" t="s">
        <v>421</v>
      </c>
      <c r="D161" s="185" t="s">
        <v>524</v>
      </c>
      <c r="E161" s="97" t="s">
        <v>214</v>
      </c>
      <c r="F161" s="98" t="s">
        <v>560</v>
      </c>
      <c r="G161" s="98" t="s">
        <v>618</v>
      </c>
      <c r="H161" s="99">
        <v>80000</v>
      </c>
      <c r="I161" s="100">
        <f>H161*2.87%</f>
        <v>2296</v>
      </c>
      <c r="J161" s="100">
        <f>+H161*3.04%</f>
        <v>2432</v>
      </c>
      <c r="K161" s="100"/>
      <c r="L161" s="8">
        <f t="shared" si="47"/>
        <v>4728</v>
      </c>
      <c r="M161" s="8">
        <f t="shared" si="48"/>
        <v>75272</v>
      </c>
      <c r="N161" s="8">
        <f t="shared" ref="N161:N166" si="51">+IF(M161*12&lt;=416220.01,0,IF(M161*12&lt;=624329.01,(((M161*12-416220.01)*0.15)/12),IF((M161*12&lt;=867123.01),(31216+0.2*(M161*12-624329.01))/12,((79776+0.25*(M161*12-867123.01))/12))))-O161</f>
        <v>7400.9372916666662</v>
      </c>
      <c r="O161" s="8"/>
      <c r="P161" s="99">
        <v>1025</v>
      </c>
      <c r="Q161" s="8">
        <f t="shared" si="49"/>
        <v>13153.937291666665</v>
      </c>
      <c r="R161" s="99">
        <f t="shared" si="50"/>
        <v>66846.062708333338</v>
      </c>
      <c r="S161" s="6"/>
    </row>
    <row r="162" spans="1:19" s="74" customFormat="1" ht="24.95" customHeight="1" x14ac:dyDescent="0.2">
      <c r="A162" s="119">
        <f>+A161+1</f>
        <v>62</v>
      </c>
      <c r="B162" s="117" t="s">
        <v>103</v>
      </c>
      <c r="C162" s="119" t="s">
        <v>422</v>
      </c>
      <c r="D162" s="120" t="s">
        <v>525</v>
      </c>
      <c r="E162" s="115" t="s">
        <v>214</v>
      </c>
      <c r="F162" s="98" t="s">
        <v>626</v>
      </c>
      <c r="G162" s="98" t="s">
        <v>716</v>
      </c>
      <c r="H162" s="183">
        <v>70000</v>
      </c>
      <c r="I162" s="5">
        <f>H162*2.87%</f>
        <v>2009</v>
      </c>
      <c r="J162" s="5">
        <f>+H162*3.04%</f>
        <v>2128</v>
      </c>
      <c r="K162" s="8">
        <v>1577.45</v>
      </c>
      <c r="L162" s="8">
        <f t="shared" si="47"/>
        <v>5714.45</v>
      </c>
      <c r="M162" s="8">
        <f t="shared" si="48"/>
        <v>64285.55</v>
      </c>
      <c r="N162" s="8">
        <f t="shared" si="51"/>
        <v>5052.9598333333352</v>
      </c>
      <c r="O162" s="8"/>
      <c r="P162" s="61">
        <v>2460.35</v>
      </c>
      <c r="Q162" s="8">
        <f t="shared" si="49"/>
        <v>13227.759833333334</v>
      </c>
      <c r="R162" s="9">
        <f t="shared" si="50"/>
        <v>56772.24016666667</v>
      </c>
      <c r="S162" s="6"/>
    </row>
    <row r="163" spans="1:19" s="68" customFormat="1" ht="24.95" customHeight="1" x14ac:dyDescent="0.2">
      <c r="A163" s="119">
        <f>+A162+1</f>
        <v>63</v>
      </c>
      <c r="B163" s="117" t="s">
        <v>384</v>
      </c>
      <c r="C163" s="144" t="s">
        <v>422</v>
      </c>
      <c r="D163" s="120" t="s">
        <v>228</v>
      </c>
      <c r="E163" s="115" t="s">
        <v>214</v>
      </c>
      <c r="F163" s="98" t="s">
        <v>615</v>
      </c>
      <c r="G163" s="98" t="s">
        <v>699</v>
      </c>
      <c r="H163" s="8">
        <v>70000</v>
      </c>
      <c r="I163" s="8">
        <f>H163*2.87%</f>
        <v>2009</v>
      </c>
      <c r="J163" s="8">
        <f>+H163*3.04%</f>
        <v>2128</v>
      </c>
      <c r="K163" s="8"/>
      <c r="L163" s="8">
        <f t="shared" si="47"/>
        <v>4137</v>
      </c>
      <c r="M163" s="8">
        <f t="shared" si="48"/>
        <v>65863</v>
      </c>
      <c r="N163" s="8">
        <f t="shared" si="51"/>
        <v>5368.4498333333331</v>
      </c>
      <c r="O163" s="8"/>
      <c r="P163" s="99">
        <v>25</v>
      </c>
      <c r="Q163" s="8">
        <f t="shared" si="49"/>
        <v>9530.4498333333322</v>
      </c>
      <c r="R163" s="9">
        <f t="shared" si="50"/>
        <v>60469.550166666668</v>
      </c>
      <c r="S163" s="2"/>
    </row>
    <row r="164" spans="1:19" s="68" customFormat="1" ht="24.95" customHeight="1" x14ac:dyDescent="0.2">
      <c r="A164" s="96">
        <f t="shared" ref="A164:A165" si="52">+A163+1</f>
        <v>64</v>
      </c>
      <c r="B164" s="117" t="s">
        <v>388</v>
      </c>
      <c r="C164" s="144" t="s">
        <v>422</v>
      </c>
      <c r="D164" s="120" t="s">
        <v>149</v>
      </c>
      <c r="E164" s="115" t="s">
        <v>214</v>
      </c>
      <c r="F164" s="24" t="s">
        <v>546</v>
      </c>
      <c r="G164" s="24" t="s">
        <v>611</v>
      </c>
      <c r="H164" s="114">
        <v>60000</v>
      </c>
      <c r="I164" s="5">
        <f>H164*2.87%</f>
        <v>1722</v>
      </c>
      <c r="J164" s="5">
        <f>+H164*3.04%</f>
        <v>1824</v>
      </c>
      <c r="K164" s="5"/>
      <c r="L164" s="8">
        <f t="shared" si="47"/>
        <v>3546</v>
      </c>
      <c r="M164" s="8">
        <f t="shared" si="48"/>
        <v>56454</v>
      </c>
      <c r="N164" s="8">
        <f t="shared" si="51"/>
        <v>3486.6498333333329</v>
      </c>
      <c r="O164" s="8"/>
      <c r="P164" s="99">
        <v>14278.57</v>
      </c>
      <c r="Q164" s="8">
        <f t="shared" si="49"/>
        <v>21311.219833333333</v>
      </c>
      <c r="R164" s="9">
        <f t="shared" si="50"/>
        <v>38688.780166666664</v>
      </c>
      <c r="S164" s="2"/>
    </row>
    <row r="165" spans="1:19" s="6" customFormat="1" ht="24.95" customHeight="1" x14ac:dyDescent="0.2">
      <c r="A165" s="119">
        <f t="shared" si="52"/>
        <v>65</v>
      </c>
      <c r="B165" s="185" t="s">
        <v>389</v>
      </c>
      <c r="C165" s="144" t="s">
        <v>422</v>
      </c>
      <c r="D165" s="120" t="s">
        <v>228</v>
      </c>
      <c r="E165" s="115" t="s">
        <v>214</v>
      </c>
      <c r="F165" s="120" t="s">
        <v>546</v>
      </c>
      <c r="G165" s="120" t="s">
        <v>611</v>
      </c>
      <c r="H165" s="114">
        <v>70000</v>
      </c>
      <c r="I165" s="5">
        <f t="shared" ref="I165:I166" si="53">H165*2.87%</f>
        <v>2009</v>
      </c>
      <c r="J165" s="5">
        <f t="shared" ref="J165:J166" si="54">+H165*3.04%</f>
        <v>2128</v>
      </c>
      <c r="K165" s="5"/>
      <c r="L165" s="8">
        <f t="shared" si="47"/>
        <v>4137</v>
      </c>
      <c r="M165" s="8">
        <f t="shared" si="48"/>
        <v>65863</v>
      </c>
      <c r="N165" s="8">
        <f t="shared" si="51"/>
        <v>5368.4498333333331</v>
      </c>
      <c r="O165" s="8"/>
      <c r="P165" s="99">
        <v>2125</v>
      </c>
      <c r="Q165" s="8">
        <f t="shared" si="49"/>
        <v>11630.449833333332</v>
      </c>
      <c r="R165" s="9">
        <f t="shared" si="50"/>
        <v>58369.550166666668</v>
      </c>
    </row>
    <row r="166" spans="1:19" s="6" customFormat="1" ht="24.95" customHeight="1" x14ac:dyDescent="0.2">
      <c r="A166" s="119">
        <f>+A165+1</f>
        <v>66</v>
      </c>
      <c r="B166" s="117" t="s">
        <v>648</v>
      </c>
      <c r="C166" s="144" t="s">
        <v>422</v>
      </c>
      <c r="D166" s="120" t="s">
        <v>390</v>
      </c>
      <c r="E166" s="115" t="s">
        <v>214</v>
      </c>
      <c r="F166" s="24" t="s">
        <v>564</v>
      </c>
      <c r="G166" s="24" t="s">
        <v>619</v>
      </c>
      <c r="H166" s="114">
        <v>45000</v>
      </c>
      <c r="I166" s="5">
        <f t="shared" si="53"/>
        <v>1291.5</v>
      </c>
      <c r="J166" s="5">
        <f t="shared" si="54"/>
        <v>1368</v>
      </c>
      <c r="K166" s="5"/>
      <c r="L166" s="8">
        <f t="shared" si="47"/>
        <v>2659.5</v>
      </c>
      <c r="M166" s="8">
        <f t="shared" si="48"/>
        <v>42340.5</v>
      </c>
      <c r="N166" s="8">
        <f t="shared" si="51"/>
        <v>1148.3248749999998</v>
      </c>
      <c r="O166" s="8"/>
      <c r="P166" s="99">
        <v>1025</v>
      </c>
      <c r="Q166" s="8">
        <f t="shared" si="49"/>
        <v>4832.8248750000002</v>
      </c>
      <c r="R166" s="9">
        <f t="shared" si="50"/>
        <v>40167.175125000002</v>
      </c>
    </row>
    <row r="167" spans="1:19" s="6" customFormat="1" ht="24.95" customHeight="1" x14ac:dyDescent="0.2">
      <c r="A167" s="295" t="s">
        <v>125</v>
      </c>
      <c r="B167" s="296"/>
      <c r="C167" s="225"/>
      <c r="D167" s="225"/>
      <c r="E167" s="225"/>
      <c r="F167" s="225"/>
      <c r="G167" s="225"/>
      <c r="H167" s="14">
        <f>SUM(H160:H166)</f>
        <v>530000</v>
      </c>
      <c r="I167" s="14">
        <f t="shared" ref="I167:R167" si="55">SUM(I160:I166)</f>
        <v>15211</v>
      </c>
      <c r="J167" s="14">
        <f t="shared" si="55"/>
        <v>16112</v>
      </c>
      <c r="K167" s="14">
        <f t="shared" si="55"/>
        <v>1577.45</v>
      </c>
      <c r="L167" s="14">
        <f t="shared" si="55"/>
        <v>32900.449999999997</v>
      </c>
      <c r="M167" s="14">
        <f t="shared" si="55"/>
        <v>497099.55</v>
      </c>
      <c r="N167" s="14">
        <f t="shared" si="55"/>
        <v>48164.083791666657</v>
      </c>
      <c r="O167" s="14">
        <f t="shared" si="55"/>
        <v>0</v>
      </c>
      <c r="P167" s="14">
        <f t="shared" si="55"/>
        <v>23963.919999999998</v>
      </c>
      <c r="Q167" s="14">
        <f t="shared" si="55"/>
        <v>105028.45379166667</v>
      </c>
      <c r="R167" s="14">
        <f t="shared" si="55"/>
        <v>424971.5462083334</v>
      </c>
    </row>
    <row r="168" spans="1:19" s="6" customFormat="1" ht="24.95" customHeight="1" thickBot="1" x14ac:dyDescent="0.25">
      <c r="A168" s="62"/>
      <c r="B168" s="62"/>
      <c r="C168" s="62"/>
      <c r="D168" s="62"/>
      <c r="E168" s="62"/>
      <c r="F168" s="62"/>
      <c r="G168" s="62"/>
    </row>
    <row r="169" spans="1:19" s="6" customFormat="1" ht="24.95" customHeight="1" thickBot="1" x14ac:dyDescent="0.25">
      <c r="A169" s="223" t="s">
        <v>466</v>
      </c>
      <c r="B169" s="224"/>
      <c r="C169" s="224"/>
      <c r="D169" s="224"/>
      <c r="E169" s="224"/>
      <c r="F169" s="224"/>
      <c r="G169" s="224"/>
      <c r="H169" s="224"/>
      <c r="I169" s="224"/>
      <c r="J169" s="224"/>
      <c r="K169" s="224"/>
      <c r="L169" s="224"/>
      <c r="M169" s="224"/>
      <c r="N169" s="224"/>
      <c r="O169" s="224"/>
      <c r="P169" s="224"/>
      <c r="Q169" s="224"/>
      <c r="R169" s="224"/>
    </row>
    <row r="170" spans="1:19" s="6" customFormat="1" ht="24.95" customHeight="1" x14ac:dyDescent="0.2">
      <c r="A170" s="66">
        <f>+A166+1</f>
        <v>67</v>
      </c>
      <c r="B170" s="120" t="s">
        <v>221</v>
      </c>
      <c r="C170" s="119" t="s">
        <v>422</v>
      </c>
      <c r="D170" s="118" t="s">
        <v>467</v>
      </c>
      <c r="E170" s="115" t="s">
        <v>214</v>
      </c>
      <c r="F170" s="185" t="s">
        <v>613</v>
      </c>
      <c r="G170" s="185" t="s">
        <v>710</v>
      </c>
      <c r="H170" s="183">
        <v>170000</v>
      </c>
      <c r="I170" s="61">
        <f>H170*2.87%</f>
        <v>4879</v>
      </c>
      <c r="J170" s="100">
        <f>+H170*3.04%</f>
        <v>5168</v>
      </c>
      <c r="K170" s="100"/>
      <c r="L170" s="8">
        <f>+J170+I170+K170</f>
        <v>10047</v>
      </c>
      <c r="M170" s="8">
        <f>+H170-L170</f>
        <v>159953</v>
      </c>
      <c r="N170" s="8">
        <f>+IF(M170*12&lt;=416220.01,0,IF(M170*12&lt;=624329.01,(((M170*12-416220.01)*0.15)/12),IF((M170*12&lt;=867123.01),(31216+0.2*(M170*12-624329.01))/12,((79776+0.25*(M170*12-867123.01))/12))))</f>
        <v>28571.187291666665</v>
      </c>
      <c r="O170" s="8"/>
      <c r="P170" s="67">
        <v>5025</v>
      </c>
      <c r="Q170" s="8">
        <f>+P170+N170+L170</f>
        <v>43643.187291666662</v>
      </c>
      <c r="R170" s="67">
        <f>+H170-Q170</f>
        <v>126356.81270833334</v>
      </c>
    </row>
    <row r="171" spans="1:19" s="6" customFormat="1" ht="24.95" customHeight="1" x14ac:dyDescent="0.2">
      <c r="A171" s="295" t="s">
        <v>125</v>
      </c>
      <c r="B171" s="296"/>
      <c r="C171" s="225"/>
      <c r="D171" s="225"/>
      <c r="E171" s="225"/>
      <c r="F171" s="225"/>
      <c r="G171" s="225"/>
      <c r="H171" s="14">
        <f>SUM(H170:H170)</f>
        <v>170000</v>
      </c>
      <c r="I171" s="14">
        <f t="shared" ref="I171:R171" si="56">SUM(I170:I170)</f>
        <v>4879</v>
      </c>
      <c r="J171" s="14">
        <f t="shared" si="56"/>
        <v>5168</v>
      </c>
      <c r="K171" s="14">
        <f t="shared" si="56"/>
        <v>0</v>
      </c>
      <c r="L171" s="14">
        <f t="shared" si="56"/>
        <v>10047</v>
      </c>
      <c r="M171" s="14">
        <f t="shared" si="56"/>
        <v>159953</v>
      </c>
      <c r="N171" s="14">
        <f t="shared" si="56"/>
        <v>28571.187291666665</v>
      </c>
      <c r="O171" s="14">
        <f t="shared" si="56"/>
        <v>0</v>
      </c>
      <c r="P171" s="14">
        <f t="shared" si="56"/>
        <v>5025</v>
      </c>
      <c r="Q171" s="14">
        <f t="shared" si="56"/>
        <v>43643.187291666662</v>
      </c>
      <c r="R171" s="14">
        <f t="shared" si="56"/>
        <v>126356.81270833334</v>
      </c>
    </row>
    <row r="172" spans="1:19" s="26" customFormat="1" ht="27" customHeight="1" thickBot="1" x14ac:dyDescent="0.25">
      <c r="A172" s="62"/>
      <c r="B172" s="62"/>
      <c r="C172" s="62"/>
      <c r="D172" s="62"/>
      <c r="E172" s="62"/>
      <c r="F172" s="62"/>
      <c r="G172" s="62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</row>
    <row r="173" spans="1:19" s="73" customFormat="1" ht="24.95" customHeight="1" thickBot="1" x14ac:dyDescent="0.25">
      <c r="A173" s="223" t="s">
        <v>176</v>
      </c>
      <c r="B173" s="224"/>
      <c r="C173" s="224"/>
      <c r="D173" s="224"/>
      <c r="E173" s="224"/>
      <c r="F173" s="224"/>
      <c r="G173" s="224"/>
      <c r="H173" s="224"/>
      <c r="I173" s="224"/>
      <c r="J173" s="224"/>
      <c r="K173" s="224"/>
      <c r="L173" s="224"/>
      <c r="M173" s="224"/>
      <c r="N173" s="224"/>
      <c r="O173" s="224"/>
      <c r="P173" s="224"/>
      <c r="Q173" s="224"/>
      <c r="R173" s="224"/>
      <c r="S173" s="26"/>
    </row>
    <row r="174" spans="1:19" s="73" customFormat="1" ht="27.6" customHeight="1" x14ac:dyDescent="0.2">
      <c r="A174" s="96">
        <f>+A170+1</f>
        <v>68</v>
      </c>
      <c r="B174" s="133" t="s">
        <v>492</v>
      </c>
      <c r="C174" s="12" t="s">
        <v>422</v>
      </c>
      <c r="D174" s="115" t="s">
        <v>493</v>
      </c>
      <c r="E174" s="115" t="s">
        <v>214</v>
      </c>
      <c r="F174" s="98" t="s">
        <v>616</v>
      </c>
      <c r="G174" s="98" t="s">
        <v>692</v>
      </c>
      <c r="H174" s="164">
        <v>135000</v>
      </c>
      <c r="I174" s="100">
        <f>H174*2.87%</f>
        <v>3874.5</v>
      </c>
      <c r="J174" s="100">
        <f>+H174*3.04%</f>
        <v>4104</v>
      </c>
      <c r="K174" s="100"/>
      <c r="L174" s="8">
        <f>+J174+I174+K174</f>
        <v>7978.5</v>
      </c>
      <c r="M174" s="8">
        <f>+H174-L174</f>
        <v>127021.5</v>
      </c>
      <c r="N174" s="8">
        <f>+IF(M174*12&lt;=416220.01,0,IF(M174*12&lt;=624329.01,(((M174*12-416220.01)*0.15)/12),IF((M174*12&lt;=867123.01),(31216+0.2*(M174*12-624329.01))/12,((79776+0.25*(M174*12-867123.01))/12))))-O174</f>
        <v>20338.312291666665</v>
      </c>
      <c r="O174" s="8"/>
      <c r="P174" s="99">
        <v>3025</v>
      </c>
      <c r="Q174" s="8">
        <f>+P174+N174+L174</f>
        <v>31341.812291666665</v>
      </c>
      <c r="R174" s="99">
        <f>+H174-Q174</f>
        <v>103658.18770833334</v>
      </c>
      <c r="S174" s="26"/>
    </row>
    <row r="175" spans="1:19" s="26" customFormat="1" ht="26.25" customHeight="1" x14ac:dyDescent="0.2">
      <c r="A175" s="66">
        <f>+A174+1</f>
        <v>69</v>
      </c>
      <c r="B175" s="120" t="s">
        <v>364</v>
      </c>
      <c r="C175" s="119" t="s">
        <v>422</v>
      </c>
      <c r="D175" s="118" t="s">
        <v>391</v>
      </c>
      <c r="E175" s="115" t="s">
        <v>214</v>
      </c>
      <c r="F175" s="120" t="s">
        <v>546</v>
      </c>
      <c r="G175" s="120" t="s">
        <v>611</v>
      </c>
      <c r="H175" s="183">
        <v>60000</v>
      </c>
      <c r="I175" s="61">
        <f>H175*2.87%</f>
        <v>1722</v>
      </c>
      <c r="J175" s="100">
        <f t="shared" ref="J175" si="57">+H175*3.04%</f>
        <v>1824</v>
      </c>
      <c r="K175" s="100"/>
      <c r="L175" s="8">
        <f>+J175+I175+K175</f>
        <v>3546</v>
      </c>
      <c r="M175" s="8">
        <f>+H175-L175</f>
        <v>56454</v>
      </c>
      <c r="N175" s="8">
        <f t="shared" ref="N175:N176" si="58">+IF(M175*12&lt;=416220.01,0,IF(M175*12&lt;=624329.01,(((M175*12-416220.01)*0.15)/12),IF((M175*12&lt;=867123.01),(31216+0.2*(M175*12-624329.01))/12,((79776+0.25*(M175*12-867123.01))/12))))-O175</f>
        <v>3486.6498333333329</v>
      </c>
      <c r="O175" s="8"/>
      <c r="P175" s="67">
        <v>7525</v>
      </c>
      <c r="Q175" s="8">
        <f t="shared" ref="Q175:Q176" si="59">+P175+N175+L175</f>
        <v>14557.649833333333</v>
      </c>
      <c r="R175" s="67">
        <f>+H175-Q175</f>
        <v>45442.350166666671</v>
      </c>
    </row>
    <row r="176" spans="1:19" s="26" customFormat="1" ht="26.25" customHeight="1" x14ac:dyDescent="0.2">
      <c r="A176" s="66">
        <f>+A175+1</f>
        <v>70</v>
      </c>
      <c r="B176" s="120" t="s">
        <v>554</v>
      </c>
      <c r="C176" s="119" t="s">
        <v>422</v>
      </c>
      <c r="D176" s="118" t="s">
        <v>555</v>
      </c>
      <c r="E176" s="115" t="s">
        <v>214</v>
      </c>
      <c r="F176" s="120" t="s">
        <v>550</v>
      </c>
      <c r="G176" s="120" t="s">
        <v>614</v>
      </c>
      <c r="H176" s="183">
        <v>50000</v>
      </c>
      <c r="I176" s="61">
        <f>H176*2.87%</f>
        <v>1435</v>
      </c>
      <c r="J176" s="100">
        <f t="shared" ref="J176" si="60">+H176*3.04%</f>
        <v>1520</v>
      </c>
      <c r="K176" s="100"/>
      <c r="L176" s="8">
        <f>+J176+I176+K176</f>
        <v>2955</v>
      </c>
      <c r="M176" s="8">
        <f>+H176-L176</f>
        <v>47045</v>
      </c>
      <c r="N176" s="8">
        <f t="shared" si="58"/>
        <v>-1.2500000025283953E-4</v>
      </c>
      <c r="O176" s="8">
        <v>1854</v>
      </c>
      <c r="P176" s="67">
        <v>25</v>
      </c>
      <c r="Q176" s="8">
        <f t="shared" si="59"/>
        <v>2979.9998749999995</v>
      </c>
      <c r="R176" s="67">
        <f>+H176-Q176</f>
        <v>47020.000124999999</v>
      </c>
    </row>
    <row r="177" spans="1:19" s="26" customFormat="1" ht="22.5" customHeight="1" x14ac:dyDescent="0.2">
      <c r="A177" s="295" t="s">
        <v>125</v>
      </c>
      <c r="B177" s="296"/>
      <c r="C177" s="225"/>
      <c r="D177" s="225"/>
      <c r="E177" s="225"/>
      <c r="F177" s="225"/>
      <c r="G177" s="225"/>
      <c r="H177" s="14">
        <f>SUM(H174:H176)</f>
        <v>245000</v>
      </c>
      <c r="I177" s="14">
        <f t="shared" ref="I177:R177" si="61">SUM(I174:I176)</f>
        <v>7031.5</v>
      </c>
      <c r="J177" s="14">
        <f t="shared" si="61"/>
        <v>7448</v>
      </c>
      <c r="K177" s="14">
        <f t="shared" si="61"/>
        <v>0</v>
      </c>
      <c r="L177" s="14">
        <f t="shared" si="61"/>
        <v>14479.5</v>
      </c>
      <c r="M177" s="14">
        <f t="shared" si="61"/>
        <v>230520.5</v>
      </c>
      <c r="N177" s="14">
        <f t="shared" si="61"/>
        <v>23824.962</v>
      </c>
      <c r="O177" s="14">
        <f t="shared" si="61"/>
        <v>1854</v>
      </c>
      <c r="P177" s="14">
        <f t="shared" si="61"/>
        <v>10575</v>
      </c>
      <c r="Q177" s="14">
        <f t="shared" si="61"/>
        <v>48879.462</v>
      </c>
      <c r="R177" s="14">
        <f t="shared" si="61"/>
        <v>196120.538</v>
      </c>
    </row>
    <row r="178" spans="1:19" s="26" customFormat="1" ht="15" customHeight="1" thickBot="1" x14ac:dyDescent="0.25">
      <c r="A178" s="62"/>
      <c r="B178" s="62"/>
      <c r="C178" s="62"/>
      <c r="D178" s="62"/>
      <c r="E178" s="62"/>
      <c r="F178" s="62"/>
      <c r="G178" s="62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</row>
    <row r="179" spans="1:19" s="26" customFormat="1" ht="22.5" customHeight="1" thickBot="1" x14ac:dyDescent="0.25">
      <c r="A179" s="223" t="s">
        <v>177</v>
      </c>
      <c r="B179" s="224"/>
      <c r="C179" s="224"/>
      <c r="D179" s="224"/>
      <c r="E179" s="224"/>
      <c r="F179" s="224"/>
      <c r="G179" s="224"/>
      <c r="H179" s="224"/>
      <c r="I179" s="224"/>
      <c r="J179" s="224"/>
      <c r="K179" s="224"/>
      <c r="L179" s="224"/>
      <c r="M179" s="224"/>
      <c r="N179" s="224"/>
      <c r="O179" s="224"/>
      <c r="P179" s="224"/>
      <c r="Q179" s="224"/>
      <c r="R179" s="224"/>
    </row>
    <row r="180" spans="1:19" s="73" customFormat="1" ht="24.95" customHeight="1" x14ac:dyDescent="0.2">
      <c r="A180" s="96">
        <f>+A176+1</f>
        <v>71</v>
      </c>
      <c r="B180" s="24" t="s">
        <v>445</v>
      </c>
      <c r="C180" s="12" t="s">
        <v>421</v>
      </c>
      <c r="D180" s="24" t="s">
        <v>437</v>
      </c>
      <c r="E180" s="115" t="s">
        <v>214</v>
      </c>
      <c r="F180" s="24" t="s">
        <v>559</v>
      </c>
      <c r="G180" s="24" t="s">
        <v>622</v>
      </c>
      <c r="H180" s="9">
        <v>70000</v>
      </c>
      <c r="I180" s="100">
        <f t="shared" ref="I180" si="62">H180*2.87%</f>
        <v>2009</v>
      </c>
      <c r="J180" s="100">
        <f>+H180*3.04%</f>
        <v>2128</v>
      </c>
      <c r="K180" s="100"/>
      <c r="L180" s="8">
        <f>+J180+I180+K180</f>
        <v>4137</v>
      </c>
      <c r="M180" s="8">
        <f>+H180-L180</f>
        <v>65863</v>
      </c>
      <c r="N180" s="8">
        <f>+IF(M180*12&lt;=416220.01,0,IF(M180*12&lt;=624329.01,(((M180*12-416220.01)*0.15)/12),IF((M180*12&lt;=867123.01),(31216+0.2*(M180*12-624329.01))/12,((79776+0.25*(M180*12-867123.01))/12))))-O180</f>
        <v>5368.4498333333331</v>
      </c>
      <c r="O180" s="8"/>
      <c r="P180" s="99">
        <v>25</v>
      </c>
      <c r="Q180" s="8">
        <f>+P180+N180+L180</f>
        <v>9530.4498333333322</v>
      </c>
      <c r="R180" s="99">
        <f>+H180-Q180</f>
        <v>60469.550166666668</v>
      </c>
      <c r="S180" s="26"/>
    </row>
    <row r="181" spans="1:19" s="26" customFormat="1" ht="22.5" customHeight="1" x14ac:dyDescent="0.2">
      <c r="A181" s="96">
        <f>+A180+1</f>
        <v>72</v>
      </c>
      <c r="B181" s="24" t="s">
        <v>223</v>
      </c>
      <c r="C181" s="12" t="s">
        <v>421</v>
      </c>
      <c r="D181" s="24" t="s">
        <v>222</v>
      </c>
      <c r="E181" s="115" t="s">
        <v>214</v>
      </c>
      <c r="F181" s="185" t="s">
        <v>613</v>
      </c>
      <c r="G181" s="185" t="s">
        <v>710</v>
      </c>
      <c r="H181" s="9">
        <v>60000</v>
      </c>
      <c r="I181" s="100">
        <f t="shared" ref="I181" si="63">H181*2.87%</f>
        <v>1722</v>
      </c>
      <c r="J181" s="100">
        <f t="shared" ref="J181" si="64">+H181*3.04%</f>
        <v>1824</v>
      </c>
      <c r="K181" s="100"/>
      <c r="L181" s="8">
        <f>+J181+I181+K181</f>
        <v>3546</v>
      </c>
      <c r="M181" s="8">
        <f>+H181-L181</f>
        <v>56454</v>
      </c>
      <c r="N181" s="8">
        <f>+IF(M181*12&lt;=416220.01,0,IF(M181*12&lt;=624329.01,(((M181*12-416220.01)*0.15)/12),IF((M181*12&lt;=867123.01),(31216+0.2*(M181*12-624329.01))/12,((79776+0.25*(M181*12-867123.01))/12))))-O181</f>
        <v>3486.6498333333329</v>
      </c>
      <c r="O181" s="8"/>
      <c r="P181" s="99">
        <v>25</v>
      </c>
      <c r="Q181" s="8">
        <f>+P181+N181+L181</f>
        <v>7057.6498333333329</v>
      </c>
      <c r="R181" s="99">
        <f>+H181-Q181</f>
        <v>52942.350166666671</v>
      </c>
    </row>
    <row r="182" spans="1:19" s="2" customFormat="1" ht="22.5" customHeight="1" x14ac:dyDescent="0.2">
      <c r="A182" s="295" t="s">
        <v>125</v>
      </c>
      <c r="B182" s="296"/>
      <c r="C182" s="225"/>
      <c r="D182" s="225"/>
      <c r="E182" s="225"/>
      <c r="F182" s="225"/>
      <c r="G182" s="225"/>
      <c r="H182" s="14">
        <f>SUM(H180:H181)</f>
        <v>130000</v>
      </c>
      <c r="I182" s="14">
        <f t="shared" ref="I182:R182" si="65">SUM(I180:I181)</f>
        <v>3731</v>
      </c>
      <c r="J182" s="14">
        <f t="shared" si="65"/>
        <v>3952</v>
      </c>
      <c r="K182" s="14">
        <f t="shared" si="65"/>
        <v>0</v>
      </c>
      <c r="L182" s="14">
        <f t="shared" si="65"/>
        <v>7683</v>
      </c>
      <c r="M182" s="14">
        <f t="shared" si="65"/>
        <v>122317</v>
      </c>
      <c r="N182" s="14">
        <f t="shared" si="65"/>
        <v>8855.0996666666651</v>
      </c>
      <c r="O182" s="14">
        <f t="shared" si="65"/>
        <v>0</v>
      </c>
      <c r="P182" s="14">
        <f t="shared" si="65"/>
        <v>50</v>
      </c>
      <c r="Q182" s="14">
        <f t="shared" si="65"/>
        <v>16588.099666666665</v>
      </c>
      <c r="R182" s="14">
        <f t="shared" si="65"/>
        <v>113411.90033333334</v>
      </c>
    </row>
    <row r="183" spans="1:19" s="68" customFormat="1" ht="20.100000000000001" customHeight="1" thickBot="1" x14ac:dyDescent="0.25">
      <c r="A183" s="4"/>
      <c r="B183" s="23"/>
      <c r="C183" s="4"/>
      <c r="D183" s="25"/>
      <c r="E183" s="25"/>
      <c r="F183" s="25"/>
      <c r="G183" s="25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</row>
    <row r="184" spans="1:19" s="68" customFormat="1" ht="24.95" customHeight="1" thickBot="1" x14ac:dyDescent="0.25">
      <c r="A184" s="223" t="s">
        <v>307</v>
      </c>
      <c r="B184" s="224"/>
      <c r="C184" s="224"/>
      <c r="D184" s="224"/>
      <c r="E184" s="224"/>
      <c r="F184" s="224"/>
      <c r="G184" s="224"/>
      <c r="H184" s="224"/>
      <c r="I184" s="224"/>
      <c r="J184" s="224"/>
      <c r="K184" s="224"/>
      <c r="L184" s="224"/>
      <c r="M184" s="224"/>
      <c r="N184" s="224"/>
      <c r="O184" s="224"/>
      <c r="P184" s="224"/>
      <c r="Q184" s="224"/>
      <c r="R184" s="224"/>
      <c r="S184" s="2"/>
    </row>
    <row r="185" spans="1:19" s="2" customFormat="1" ht="24.95" customHeight="1" x14ac:dyDescent="0.2">
      <c r="A185" s="96">
        <f>+A181+1</f>
        <v>73</v>
      </c>
      <c r="B185" s="24" t="s">
        <v>392</v>
      </c>
      <c r="C185" s="12" t="s">
        <v>421</v>
      </c>
      <c r="D185" s="115" t="s">
        <v>393</v>
      </c>
      <c r="E185" s="115" t="s">
        <v>214</v>
      </c>
      <c r="F185" s="98" t="s">
        <v>627</v>
      </c>
      <c r="G185" s="98" t="s">
        <v>717</v>
      </c>
      <c r="H185" s="8">
        <v>190000</v>
      </c>
      <c r="I185" s="100">
        <f>H185*2.87%</f>
        <v>5453</v>
      </c>
      <c r="J185" s="5">
        <f>187020*3.04%</f>
        <v>5685.4080000000004</v>
      </c>
      <c r="K185" s="5"/>
      <c r="L185" s="8">
        <f>+J185+I185+K185</f>
        <v>11138.407999999999</v>
      </c>
      <c r="M185" s="8">
        <f>+H185-L185</f>
        <v>178861.592</v>
      </c>
      <c r="N185" s="8">
        <f>+IF(M185*12&lt;=416220.01,0,IF(M185*12&lt;=624329.01,(((M185*12-416220.01)*0.15)/12),IF((M185*12&lt;=867123.01),(31216+0.2*(M185*12-624329.01))/12,((79776+0.25*(M185*12-867123.01))/12))))</f>
        <v>33298.33529166667</v>
      </c>
      <c r="O185" s="8"/>
      <c r="P185" s="99">
        <v>225</v>
      </c>
      <c r="Q185" s="8">
        <f>+P185+N185+L185</f>
        <v>44661.743291666673</v>
      </c>
      <c r="R185" s="99">
        <f>+H185-Q185</f>
        <v>145338.25670833333</v>
      </c>
    </row>
    <row r="186" spans="1:19" s="68" customFormat="1" ht="24.75" customHeight="1" thickBot="1" x14ac:dyDescent="0.25">
      <c r="A186" s="295" t="s">
        <v>125</v>
      </c>
      <c r="B186" s="296"/>
      <c r="C186" s="225"/>
      <c r="D186" s="225"/>
      <c r="E186" s="226"/>
      <c r="F186" s="226"/>
      <c r="G186" s="230"/>
      <c r="H186" s="72">
        <f>SUM(H185:H185)</f>
        <v>190000</v>
      </c>
      <c r="I186" s="72">
        <f t="shared" ref="I186:R186" si="66">SUM(I185:I185)</f>
        <v>5453</v>
      </c>
      <c r="J186" s="72">
        <f t="shared" si="66"/>
        <v>5685.4080000000004</v>
      </c>
      <c r="K186" s="72">
        <f t="shared" si="66"/>
        <v>0</v>
      </c>
      <c r="L186" s="72">
        <f t="shared" si="66"/>
        <v>11138.407999999999</v>
      </c>
      <c r="M186" s="72">
        <f t="shared" si="66"/>
        <v>178861.592</v>
      </c>
      <c r="N186" s="72">
        <f t="shared" si="66"/>
        <v>33298.33529166667</v>
      </c>
      <c r="O186" s="72">
        <f t="shared" si="66"/>
        <v>0</v>
      </c>
      <c r="P186" s="72">
        <f t="shared" si="66"/>
        <v>225</v>
      </c>
      <c r="Q186" s="72">
        <f t="shared" si="66"/>
        <v>44661.743291666673</v>
      </c>
      <c r="R186" s="72">
        <f t="shared" si="66"/>
        <v>145338.25670833333</v>
      </c>
      <c r="S186" s="2"/>
    </row>
    <row r="187" spans="1:19" s="68" customFormat="1" ht="24.75" customHeight="1" thickBot="1" x14ac:dyDescent="0.25">
      <c r="A187" s="197"/>
      <c r="B187" s="197"/>
      <c r="C187" s="197"/>
      <c r="D187" s="197"/>
      <c r="E187" s="197"/>
      <c r="F187" s="197"/>
      <c r="G187" s="197"/>
      <c r="H187" s="198"/>
      <c r="I187" s="198"/>
      <c r="J187" s="198"/>
      <c r="K187" s="198"/>
      <c r="L187" s="198"/>
      <c r="M187" s="198"/>
      <c r="N187" s="198"/>
      <c r="O187" s="198"/>
      <c r="P187" s="198"/>
      <c r="Q187" s="198"/>
      <c r="R187" s="198"/>
      <c r="S187" s="2"/>
    </row>
    <row r="188" spans="1:19" s="68" customFormat="1" ht="24.75" customHeight="1" thickBot="1" x14ac:dyDescent="0.25">
      <c r="A188" s="223" t="s">
        <v>394</v>
      </c>
      <c r="B188" s="224"/>
      <c r="C188" s="224"/>
      <c r="D188" s="224"/>
      <c r="E188" s="224"/>
      <c r="F188" s="224"/>
      <c r="G188" s="224"/>
      <c r="H188" s="224"/>
      <c r="I188" s="224"/>
      <c r="J188" s="224"/>
      <c r="K188" s="224"/>
      <c r="L188" s="224"/>
      <c r="M188" s="224"/>
      <c r="N188" s="224"/>
      <c r="O188" s="224"/>
      <c r="P188" s="224"/>
      <c r="Q188" s="224"/>
      <c r="R188" s="224"/>
      <c r="S188" s="2"/>
    </row>
    <row r="189" spans="1:19" s="26" customFormat="1" ht="24.95" customHeight="1" x14ac:dyDescent="0.2">
      <c r="A189" s="66">
        <f>+A185+1</f>
        <v>74</v>
      </c>
      <c r="B189" s="120" t="s">
        <v>87</v>
      </c>
      <c r="C189" s="119" t="s">
        <v>421</v>
      </c>
      <c r="D189" s="120" t="s">
        <v>100</v>
      </c>
      <c r="E189" s="115" t="s">
        <v>214</v>
      </c>
      <c r="F189" s="24" t="s">
        <v>559</v>
      </c>
      <c r="G189" s="24" t="s">
        <v>622</v>
      </c>
      <c r="H189" s="61">
        <v>90000</v>
      </c>
      <c r="I189" s="61">
        <f t="shared" ref="I189" si="67">H189*2.87%</f>
        <v>2583</v>
      </c>
      <c r="J189" s="61">
        <f t="shared" ref="J189" si="68">+H189*3.04%</f>
        <v>2736</v>
      </c>
      <c r="K189" s="61"/>
      <c r="L189" s="8">
        <f t="shared" ref="L189:L194" si="69">+J189+I189+K189</f>
        <v>5319</v>
      </c>
      <c r="M189" s="8">
        <f t="shared" ref="M189:M194" si="70">+H189-L189</f>
        <v>84681</v>
      </c>
      <c r="N189" s="8">
        <f>+IF(M189*12&lt;=416220.01,0,IF(M189*12&lt;=624329.01,(((M189*12-416220.01)*0.15)/12),IF((M189*12&lt;=867123.01),(31216+0.2*(M189*12-624329.01))/12,((79776+0.25*(M189*12-867123.01))/12))))-O189</f>
        <v>9753.1872916666671</v>
      </c>
      <c r="O189" s="8"/>
      <c r="P189" s="99">
        <v>925</v>
      </c>
      <c r="Q189" s="8">
        <f>+P189+N189+L189</f>
        <v>15997.187291666667</v>
      </c>
      <c r="R189" s="99">
        <f t="shared" ref="R189:R194" si="71">+H189-Q189</f>
        <v>74002.812708333338</v>
      </c>
    </row>
    <row r="190" spans="1:19" s="26" customFormat="1" ht="24.95" customHeight="1" x14ac:dyDescent="0.2">
      <c r="A190" s="66">
        <f>+A189+1</f>
        <v>75</v>
      </c>
      <c r="B190" s="120" t="s">
        <v>556</v>
      </c>
      <c r="C190" s="119" t="s">
        <v>421</v>
      </c>
      <c r="D190" s="120" t="s">
        <v>83</v>
      </c>
      <c r="E190" s="115" t="s">
        <v>214</v>
      </c>
      <c r="F190" s="24" t="s">
        <v>550</v>
      </c>
      <c r="G190" s="24" t="s">
        <v>614</v>
      </c>
      <c r="H190" s="61">
        <v>70000</v>
      </c>
      <c r="I190" s="61">
        <f t="shared" ref="I190" si="72">H190*2.87%</f>
        <v>2009</v>
      </c>
      <c r="J190" s="61">
        <f t="shared" ref="J190" si="73">+H190*3.04%</f>
        <v>2128</v>
      </c>
      <c r="K190" s="61">
        <v>3154.9</v>
      </c>
      <c r="L190" s="8">
        <f t="shared" si="69"/>
        <v>7291.9</v>
      </c>
      <c r="M190" s="8">
        <f t="shared" si="70"/>
        <v>62708.1</v>
      </c>
      <c r="N190" s="8">
        <f>+IF(M190*12&lt;=416220.01,0,IF(M190*12&lt;=624329.01,(((M190*12-416220.01)*0.15)/12),IF((M190*12&lt;=867123.01),(31216+0.2*(M190*12-624329.01))/12,((79776+0.25*(M190*12-867123.01))/12))))-O190</f>
        <v>-1.6666666761011584E-4</v>
      </c>
      <c r="O190" s="8">
        <v>4737.47</v>
      </c>
      <c r="P190" s="99">
        <v>25</v>
      </c>
      <c r="Q190" s="8">
        <f>+P190+N190+L190</f>
        <v>7316.899833333332</v>
      </c>
      <c r="R190" s="99">
        <f t="shared" si="71"/>
        <v>62683.100166666671</v>
      </c>
    </row>
    <row r="191" spans="1:19" s="73" customFormat="1" ht="25.5" customHeight="1" x14ac:dyDescent="0.2">
      <c r="A191" s="96">
        <f>+A190+1</f>
        <v>76</v>
      </c>
      <c r="B191" s="24" t="s">
        <v>507</v>
      </c>
      <c r="C191" s="12" t="s">
        <v>421</v>
      </c>
      <c r="D191" s="115" t="s">
        <v>508</v>
      </c>
      <c r="E191" s="115" t="s">
        <v>214</v>
      </c>
      <c r="F191" s="98" t="s">
        <v>539</v>
      </c>
      <c r="G191" s="98" t="s">
        <v>718</v>
      </c>
      <c r="H191" s="100">
        <v>110000</v>
      </c>
      <c r="I191" s="100">
        <f>H191*2.87%</f>
        <v>3157</v>
      </c>
      <c r="J191" s="100">
        <f>+H191*3.04%</f>
        <v>3344</v>
      </c>
      <c r="K191" s="100">
        <v>1577.45</v>
      </c>
      <c r="L191" s="8">
        <f t="shared" si="69"/>
        <v>8078.45</v>
      </c>
      <c r="M191" s="8">
        <f t="shared" si="70"/>
        <v>101921.55</v>
      </c>
      <c r="N191" s="8">
        <f>+IF(M191*12&lt;=416220.01,0,IF(M191*12&lt;=624329.01,(((M191*12-416220.01)*0.15)/12),IF((M191*12&lt;=867123.01),(31216+0.2*(M191*12-624329.01))/12,((79776+0.25*(M191*12-867123.01))/12))))-O191</f>
        <v>14063.324791666668</v>
      </c>
      <c r="O191" s="8"/>
      <c r="P191" s="99">
        <v>25</v>
      </c>
      <c r="Q191" s="8">
        <f>+P191+N191+L191</f>
        <v>22166.774791666667</v>
      </c>
      <c r="R191" s="99">
        <f t="shared" si="71"/>
        <v>87833.22520833333</v>
      </c>
      <c r="S191" s="26"/>
    </row>
    <row r="192" spans="1:19" s="2" customFormat="1" ht="24.95" customHeight="1" x14ac:dyDescent="0.2">
      <c r="A192" s="96">
        <f>+A191+1</f>
        <v>77</v>
      </c>
      <c r="B192" s="120" t="s">
        <v>438</v>
      </c>
      <c r="C192" s="119" t="s">
        <v>421</v>
      </c>
      <c r="D192" s="186" t="s">
        <v>719</v>
      </c>
      <c r="E192" s="118" t="s">
        <v>214</v>
      </c>
      <c r="F192" s="24" t="s">
        <v>564</v>
      </c>
      <c r="G192" s="24" t="s">
        <v>619</v>
      </c>
      <c r="H192" s="104">
        <v>70000</v>
      </c>
      <c r="I192" s="61">
        <f>H192*2.87%</f>
        <v>2009</v>
      </c>
      <c r="J192" s="61">
        <f>+H192*3.04%</f>
        <v>2128</v>
      </c>
      <c r="K192" s="61">
        <v>1577.45</v>
      </c>
      <c r="L192" s="8">
        <f t="shared" si="69"/>
        <v>5714.45</v>
      </c>
      <c r="M192" s="8">
        <f t="shared" si="70"/>
        <v>64285.55</v>
      </c>
      <c r="N192" s="8">
        <f>+IF(M192*12&lt;=416220.01,0,IF(M192*12&lt;=624329.01,(((M192*12-416220.01)*0.15)/12),IF((M192*12&lt;=867123.01),(31216+0.2*(M192*12-624329.01))/12,((79776+0.25*(M192*12-867123.01))/12))))-O192</f>
        <v>5052.9598333333352</v>
      </c>
      <c r="O192" s="8">
        <v>0</v>
      </c>
      <c r="P192" s="67">
        <v>25</v>
      </c>
      <c r="Q192" s="8">
        <f>+P192+N192+L192</f>
        <v>10792.409833333335</v>
      </c>
      <c r="R192" s="67">
        <f t="shared" si="71"/>
        <v>59207.590166666661</v>
      </c>
    </row>
    <row r="193" spans="1:19" s="2" customFormat="1" ht="24.95" customHeight="1" x14ac:dyDescent="0.2">
      <c r="A193" s="96">
        <f>+A192+1</f>
        <v>78</v>
      </c>
      <c r="B193" s="120" t="s">
        <v>680</v>
      </c>
      <c r="C193" s="119" t="s">
        <v>421</v>
      </c>
      <c r="D193" s="118" t="s">
        <v>682</v>
      </c>
      <c r="E193" s="118" t="s">
        <v>214</v>
      </c>
      <c r="F193" s="24" t="s">
        <v>683</v>
      </c>
      <c r="G193" s="24" t="s">
        <v>670</v>
      </c>
      <c r="H193" s="104">
        <v>135000</v>
      </c>
      <c r="I193" s="61">
        <f>H193*2.87%</f>
        <v>3874.5</v>
      </c>
      <c r="J193" s="61">
        <f>+H193*3.04%</f>
        <v>4104</v>
      </c>
      <c r="K193" s="61"/>
      <c r="L193" s="8">
        <f t="shared" si="69"/>
        <v>7978.5</v>
      </c>
      <c r="M193" s="8">
        <f t="shared" si="70"/>
        <v>127021.5</v>
      </c>
      <c r="N193" s="8">
        <f t="shared" ref="N193:N194" si="74">+IF(M193*12&lt;=416220.01,0,IF(M193*12&lt;=624329.01,(((M193*12-416220.01)*0.15)/12),IF((M193*12&lt;=867123.01),(31216+0.2*(M193*12-624329.01))/12,((79776+0.25*(M193*12-867123.01))/12))))-O193</f>
        <v>20338.312291666665</v>
      </c>
      <c r="O193" s="8"/>
      <c r="P193" s="67">
        <v>25</v>
      </c>
      <c r="Q193" s="8">
        <f t="shared" ref="Q193:Q194" si="75">+P193+N193+L193</f>
        <v>28341.812291666665</v>
      </c>
      <c r="R193" s="67">
        <f t="shared" si="71"/>
        <v>106658.18770833334</v>
      </c>
    </row>
    <row r="194" spans="1:19" s="2" customFormat="1" ht="24.95" customHeight="1" thickBot="1" x14ac:dyDescent="0.25">
      <c r="A194" s="96">
        <f>+A193+1</f>
        <v>79</v>
      </c>
      <c r="B194" s="120" t="s">
        <v>681</v>
      </c>
      <c r="C194" s="119" t="s">
        <v>421</v>
      </c>
      <c r="D194" s="120" t="s">
        <v>83</v>
      </c>
      <c r="E194" s="118" t="s">
        <v>214</v>
      </c>
      <c r="F194" s="24" t="s">
        <v>683</v>
      </c>
      <c r="G194" s="24" t="s">
        <v>670</v>
      </c>
      <c r="H194" s="104">
        <v>80000</v>
      </c>
      <c r="I194" s="61">
        <f>H194*2.87%</f>
        <v>2296</v>
      </c>
      <c r="J194" s="61">
        <f>+H194*3.04%</f>
        <v>2432</v>
      </c>
      <c r="K194" s="61"/>
      <c r="L194" s="8">
        <f t="shared" si="69"/>
        <v>4728</v>
      </c>
      <c r="M194" s="8">
        <f t="shared" si="70"/>
        <v>75272</v>
      </c>
      <c r="N194" s="8">
        <f t="shared" si="74"/>
        <v>7400.9372916666662</v>
      </c>
      <c r="O194" s="8"/>
      <c r="P194" s="67">
        <v>25</v>
      </c>
      <c r="Q194" s="8">
        <f t="shared" si="75"/>
        <v>12153.937291666665</v>
      </c>
      <c r="R194" s="67">
        <f t="shared" si="71"/>
        <v>67846.062708333338</v>
      </c>
    </row>
    <row r="195" spans="1:19" s="2" customFormat="1" ht="21.75" customHeight="1" thickBot="1" x14ac:dyDescent="0.25">
      <c r="A195" s="295" t="s">
        <v>125</v>
      </c>
      <c r="B195" s="296"/>
      <c r="C195" s="225"/>
      <c r="D195" s="225"/>
      <c r="E195" s="225"/>
      <c r="F195" s="225"/>
      <c r="G195" s="227"/>
      <c r="H195" s="63">
        <f>SUM(H189:H194)</f>
        <v>555000</v>
      </c>
      <c r="I195" s="63">
        <f t="shared" ref="I195:R195" si="76">SUM(I189:I194)</f>
        <v>15928.5</v>
      </c>
      <c r="J195" s="63">
        <f t="shared" si="76"/>
        <v>16872</v>
      </c>
      <c r="K195" s="63">
        <f t="shared" si="76"/>
        <v>6309.8</v>
      </c>
      <c r="L195" s="63">
        <f t="shared" si="76"/>
        <v>39110.300000000003</v>
      </c>
      <c r="M195" s="63">
        <f t="shared" si="76"/>
        <v>515889.7</v>
      </c>
      <c r="N195" s="63">
        <f t="shared" si="76"/>
        <v>56608.721333333342</v>
      </c>
      <c r="O195" s="63">
        <f t="shared" si="76"/>
        <v>4737.47</v>
      </c>
      <c r="P195" s="63">
        <f t="shared" si="76"/>
        <v>1050</v>
      </c>
      <c r="Q195" s="63">
        <f t="shared" si="76"/>
        <v>96769.021333333323</v>
      </c>
      <c r="R195" s="63">
        <f t="shared" si="76"/>
        <v>458230.97866666666</v>
      </c>
    </row>
    <row r="196" spans="1:19" s="68" customFormat="1" ht="13.5" customHeight="1" thickBot="1" x14ac:dyDescent="0.25">
      <c r="A196" s="62"/>
      <c r="B196" s="62"/>
      <c r="C196" s="62"/>
      <c r="D196" s="62"/>
      <c r="E196" s="62"/>
      <c r="F196" s="62"/>
      <c r="G196" s="62"/>
      <c r="H196"/>
      <c r="I196"/>
      <c r="J196"/>
      <c r="K196"/>
      <c r="L196"/>
      <c r="M196"/>
      <c r="N196"/>
      <c r="O196"/>
      <c r="P196"/>
      <c r="Q196"/>
      <c r="R196"/>
      <c r="S196" s="2"/>
    </row>
    <row r="197" spans="1:19" s="68" customFormat="1" ht="24.95" customHeight="1" thickBot="1" x14ac:dyDescent="0.25">
      <c r="A197" s="223" t="s">
        <v>312</v>
      </c>
      <c r="B197" s="224"/>
      <c r="C197" s="224"/>
      <c r="D197" s="224"/>
      <c r="E197" s="224"/>
      <c r="F197" s="224"/>
      <c r="G197" s="224"/>
      <c r="H197" s="224"/>
      <c r="I197" s="224"/>
      <c r="J197" s="224"/>
      <c r="K197" s="224"/>
      <c r="L197" s="224"/>
      <c r="M197" s="224"/>
      <c r="N197" s="224"/>
      <c r="O197" s="224"/>
      <c r="P197" s="224"/>
      <c r="Q197" s="224"/>
      <c r="R197" s="224"/>
      <c r="S197" s="2"/>
    </row>
    <row r="198" spans="1:19" s="73" customFormat="1" ht="27" customHeight="1" x14ac:dyDescent="0.2">
      <c r="A198" s="96">
        <f>+A194+1</f>
        <v>80</v>
      </c>
      <c r="B198" s="24" t="s">
        <v>454</v>
      </c>
      <c r="C198" s="12" t="s">
        <v>421</v>
      </c>
      <c r="D198" s="115" t="s">
        <v>455</v>
      </c>
      <c r="E198" s="115" t="s">
        <v>214</v>
      </c>
      <c r="F198" s="24" t="s">
        <v>558</v>
      </c>
      <c r="G198" s="24" t="s">
        <v>620</v>
      </c>
      <c r="H198" s="100">
        <v>135000</v>
      </c>
      <c r="I198" s="100">
        <f>H198*2.87%</f>
        <v>3874.5</v>
      </c>
      <c r="J198" s="100">
        <f>+H198*3.04%</f>
        <v>4104</v>
      </c>
      <c r="K198" s="100"/>
      <c r="L198" s="8">
        <f>+J198+I198+K198</f>
        <v>7978.5</v>
      </c>
      <c r="M198" s="8">
        <f>+H198-L198</f>
        <v>127021.5</v>
      </c>
      <c r="N198" s="8">
        <f>+IF(M198*12&lt;=416220.01,0,IF(M198*12&lt;=624329.01,(((M198*12-416220.01)*0.15)/12),IF((M198*12&lt;=867123.01),(31216+0.2*(M198*12-624329.01))/12,((79776+0.25*(M198*12-867123.01))/12))))-O198</f>
        <v>20338.312291666665</v>
      </c>
      <c r="O198" s="8"/>
      <c r="P198" s="99">
        <v>125</v>
      </c>
      <c r="Q198" s="8">
        <f t="shared" ref="Q198:Q201" si="77">+P198+N198+L198</f>
        <v>28441.812291666665</v>
      </c>
      <c r="R198" s="99">
        <f>+H198-Q198</f>
        <v>106558.18770833334</v>
      </c>
      <c r="S198" s="26"/>
    </row>
    <row r="199" spans="1:19" s="73" customFormat="1" ht="25.5" customHeight="1" x14ac:dyDescent="0.2">
      <c r="A199" s="96">
        <f>+A198+1</f>
        <v>81</v>
      </c>
      <c r="B199" s="98" t="s">
        <v>514</v>
      </c>
      <c r="C199" s="96" t="s">
        <v>421</v>
      </c>
      <c r="D199" s="97" t="s">
        <v>508</v>
      </c>
      <c r="E199" s="97" t="s">
        <v>214</v>
      </c>
      <c r="F199" s="98" t="s">
        <v>559</v>
      </c>
      <c r="G199" s="98" t="s">
        <v>622</v>
      </c>
      <c r="H199" s="100">
        <v>100000</v>
      </c>
      <c r="I199" s="100">
        <f>H199*2.87%</f>
        <v>2870</v>
      </c>
      <c r="J199" s="100">
        <f>+H199*3.04%</f>
        <v>3040</v>
      </c>
      <c r="K199" s="100">
        <v>4732.3500000000004</v>
      </c>
      <c r="L199" s="8">
        <f>+J199+I199+K199</f>
        <v>10642.35</v>
      </c>
      <c r="M199" s="8">
        <f>+H199-L199</f>
        <v>89357.65</v>
      </c>
      <c r="N199" s="8">
        <f t="shared" ref="N199:N201" si="78">+IF(M199*12&lt;=416220.01,0,IF(M199*12&lt;=624329.01,(((M199*12-416220.01)*0.15)/12),IF((M199*12&lt;=867123.01),(31216+0.2*(M199*12-624329.01))/12,((79776+0.25*(M199*12-867123.01))/12))))-O199</f>
        <v>10922.349791666662</v>
      </c>
      <c r="O199" s="8"/>
      <c r="P199" s="99">
        <v>2733.48</v>
      </c>
      <c r="Q199" s="8">
        <f t="shared" si="77"/>
        <v>24298.179791666662</v>
      </c>
      <c r="R199" s="99">
        <f>+H199-Q199</f>
        <v>75701.820208333345</v>
      </c>
      <c r="S199" s="26"/>
    </row>
    <row r="200" spans="1:19" s="2" customFormat="1" ht="24.95" customHeight="1" x14ac:dyDescent="0.2">
      <c r="A200" s="96">
        <f>+A199+1</f>
        <v>82</v>
      </c>
      <c r="B200" s="120" t="s">
        <v>225</v>
      </c>
      <c r="C200" s="119" t="s">
        <v>421</v>
      </c>
      <c r="D200" s="120" t="s">
        <v>395</v>
      </c>
      <c r="E200" s="118" t="s">
        <v>214</v>
      </c>
      <c r="F200" s="185" t="s">
        <v>613</v>
      </c>
      <c r="G200" s="185" t="s">
        <v>710</v>
      </c>
      <c r="H200" s="104">
        <v>50000</v>
      </c>
      <c r="I200" s="61">
        <f t="shared" ref="I200" si="79">H200*2.87%</f>
        <v>1435</v>
      </c>
      <c r="J200" s="61">
        <f t="shared" ref="J200" si="80">+H200*3.04%</f>
        <v>1520</v>
      </c>
      <c r="K200" s="61"/>
      <c r="L200" s="8">
        <f>+J200+I200+K200</f>
        <v>2955</v>
      </c>
      <c r="M200" s="8">
        <f>+H200-L200</f>
        <v>47045</v>
      </c>
      <c r="N200" s="8">
        <f t="shared" si="78"/>
        <v>1853.9998749999997</v>
      </c>
      <c r="O200" s="8"/>
      <c r="P200" s="67">
        <v>2270.33</v>
      </c>
      <c r="Q200" s="8">
        <f t="shared" si="77"/>
        <v>7079.3298749999994</v>
      </c>
      <c r="R200" s="67">
        <f>+H200-Q200</f>
        <v>42920.670125000004</v>
      </c>
    </row>
    <row r="201" spans="1:19" s="2" customFormat="1" ht="24.95" customHeight="1" x14ac:dyDescent="0.2">
      <c r="A201" s="96">
        <f>+A200+1</f>
        <v>83</v>
      </c>
      <c r="B201" s="120" t="s">
        <v>649</v>
      </c>
      <c r="C201" s="119" t="s">
        <v>421</v>
      </c>
      <c r="D201" s="120" t="s">
        <v>650</v>
      </c>
      <c r="E201" s="118" t="s">
        <v>214</v>
      </c>
      <c r="F201" s="24" t="s">
        <v>564</v>
      </c>
      <c r="G201" s="24" t="s">
        <v>619</v>
      </c>
      <c r="H201" s="104">
        <v>110000</v>
      </c>
      <c r="I201" s="61">
        <f t="shared" ref="I201" si="81">H201*2.87%</f>
        <v>3157</v>
      </c>
      <c r="J201" s="61">
        <f t="shared" ref="J201" si="82">+H201*3.04%</f>
        <v>3344</v>
      </c>
      <c r="K201" s="61"/>
      <c r="L201" s="8">
        <f>+J201+I201+K201</f>
        <v>6501</v>
      </c>
      <c r="M201" s="8">
        <f>+H201-L201</f>
        <v>103499</v>
      </c>
      <c r="N201" s="8">
        <f t="shared" si="78"/>
        <v>14457.687291666667</v>
      </c>
      <c r="O201" s="8"/>
      <c r="P201" s="67">
        <v>25</v>
      </c>
      <c r="Q201" s="8">
        <f t="shared" si="77"/>
        <v>20983.687291666669</v>
      </c>
      <c r="R201" s="67">
        <f>+H201-Q201</f>
        <v>89016.312708333338</v>
      </c>
    </row>
    <row r="202" spans="1:19" s="2" customFormat="1" ht="26.25" customHeight="1" thickBot="1" x14ac:dyDescent="0.25">
      <c r="A202" s="295" t="s">
        <v>125</v>
      </c>
      <c r="B202" s="296"/>
      <c r="C202" s="226"/>
      <c r="D202" s="226"/>
      <c r="E202" s="226"/>
      <c r="F202" s="226"/>
      <c r="G202" s="226"/>
      <c r="H202" s="148">
        <f>SUM(H198:H201)</f>
        <v>395000</v>
      </c>
      <c r="I202" s="148">
        <f t="shared" ref="I202:R202" si="83">SUM(I198:I201)</f>
        <v>11336.5</v>
      </c>
      <c r="J202" s="148">
        <f t="shared" si="83"/>
        <v>12008</v>
      </c>
      <c r="K202" s="148">
        <f t="shared" si="83"/>
        <v>4732.3500000000004</v>
      </c>
      <c r="L202" s="148">
        <f t="shared" si="83"/>
        <v>28076.85</v>
      </c>
      <c r="M202" s="148">
        <f t="shared" si="83"/>
        <v>366923.15</v>
      </c>
      <c r="N202" s="148">
        <f t="shared" si="83"/>
        <v>47572.349249999999</v>
      </c>
      <c r="O202" s="148">
        <f t="shared" si="83"/>
        <v>0</v>
      </c>
      <c r="P202" s="148">
        <f t="shared" si="83"/>
        <v>5153.8099999999995</v>
      </c>
      <c r="Q202" s="148">
        <f t="shared" si="83"/>
        <v>80803.009250000003</v>
      </c>
      <c r="R202" s="148">
        <f t="shared" si="83"/>
        <v>314196.99075</v>
      </c>
    </row>
    <row r="203" spans="1:19" s="2" customFormat="1" ht="20.100000000000001" customHeight="1" thickBot="1" x14ac:dyDescent="0.25">
      <c r="A203" s="62"/>
      <c r="B203" s="62"/>
      <c r="C203" s="62"/>
      <c r="D203" s="62"/>
      <c r="E203" s="62"/>
      <c r="F203" s="62"/>
      <c r="G203" s="62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</row>
    <row r="204" spans="1:19" s="2" customFormat="1" ht="24.95" customHeight="1" thickBot="1" x14ac:dyDescent="0.25">
      <c r="A204" s="223" t="s">
        <v>230</v>
      </c>
      <c r="B204" s="224"/>
      <c r="C204" s="224"/>
      <c r="D204" s="224"/>
      <c r="E204" s="224"/>
      <c r="F204" s="224"/>
      <c r="G204" s="224"/>
      <c r="H204" s="224"/>
      <c r="I204" s="224"/>
      <c r="J204" s="224"/>
      <c r="K204" s="224"/>
      <c r="L204" s="224"/>
      <c r="M204" s="224"/>
      <c r="N204" s="224"/>
      <c r="O204" s="224"/>
      <c r="P204" s="224"/>
      <c r="Q204" s="224"/>
      <c r="R204" s="224"/>
    </row>
    <row r="205" spans="1:19" s="2" customFormat="1" ht="24.95" customHeight="1" x14ac:dyDescent="0.2">
      <c r="A205" s="96">
        <f>+A201+1</f>
        <v>84</v>
      </c>
      <c r="B205" s="24" t="s">
        <v>638</v>
      </c>
      <c r="C205" s="12" t="s">
        <v>421</v>
      </c>
      <c r="D205" s="24" t="s">
        <v>395</v>
      </c>
      <c r="E205" s="115" t="s">
        <v>214</v>
      </c>
      <c r="F205" s="24" t="s">
        <v>559</v>
      </c>
      <c r="G205" s="24" t="s">
        <v>622</v>
      </c>
      <c r="H205" s="104">
        <v>50000</v>
      </c>
      <c r="I205" s="5">
        <f>H205*2.87%</f>
        <v>1435</v>
      </c>
      <c r="J205" s="5">
        <f>+H205*3.04%</f>
        <v>1520</v>
      </c>
      <c r="K205" s="5"/>
      <c r="L205" s="8">
        <f>+J205+I205+K205</f>
        <v>2955</v>
      </c>
      <c r="M205" s="8">
        <f>+H205-L205</f>
        <v>47045</v>
      </c>
      <c r="N205" s="8">
        <f>+IF(M205*12&lt;=416220.01,0,IF(M205*12&lt;=624329.01,(((M205*12-416220.01)*0.15)/12),IF((M205*12&lt;=867123.01),(31216+0.2*(M205*12-624329.01))/12,((79776+0.25*(M205*12-867123.01))/12))))-O205</f>
        <v>1853.9998749999997</v>
      </c>
      <c r="O205" s="8"/>
      <c r="P205" s="61">
        <v>25</v>
      </c>
      <c r="Q205" s="8">
        <f>+P205+N205+L205</f>
        <v>4833.9998749999995</v>
      </c>
      <c r="R205" s="67">
        <f>H205-Q205</f>
        <v>45166.000124999999</v>
      </c>
    </row>
    <row r="206" spans="1:19" s="2" customFormat="1" ht="24.95" customHeight="1" thickBot="1" x14ac:dyDescent="0.25">
      <c r="A206" s="295" t="s">
        <v>125</v>
      </c>
      <c r="B206" s="296"/>
      <c r="C206" s="226"/>
      <c r="D206" s="5"/>
      <c r="E206" s="226"/>
      <c r="F206" s="226"/>
      <c r="G206" s="230"/>
      <c r="H206" s="72">
        <f>SUM(H205:H205)</f>
        <v>50000</v>
      </c>
      <c r="I206" s="72">
        <f t="shared" ref="I206:R206" si="84">SUM(I205:I205)</f>
        <v>1435</v>
      </c>
      <c r="J206" s="72">
        <f t="shared" si="84"/>
        <v>1520</v>
      </c>
      <c r="K206" s="72">
        <f t="shared" si="84"/>
        <v>0</v>
      </c>
      <c r="L206" s="72">
        <f t="shared" si="84"/>
        <v>2955</v>
      </c>
      <c r="M206" s="72">
        <f t="shared" si="84"/>
        <v>47045</v>
      </c>
      <c r="N206" s="72">
        <f t="shared" si="84"/>
        <v>1853.9998749999997</v>
      </c>
      <c r="O206" s="72">
        <f t="shared" si="84"/>
        <v>0</v>
      </c>
      <c r="P206" s="72">
        <f t="shared" si="84"/>
        <v>25</v>
      </c>
      <c r="Q206" s="72">
        <f t="shared" si="84"/>
        <v>4833.9998749999995</v>
      </c>
      <c r="R206" s="72">
        <f t="shared" si="84"/>
        <v>45166.000124999999</v>
      </c>
    </row>
    <row r="207" spans="1:19" s="2" customFormat="1" ht="13.5" customHeight="1" thickBot="1" x14ac:dyDescent="0.25">
      <c r="A207" s="62"/>
      <c r="B207" s="62"/>
      <c r="C207" s="62"/>
      <c r="D207" s="62"/>
      <c r="E207" s="62"/>
      <c r="F207" s="62"/>
      <c r="G207" s="62"/>
      <c r="H207" s="132"/>
      <c r="I207" s="132"/>
      <c r="J207" s="132"/>
      <c r="K207" s="132"/>
      <c r="L207" s="132"/>
      <c r="M207" s="132"/>
      <c r="N207" s="132"/>
      <c r="O207" s="132"/>
      <c r="P207" s="132"/>
      <c r="Q207" s="132"/>
      <c r="R207" s="132"/>
    </row>
    <row r="208" spans="1:19" s="2" customFormat="1" ht="24.95" customHeight="1" thickBot="1" x14ac:dyDescent="0.25">
      <c r="A208" s="223" t="s">
        <v>224</v>
      </c>
      <c r="B208" s="224"/>
      <c r="C208" s="224"/>
      <c r="D208" s="224"/>
      <c r="E208" s="224"/>
      <c r="F208" s="224"/>
      <c r="G208" s="224"/>
      <c r="H208" s="224"/>
      <c r="I208" s="224"/>
      <c r="J208" s="224"/>
      <c r="K208" s="224"/>
      <c r="L208" s="224"/>
      <c r="M208" s="224"/>
      <c r="N208" s="224"/>
      <c r="O208" s="224"/>
      <c r="P208" s="224"/>
      <c r="Q208" s="224"/>
      <c r="R208" s="224"/>
    </row>
    <row r="209" spans="1:19" s="2" customFormat="1" ht="24.95" customHeight="1" x14ac:dyDescent="0.2">
      <c r="A209" s="96">
        <f>+A205+1</f>
        <v>85</v>
      </c>
      <c r="B209" s="24" t="s">
        <v>456</v>
      </c>
      <c r="C209" s="12" t="s">
        <v>421</v>
      </c>
      <c r="D209" s="115" t="s">
        <v>457</v>
      </c>
      <c r="E209" s="115" t="s">
        <v>214</v>
      </c>
      <c r="F209" s="24" t="s">
        <v>558</v>
      </c>
      <c r="G209" s="24" t="s">
        <v>620</v>
      </c>
      <c r="H209" s="100">
        <v>135000</v>
      </c>
      <c r="I209" s="100">
        <f>H209*2.87%</f>
        <v>3874.5</v>
      </c>
      <c r="J209" s="100">
        <f>+H209*3.04%</f>
        <v>4104</v>
      </c>
      <c r="K209" s="100"/>
      <c r="L209" s="8">
        <f>+J209+I209+K209</f>
        <v>7978.5</v>
      </c>
      <c r="M209" s="8">
        <f>+H209-L209</f>
        <v>127021.5</v>
      </c>
      <c r="N209" s="8">
        <f>+IF(M209*12&lt;=416220.01,0,IF(M209*12&lt;=624329.01,(((M209*12-416220.01)*0.15)/12),IF((M209*12&lt;=867123.01),(31216+0.2*(M209*12-624329.01))/12,((79776+0.25*(M209*12-867123.01))/12))))</f>
        <v>20338.312291666665</v>
      </c>
      <c r="O209" s="8"/>
      <c r="P209" s="99">
        <v>5125</v>
      </c>
      <c r="Q209" s="8">
        <f>+P209+N209+L209</f>
        <v>33441.812291666662</v>
      </c>
      <c r="R209" s="99">
        <f>+H209-Q209</f>
        <v>101558.18770833334</v>
      </c>
    </row>
    <row r="210" spans="1:19" s="2" customFormat="1" ht="24.95" customHeight="1" x14ac:dyDescent="0.2">
      <c r="A210" s="66">
        <f>+A209+1</f>
        <v>86</v>
      </c>
      <c r="B210" s="120" t="s">
        <v>439</v>
      </c>
      <c r="C210" s="119" t="s">
        <v>421</v>
      </c>
      <c r="D210" s="118" t="s">
        <v>440</v>
      </c>
      <c r="E210" s="115" t="s">
        <v>214</v>
      </c>
      <c r="F210" s="24" t="s">
        <v>546</v>
      </c>
      <c r="G210" s="24" t="s">
        <v>611</v>
      </c>
      <c r="H210" s="61">
        <v>90000</v>
      </c>
      <c r="I210" s="61">
        <f>H210*2.87%</f>
        <v>2583</v>
      </c>
      <c r="J210" s="61">
        <f>+H210*3.04%</f>
        <v>2736</v>
      </c>
      <c r="K210" s="61"/>
      <c r="L210" s="8">
        <f>+J210+I210+K210</f>
        <v>5319</v>
      </c>
      <c r="M210" s="8">
        <f>+H210-L210</f>
        <v>84681</v>
      </c>
      <c r="N210" s="8">
        <f>+IF(M210*12&lt;=416220.01,0,IF(M210*12&lt;=624329.01,(((M210*12-416220.01)*0.15)/12),IF((M210*12&lt;=867123.01),(31216+0.2*(M210*12-624329.01))/12,((79776+0.25*(M210*12-867123.01))/12))))</f>
        <v>9753.1872916666671</v>
      </c>
      <c r="O210" s="8"/>
      <c r="P210" s="99">
        <v>5125</v>
      </c>
      <c r="Q210" s="8">
        <f>+P210+N210+L210</f>
        <v>20197.187291666669</v>
      </c>
      <c r="R210" s="67">
        <f>+H210-Q210</f>
        <v>69802.812708333338</v>
      </c>
    </row>
    <row r="211" spans="1:19" s="2" customFormat="1" ht="24.95" customHeight="1" x14ac:dyDescent="0.2">
      <c r="A211" s="96">
        <f>+A210+1</f>
        <v>87</v>
      </c>
      <c r="B211" s="24" t="s">
        <v>520</v>
      </c>
      <c r="C211" s="12" t="s">
        <v>421</v>
      </c>
      <c r="D211" s="98" t="s">
        <v>440</v>
      </c>
      <c r="E211" s="115" t="s">
        <v>214</v>
      </c>
      <c r="F211" s="24" t="s">
        <v>564</v>
      </c>
      <c r="G211" s="24" t="s">
        <v>619</v>
      </c>
      <c r="H211" s="104">
        <v>70000</v>
      </c>
      <c r="I211" s="5">
        <f>H211*2.87%</f>
        <v>2009</v>
      </c>
      <c r="J211" s="5">
        <f>+H211*3.04%</f>
        <v>2128</v>
      </c>
      <c r="K211" s="5"/>
      <c r="L211" s="8">
        <f>+J211+I211+K211</f>
        <v>4137</v>
      </c>
      <c r="M211" s="8">
        <f>+H211-L211</f>
        <v>65863</v>
      </c>
      <c r="N211" s="8">
        <v>136.80000000000001</v>
      </c>
      <c r="O211" s="8">
        <v>5368.45</v>
      </c>
      <c r="P211" s="61">
        <v>25</v>
      </c>
      <c r="Q211" s="8">
        <f>+P211+N211+L211</f>
        <v>4298.8</v>
      </c>
      <c r="R211" s="67">
        <f>H211-Q211</f>
        <v>65701.2</v>
      </c>
    </row>
    <row r="212" spans="1:19" s="2" customFormat="1" ht="24.95" customHeight="1" thickBot="1" x14ac:dyDescent="0.25">
      <c r="A212" s="295" t="s">
        <v>125</v>
      </c>
      <c r="B212" s="296"/>
      <c r="C212" s="226"/>
      <c r="D212" s="226"/>
      <c r="E212" s="226"/>
      <c r="F212" s="226"/>
      <c r="G212" s="230"/>
      <c r="H212" s="72">
        <f>SUM(H209:H211)</f>
        <v>295000</v>
      </c>
      <c r="I212" s="72">
        <f t="shared" ref="I212:R212" si="85">SUM(I209:I211)</f>
        <v>8466.5</v>
      </c>
      <c r="J212" s="72">
        <f t="shared" si="85"/>
        <v>8968</v>
      </c>
      <c r="K212" s="72">
        <f t="shared" si="85"/>
        <v>0</v>
      </c>
      <c r="L212" s="72">
        <f t="shared" si="85"/>
        <v>17434.5</v>
      </c>
      <c r="M212" s="72">
        <f t="shared" si="85"/>
        <v>277565.5</v>
      </c>
      <c r="N212" s="72">
        <f t="shared" si="85"/>
        <v>30228.29958333333</v>
      </c>
      <c r="O212" s="72">
        <f t="shared" si="85"/>
        <v>5368.45</v>
      </c>
      <c r="P212" s="72">
        <f t="shared" si="85"/>
        <v>10275</v>
      </c>
      <c r="Q212" s="72">
        <f t="shared" si="85"/>
        <v>57937.799583333333</v>
      </c>
      <c r="R212" s="72">
        <f t="shared" si="85"/>
        <v>237062.20041666669</v>
      </c>
    </row>
    <row r="213" spans="1:19" s="2" customFormat="1" ht="11.25" customHeight="1" thickBot="1" x14ac:dyDescent="0.25">
      <c r="A213" s="191"/>
      <c r="B213" s="191"/>
      <c r="C213" s="191"/>
      <c r="D213" s="191"/>
      <c r="E213" s="191"/>
      <c r="F213" s="191"/>
      <c r="G213" s="191"/>
      <c r="H213" s="71"/>
      <c r="I213" s="71"/>
      <c r="J213" s="71"/>
      <c r="K213" s="71"/>
      <c r="L213" s="71"/>
      <c r="M213" s="71"/>
      <c r="N213" s="71"/>
      <c r="O213" s="71"/>
      <c r="P213" s="71"/>
      <c r="Q213" s="71"/>
      <c r="R213" s="71"/>
    </row>
    <row r="214" spans="1:19" s="68" customFormat="1" ht="26.25" customHeight="1" thickBot="1" x14ac:dyDescent="0.25">
      <c r="A214" s="223" t="s">
        <v>21</v>
      </c>
      <c r="B214" s="224"/>
      <c r="C214" s="224"/>
      <c r="D214" s="224"/>
      <c r="E214" s="224"/>
      <c r="F214" s="224"/>
      <c r="G214" s="224"/>
      <c r="H214" s="224"/>
      <c r="I214" s="224"/>
      <c r="J214" s="224"/>
      <c r="K214" s="224"/>
      <c r="L214" s="224"/>
      <c r="M214" s="224"/>
      <c r="N214" s="224"/>
      <c r="O214" s="224"/>
      <c r="P214" s="224"/>
      <c r="Q214" s="224"/>
      <c r="R214" s="224"/>
      <c r="S214" s="2"/>
    </row>
    <row r="215" spans="1:19" s="68" customFormat="1" ht="29.25" customHeight="1" x14ac:dyDescent="0.2">
      <c r="A215" s="149">
        <f>+A211+1</f>
        <v>88</v>
      </c>
      <c r="B215" s="150" t="s">
        <v>586</v>
      </c>
      <c r="C215" s="151" t="s">
        <v>421</v>
      </c>
      <c r="D215" s="150" t="s">
        <v>587</v>
      </c>
      <c r="E215" s="97" t="s">
        <v>214</v>
      </c>
      <c r="F215" s="98" t="s">
        <v>588</v>
      </c>
      <c r="G215" s="98" t="s">
        <v>669</v>
      </c>
      <c r="H215" s="100">
        <v>170000</v>
      </c>
      <c r="I215" s="100">
        <f>H215*2.87%</f>
        <v>4879</v>
      </c>
      <c r="J215" s="100">
        <f>+H215*3.04%</f>
        <v>5168</v>
      </c>
      <c r="K215" s="100">
        <v>1577.45</v>
      </c>
      <c r="L215" s="8">
        <f>+J215+I215+K215</f>
        <v>11624.45</v>
      </c>
      <c r="M215" s="8">
        <f>+H215-L215</f>
        <v>158375.54999999999</v>
      </c>
      <c r="N215" s="8">
        <f>+IF(M215*12&lt;=416220.01,0,IF(M215*12&lt;=624329.01,(((M215*12-416220.01)*0.15)/12),IF((M215*12&lt;=867123.01),(31216+0.2*(M215*12-624329.01))/12,((79776+0.25*(M215*12-867123.01))/12))))</f>
        <v>28176.824791666662</v>
      </c>
      <c r="O215" s="8"/>
      <c r="P215" s="99">
        <v>25</v>
      </c>
      <c r="Q215" s="8">
        <f>+P215+N215+L215</f>
        <v>39826.274791666663</v>
      </c>
      <c r="R215" s="99">
        <f>+H215-Q215</f>
        <v>130173.72520833334</v>
      </c>
      <c r="S215" s="2"/>
    </row>
    <row r="216" spans="1:19" ht="18" customHeight="1" x14ac:dyDescent="0.2">
      <c r="A216" s="295" t="s">
        <v>125</v>
      </c>
      <c r="B216" s="296"/>
      <c r="C216" s="226"/>
      <c r="D216" s="226"/>
      <c r="E216" s="226"/>
      <c r="F216" s="226"/>
      <c r="G216" s="225"/>
      <c r="H216" s="14">
        <f>SUM(H215:H215)</f>
        <v>170000</v>
      </c>
      <c r="I216" s="14">
        <f t="shared" ref="I216:R216" si="86">SUM(I215:I215)</f>
        <v>4879</v>
      </c>
      <c r="J216" s="14">
        <f t="shared" si="86"/>
        <v>5168</v>
      </c>
      <c r="K216" s="14">
        <f t="shared" si="86"/>
        <v>1577.45</v>
      </c>
      <c r="L216" s="14">
        <f t="shared" si="86"/>
        <v>11624.45</v>
      </c>
      <c r="M216" s="14">
        <f t="shared" si="86"/>
        <v>158375.54999999999</v>
      </c>
      <c r="N216" s="14">
        <f t="shared" si="86"/>
        <v>28176.824791666662</v>
      </c>
      <c r="O216" s="14">
        <f t="shared" si="86"/>
        <v>0</v>
      </c>
      <c r="P216" s="14">
        <f t="shared" si="86"/>
        <v>25</v>
      </c>
      <c r="Q216" s="14">
        <f t="shared" si="86"/>
        <v>39826.274791666663</v>
      </c>
      <c r="R216" s="14">
        <f t="shared" si="86"/>
        <v>130173.72520833334</v>
      </c>
    </row>
    <row r="217" spans="1:19" s="68" customFormat="1" ht="26.25" customHeight="1" thickBot="1" x14ac:dyDescent="0.25">
      <c r="A217" s="62"/>
      <c r="B217" s="62"/>
      <c r="C217" s="62"/>
      <c r="D217" s="62"/>
      <c r="E217" s="62"/>
      <c r="F217" s="62"/>
      <c r="G217" s="62"/>
      <c r="H217"/>
      <c r="I217"/>
      <c r="J217"/>
      <c r="K217"/>
      <c r="L217"/>
      <c r="M217"/>
      <c r="N217"/>
      <c r="O217"/>
      <c r="P217"/>
      <c r="Q217"/>
      <c r="R217"/>
      <c r="S217" s="2"/>
    </row>
    <row r="218" spans="1:19" s="68" customFormat="1" ht="26.25" customHeight="1" thickBot="1" x14ac:dyDescent="0.25">
      <c r="A218" s="223" t="s">
        <v>396</v>
      </c>
      <c r="B218" s="224"/>
      <c r="C218" s="224"/>
      <c r="D218" s="224"/>
      <c r="E218" s="224"/>
      <c r="F218" s="224"/>
      <c r="G218" s="224"/>
      <c r="H218" s="224"/>
      <c r="I218" s="224"/>
      <c r="J218" s="224"/>
      <c r="K218" s="224"/>
      <c r="L218" s="224"/>
      <c r="M218" s="224"/>
      <c r="N218" s="224"/>
      <c r="O218" s="224"/>
      <c r="P218" s="224"/>
      <c r="Q218" s="224"/>
      <c r="R218" s="224"/>
      <c r="S218" s="2"/>
    </row>
    <row r="219" spans="1:19" s="68" customFormat="1" ht="29.25" customHeight="1" x14ac:dyDescent="0.2">
      <c r="A219" s="149">
        <f>+A215+1</f>
        <v>89</v>
      </c>
      <c r="B219" s="150" t="s">
        <v>397</v>
      </c>
      <c r="C219" s="151" t="s">
        <v>421</v>
      </c>
      <c r="D219" s="150" t="s">
        <v>152</v>
      </c>
      <c r="E219" s="97" t="s">
        <v>214</v>
      </c>
      <c r="F219" s="98" t="s">
        <v>551</v>
      </c>
      <c r="G219" s="98" t="s">
        <v>628</v>
      </c>
      <c r="H219" s="100">
        <v>155000</v>
      </c>
      <c r="I219" s="100">
        <f>H219*2.87%</f>
        <v>4448.5</v>
      </c>
      <c r="J219" s="100">
        <f>+H219*3.04%</f>
        <v>4712</v>
      </c>
      <c r="K219" s="100">
        <v>1577.45</v>
      </c>
      <c r="L219" s="8">
        <f>+J219+I219+K219</f>
        <v>10737.95</v>
      </c>
      <c r="M219" s="8">
        <f>+H219-L219</f>
        <v>144262.04999999999</v>
      </c>
      <c r="N219" s="8">
        <f>+IF(M219*12&lt;=416220.01,0,IF(M219*12&lt;=624329.01,(((M219*12-416220.01)*0.15)/12),IF((M219*12&lt;=867123.01),(31216+0.2*(M219*12-624329.01))/12,((79776+0.25*(M219*12-867123.01))/12))))</f>
        <v>24648.449791666662</v>
      </c>
      <c r="O219" s="8"/>
      <c r="P219" s="99">
        <v>7025</v>
      </c>
      <c r="Q219" s="8">
        <f>+P219+N219+L219</f>
        <v>42411.399791666663</v>
      </c>
      <c r="R219" s="99">
        <f>+H219-Q219</f>
        <v>112588.60020833334</v>
      </c>
      <c r="S219" s="2"/>
    </row>
    <row r="220" spans="1:19" ht="18" customHeight="1" x14ac:dyDescent="0.2">
      <c r="A220" s="295" t="s">
        <v>125</v>
      </c>
      <c r="B220" s="296"/>
      <c r="C220" s="226"/>
      <c r="D220" s="226"/>
      <c r="E220" s="226"/>
      <c r="F220" s="226"/>
      <c r="G220" s="225"/>
      <c r="H220" s="14">
        <f>SUM(H219:H219)</f>
        <v>155000</v>
      </c>
      <c r="I220" s="14">
        <f t="shared" ref="I220:R220" si="87">SUM(I219:I219)</f>
        <v>4448.5</v>
      </c>
      <c r="J220" s="14">
        <f t="shared" si="87"/>
        <v>4712</v>
      </c>
      <c r="K220" s="14">
        <f t="shared" si="87"/>
        <v>1577.45</v>
      </c>
      <c r="L220" s="14">
        <f t="shared" si="87"/>
        <v>10737.95</v>
      </c>
      <c r="M220" s="14">
        <f t="shared" si="87"/>
        <v>144262.04999999999</v>
      </c>
      <c r="N220" s="14">
        <f t="shared" si="87"/>
        <v>24648.449791666662</v>
      </c>
      <c r="O220" s="14">
        <f t="shared" si="87"/>
        <v>0</v>
      </c>
      <c r="P220" s="14">
        <f t="shared" si="87"/>
        <v>7025</v>
      </c>
      <c r="Q220" s="14">
        <f t="shared" si="87"/>
        <v>42411.399791666663</v>
      </c>
      <c r="R220" s="14">
        <f t="shared" si="87"/>
        <v>112588.60020833334</v>
      </c>
    </row>
    <row r="221" spans="1:19" s="68" customFormat="1" ht="26.25" customHeight="1" thickBot="1" x14ac:dyDescent="0.25">
      <c r="A221" s="62"/>
      <c r="B221" s="62"/>
      <c r="C221" s="62"/>
      <c r="D221" s="62"/>
      <c r="E221" s="62"/>
      <c r="F221" s="62"/>
      <c r="G221" s="62"/>
      <c r="H221"/>
      <c r="I221"/>
      <c r="J221"/>
      <c r="K221"/>
      <c r="L221"/>
      <c r="M221"/>
      <c r="N221"/>
      <c r="O221"/>
      <c r="P221"/>
      <c r="Q221"/>
      <c r="R221"/>
      <c r="S221" s="2"/>
    </row>
    <row r="222" spans="1:19" s="2" customFormat="1" ht="27.75" customHeight="1" thickBot="1" x14ac:dyDescent="0.25">
      <c r="A222" s="203" t="s">
        <v>446</v>
      </c>
      <c r="B222" s="204"/>
      <c r="C222" s="204"/>
      <c r="D222" s="204"/>
      <c r="E222" s="204"/>
      <c r="F222" s="204"/>
      <c r="G222" s="204"/>
      <c r="H222" s="204"/>
      <c r="I222" s="204"/>
      <c r="J222" s="204"/>
      <c r="K222" s="204"/>
      <c r="L222" s="204"/>
      <c r="M222" s="204"/>
      <c r="N222" s="204"/>
      <c r="O222" s="204"/>
      <c r="P222" s="204"/>
      <c r="Q222" s="204"/>
      <c r="R222" s="204"/>
    </row>
    <row r="223" spans="1:19" s="2" customFormat="1" ht="24.95" customHeight="1" x14ac:dyDescent="0.2">
      <c r="A223" s="12">
        <f>+A219+1</f>
        <v>90</v>
      </c>
      <c r="B223" s="59" t="s">
        <v>441</v>
      </c>
      <c r="C223" s="145" t="s">
        <v>421</v>
      </c>
      <c r="D223" s="116" t="s">
        <v>442</v>
      </c>
      <c r="E223" s="115" t="s">
        <v>214</v>
      </c>
      <c r="F223" s="24" t="s">
        <v>546</v>
      </c>
      <c r="G223" s="24" t="s">
        <v>611</v>
      </c>
      <c r="H223" s="61">
        <v>70000</v>
      </c>
      <c r="I223" s="100">
        <f>H223*2.87%</f>
        <v>2009</v>
      </c>
      <c r="J223" s="100">
        <f>+H223*3.04%</f>
        <v>2128</v>
      </c>
      <c r="K223" s="100"/>
      <c r="L223" s="8">
        <f>+J223+I223+K223</f>
        <v>4137</v>
      </c>
      <c r="M223" s="8">
        <f>+H223-L223</f>
        <v>65863</v>
      </c>
      <c r="N223" s="8">
        <f>+IF(M223*12&lt;=416220.01,0,IF(M223*12&lt;=624329.01,(((M223*12-416220.01)*0.15)/12),IF((M223*12&lt;=867123.01),(31216+0.2*(M223*12-624329.01))/12,((79776+0.25*(M223*12-867123.01))/12))))-O223</f>
        <v>5368.4498333333331</v>
      </c>
      <c r="O223" s="8">
        <v>0</v>
      </c>
      <c r="P223" s="99">
        <v>2025</v>
      </c>
      <c r="Q223" s="8">
        <f>+P223+N223+L223</f>
        <v>11530.449833333332</v>
      </c>
      <c r="R223" s="99">
        <f>+H223-Q223</f>
        <v>58469.550166666668</v>
      </c>
    </row>
    <row r="224" spans="1:19" s="102" customFormat="1" ht="24.95" customHeight="1" x14ac:dyDescent="0.2">
      <c r="A224" s="295" t="s">
        <v>125</v>
      </c>
      <c r="B224" s="296"/>
      <c r="C224" s="225"/>
      <c r="D224" s="225"/>
      <c r="E224" s="225"/>
      <c r="F224" s="225"/>
      <c r="G224" s="225"/>
      <c r="H224" s="14">
        <f>SUM(H223:H223)</f>
        <v>70000</v>
      </c>
      <c r="I224" s="14">
        <f t="shared" ref="I224:R224" si="88">SUM(I223:I223)</f>
        <v>2009</v>
      </c>
      <c r="J224" s="14">
        <f t="shared" si="88"/>
        <v>2128</v>
      </c>
      <c r="K224" s="14">
        <f t="shared" si="88"/>
        <v>0</v>
      </c>
      <c r="L224" s="14">
        <f t="shared" si="88"/>
        <v>4137</v>
      </c>
      <c r="M224" s="14">
        <f t="shared" si="88"/>
        <v>65863</v>
      </c>
      <c r="N224" s="14">
        <f t="shared" si="88"/>
        <v>5368.4498333333331</v>
      </c>
      <c r="O224" s="14">
        <f t="shared" si="88"/>
        <v>0</v>
      </c>
      <c r="P224" s="14">
        <f t="shared" si="88"/>
        <v>2025</v>
      </c>
      <c r="Q224" s="14">
        <f t="shared" si="88"/>
        <v>11530.449833333332</v>
      </c>
      <c r="R224" s="14">
        <f t="shared" si="88"/>
        <v>58469.550166666668</v>
      </c>
      <c r="S224" s="1"/>
    </row>
    <row r="225" spans="1:19" s="102" customFormat="1" ht="24.95" customHeight="1" thickBot="1" x14ac:dyDescent="0.25">
      <c r="A225" s="197"/>
      <c r="B225" s="197"/>
      <c r="C225" s="197"/>
      <c r="D225" s="197"/>
      <c r="E225" s="197"/>
      <c r="F225" s="197"/>
      <c r="G225" s="197"/>
      <c r="H225" s="74"/>
      <c r="I225" s="74"/>
      <c r="J225" s="74"/>
      <c r="K225" s="74"/>
      <c r="L225" s="74"/>
      <c r="M225" s="74"/>
      <c r="N225" s="74"/>
      <c r="O225" s="74"/>
      <c r="P225" s="74"/>
      <c r="Q225" s="74"/>
      <c r="R225" s="74"/>
      <c r="S225" s="1"/>
    </row>
    <row r="226" spans="1:19" s="2" customFormat="1" ht="24.95" customHeight="1" thickBot="1" x14ac:dyDescent="0.25">
      <c r="A226" s="223" t="s">
        <v>447</v>
      </c>
      <c r="B226" s="224"/>
      <c r="C226" s="224"/>
      <c r="D226" s="224"/>
      <c r="E226" s="224"/>
      <c r="F226" s="224"/>
      <c r="G226" s="224"/>
      <c r="H226" s="224"/>
      <c r="I226" s="224"/>
      <c r="J226" s="224"/>
      <c r="K226" s="224"/>
      <c r="L226" s="224"/>
      <c r="M226" s="224"/>
      <c r="N226" s="224"/>
      <c r="O226" s="224"/>
      <c r="P226" s="224"/>
      <c r="Q226" s="224"/>
      <c r="R226" s="224"/>
    </row>
    <row r="227" spans="1:19" s="2" customFormat="1" ht="24.95" customHeight="1" x14ac:dyDescent="0.2">
      <c r="A227" s="12">
        <f>+A223+1</f>
        <v>91</v>
      </c>
      <c r="B227" s="59" t="s">
        <v>684</v>
      </c>
      <c r="C227" s="145" t="s">
        <v>422</v>
      </c>
      <c r="D227" s="116" t="s">
        <v>226</v>
      </c>
      <c r="E227" s="115" t="s">
        <v>214</v>
      </c>
      <c r="F227" s="24" t="s">
        <v>613</v>
      </c>
      <c r="G227" s="115" t="s">
        <v>667</v>
      </c>
      <c r="H227" s="100">
        <v>70000</v>
      </c>
      <c r="I227" s="100">
        <f>H227*2.87%</f>
        <v>2009</v>
      </c>
      <c r="J227" s="100">
        <f>+H227*3.04%</f>
        <v>2128</v>
      </c>
      <c r="K227" s="100"/>
      <c r="L227" s="8">
        <f>+J227+I227+K227</f>
        <v>4137</v>
      </c>
      <c r="M227" s="8">
        <f>+H227-L227</f>
        <v>65863</v>
      </c>
      <c r="N227" s="8">
        <f>+IF(M227*12&lt;=416220.01,0,IF(M227*12&lt;=624329.01,(((M227*12-416220.01)*0.15)/12),IF((M227*12&lt;=867123.01),(31216+0.2*(M227*12-624329.01))/12,((79776+0.25*(M227*12-867123.01))/12))))</f>
        <v>5368.4498333333331</v>
      </c>
      <c r="O227" s="8"/>
      <c r="P227" s="99">
        <v>25</v>
      </c>
      <c r="Q227" s="8">
        <f>+P227+N227+L227</f>
        <v>9530.4498333333322</v>
      </c>
      <c r="R227" s="99">
        <f>+H227-Q227</f>
        <v>60469.550166666668</v>
      </c>
    </row>
    <row r="228" spans="1:19" s="2" customFormat="1" ht="24.95" customHeight="1" x14ac:dyDescent="0.2">
      <c r="A228" s="96">
        <f>+A227+1</f>
        <v>92</v>
      </c>
      <c r="B228" s="59" t="s">
        <v>549</v>
      </c>
      <c r="C228" s="145" t="s">
        <v>421</v>
      </c>
      <c r="D228" s="116" t="s">
        <v>226</v>
      </c>
      <c r="E228" s="115" t="s">
        <v>214</v>
      </c>
      <c r="F228" s="103" t="s">
        <v>616</v>
      </c>
      <c r="G228" s="103" t="s">
        <v>692</v>
      </c>
      <c r="H228" s="100">
        <v>70000</v>
      </c>
      <c r="I228" s="100">
        <f>H228*2.87%</f>
        <v>2009</v>
      </c>
      <c r="J228" s="100">
        <f>+H228*3.04%</f>
        <v>2128</v>
      </c>
      <c r="K228" s="100"/>
      <c r="L228" s="8">
        <f>+J228+I228+K228</f>
        <v>4137</v>
      </c>
      <c r="M228" s="8">
        <f>+H228-L228</f>
        <v>65863</v>
      </c>
      <c r="N228" s="8">
        <f>+IF(M228*12&lt;=416220.01,0,IF(M228*12&lt;=624329.01,(((M228*12-416220.01)*0.15)/12),IF((M228*12&lt;=867123.01),(31216+0.2*(M228*12-624329.01))/12,((79776+0.25*(M228*12-867123.01))/12))))</f>
        <v>5368.4498333333331</v>
      </c>
      <c r="O228" s="8"/>
      <c r="P228" s="99">
        <v>25</v>
      </c>
      <c r="Q228" s="8">
        <f>+P228+N228+L228</f>
        <v>9530.4498333333322</v>
      </c>
      <c r="R228" s="99">
        <f>H228-Q228</f>
        <v>60469.550166666668</v>
      </c>
    </row>
    <row r="229" spans="1:19" s="2" customFormat="1" ht="26.25" customHeight="1" x14ac:dyDescent="0.2">
      <c r="A229" s="295" t="s">
        <v>125</v>
      </c>
      <c r="B229" s="296"/>
      <c r="C229" s="225"/>
      <c r="D229" s="225"/>
      <c r="E229" s="225"/>
      <c r="F229" s="225"/>
      <c r="G229" s="225"/>
      <c r="H229" s="14">
        <f>SUM(H227:H228)</f>
        <v>140000</v>
      </c>
      <c r="I229" s="14">
        <f t="shared" ref="I229:R229" si="89">SUM(I227:I228)</f>
        <v>4018</v>
      </c>
      <c r="J229" s="14">
        <f t="shared" si="89"/>
        <v>4256</v>
      </c>
      <c r="K229" s="14">
        <f t="shared" si="89"/>
        <v>0</v>
      </c>
      <c r="L229" s="14">
        <f t="shared" si="89"/>
        <v>8274</v>
      </c>
      <c r="M229" s="14">
        <f t="shared" si="89"/>
        <v>131726</v>
      </c>
      <c r="N229" s="14">
        <f t="shared" si="89"/>
        <v>10736.899666666666</v>
      </c>
      <c r="O229" s="14">
        <f t="shared" si="89"/>
        <v>0</v>
      </c>
      <c r="P229" s="14">
        <f t="shared" si="89"/>
        <v>50</v>
      </c>
      <c r="Q229" s="14">
        <f t="shared" si="89"/>
        <v>19060.899666666664</v>
      </c>
      <c r="R229" s="14">
        <f t="shared" si="89"/>
        <v>120939.10033333334</v>
      </c>
    </row>
    <row r="230" spans="1:19" s="2" customFormat="1" ht="20.25" customHeight="1" thickBot="1" x14ac:dyDescent="0.25">
      <c r="A230" s="62"/>
      <c r="B230" s="62"/>
      <c r="C230" s="62"/>
      <c r="D230" s="62"/>
      <c r="E230" s="62"/>
      <c r="F230" s="62"/>
      <c r="G230" s="62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</row>
    <row r="231" spans="1:19" s="2" customFormat="1" ht="23.25" customHeight="1" thickBot="1" x14ac:dyDescent="0.25">
      <c r="A231" s="203" t="s">
        <v>339</v>
      </c>
      <c r="B231" s="204"/>
      <c r="C231" s="204"/>
      <c r="D231" s="204"/>
      <c r="E231" s="204"/>
      <c r="F231" s="204"/>
      <c r="G231" s="204"/>
      <c r="H231" s="204"/>
      <c r="I231" s="204"/>
      <c r="J231" s="204"/>
      <c r="K231" s="204"/>
      <c r="L231" s="204"/>
      <c r="M231" s="204"/>
      <c r="N231" s="204"/>
      <c r="O231" s="204"/>
      <c r="P231" s="204"/>
      <c r="Q231" s="204"/>
      <c r="R231" s="204"/>
    </row>
    <row r="232" spans="1:19" s="2" customFormat="1" ht="24.95" customHeight="1" x14ac:dyDescent="0.2">
      <c r="A232" s="96">
        <f>A228+1</f>
        <v>93</v>
      </c>
      <c r="B232" s="59" t="s">
        <v>403</v>
      </c>
      <c r="C232" s="145" t="s">
        <v>421</v>
      </c>
      <c r="D232" s="116" t="s">
        <v>366</v>
      </c>
      <c r="E232" s="115" t="s">
        <v>214</v>
      </c>
      <c r="F232" s="98" t="s">
        <v>546</v>
      </c>
      <c r="G232" s="98" t="s">
        <v>611</v>
      </c>
      <c r="H232" s="61">
        <v>70000</v>
      </c>
      <c r="I232" s="100">
        <f>H232*2.87%</f>
        <v>2009</v>
      </c>
      <c r="J232" s="100">
        <f>+H232*3.04%</f>
        <v>2128</v>
      </c>
      <c r="K232" s="100"/>
      <c r="L232" s="8">
        <f>+J232+I232+K232</f>
        <v>4137</v>
      </c>
      <c r="M232" s="8">
        <f>+H232-L232</f>
        <v>65863</v>
      </c>
      <c r="N232" s="8">
        <f>+IF(M232*12&lt;=416220.01,0,IF(M232*12&lt;=624329.01,(((M232*12-416220.01)*0.15)/12),IF((M232*12&lt;=867123.01),(31216+0.2*(M232*12-624329.01))/12,((79776+0.25*(M232*12-867123.01))/12))))-O232</f>
        <v>5368.4498333333331</v>
      </c>
      <c r="O232" s="8"/>
      <c r="P232" s="99">
        <v>125</v>
      </c>
      <c r="Q232" s="8">
        <f>+P232+N232+L232</f>
        <v>9630.4498333333322</v>
      </c>
      <c r="R232" s="99">
        <f>+H232-Q232</f>
        <v>60369.550166666668</v>
      </c>
    </row>
    <row r="233" spans="1:19" ht="25.15" customHeight="1" x14ac:dyDescent="0.2">
      <c r="A233" s="96">
        <f>+A232+1</f>
        <v>94</v>
      </c>
      <c r="B233" s="59" t="s">
        <v>407</v>
      </c>
      <c r="C233" s="145" t="s">
        <v>422</v>
      </c>
      <c r="D233" s="116" t="s">
        <v>366</v>
      </c>
      <c r="E233" s="115" t="s">
        <v>214</v>
      </c>
      <c r="F233" s="24" t="s">
        <v>564</v>
      </c>
      <c r="G233" s="24" t="s">
        <v>619</v>
      </c>
      <c r="H233" s="100">
        <v>70000</v>
      </c>
      <c r="I233" s="100">
        <f>H233*2.87%</f>
        <v>2009</v>
      </c>
      <c r="J233" s="100">
        <f>+H233*3.04%</f>
        <v>2128</v>
      </c>
      <c r="K233" s="100">
        <v>1577.45</v>
      </c>
      <c r="L233" s="8">
        <f>+J233+I233+K233</f>
        <v>5714.45</v>
      </c>
      <c r="M233" s="8">
        <f>+H233-L233</f>
        <v>64285.55</v>
      </c>
      <c r="N233" s="8">
        <f>+IF(M233*12&lt;=416220.01,0,IF(M233*12&lt;=624329.01,(((M233*12-416220.01)*0.15)/12),IF((M233*12&lt;=867123.01),(31216+0.2*(M233*12-624329.01))/12,((79776+0.25*(M233*12-867123.01))/12))))-O233</f>
        <v>5052.9598333333352</v>
      </c>
      <c r="O233" s="8">
        <v>0</v>
      </c>
      <c r="P233" s="99">
        <v>125</v>
      </c>
      <c r="Q233" s="8">
        <f>+P233+N233+L233</f>
        <v>10892.409833333335</v>
      </c>
      <c r="R233" s="99">
        <f>+H233-Q233</f>
        <v>59107.590166666661</v>
      </c>
    </row>
    <row r="234" spans="1:19" s="2" customFormat="1" ht="24" customHeight="1" x14ac:dyDescent="0.2">
      <c r="A234" s="295" t="s">
        <v>125</v>
      </c>
      <c r="B234" s="296"/>
      <c r="C234" s="225"/>
      <c r="D234" s="225"/>
      <c r="E234" s="225"/>
      <c r="F234" s="225"/>
      <c r="G234" s="225"/>
      <c r="H234" s="14">
        <f>SUM(H232:H233)</f>
        <v>140000</v>
      </c>
      <c r="I234" s="14">
        <f t="shared" ref="I234:R234" si="90">SUM(I232:I233)</f>
        <v>4018</v>
      </c>
      <c r="J234" s="14">
        <f t="shared" si="90"/>
        <v>4256</v>
      </c>
      <c r="K234" s="14">
        <f t="shared" si="90"/>
        <v>1577.45</v>
      </c>
      <c r="L234" s="14">
        <f t="shared" si="90"/>
        <v>9851.4500000000007</v>
      </c>
      <c r="M234" s="14">
        <f t="shared" si="90"/>
        <v>130148.55</v>
      </c>
      <c r="N234" s="14">
        <f t="shared" si="90"/>
        <v>10421.409666666668</v>
      </c>
      <c r="O234" s="14">
        <f t="shared" si="90"/>
        <v>0</v>
      </c>
      <c r="P234" s="14">
        <f t="shared" si="90"/>
        <v>250</v>
      </c>
      <c r="Q234" s="14">
        <f t="shared" si="90"/>
        <v>20522.859666666667</v>
      </c>
      <c r="R234" s="14">
        <f t="shared" si="90"/>
        <v>119477.14033333333</v>
      </c>
    </row>
    <row r="235" spans="1:19" s="2" customFormat="1" ht="24.75" customHeight="1" thickBot="1" x14ac:dyDescent="0.25">
      <c r="A235" s="62"/>
      <c r="B235" s="62"/>
      <c r="C235" s="62"/>
      <c r="D235" s="62"/>
      <c r="E235" s="62"/>
      <c r="F235" s="62"/>
      <c r="G235" s="62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</row>
    <row r="236" spans="1:19" s="2" customFormat="1" ht="23.25" customHeight="1" thickBot="1" x14ac:dyDescent="0.25">
      <c r="A236" s="203" t="s">
        <v>365</v>
      </c>
      <c r="B236" s="204"/>
      <c r="C236" s="204"/>
      <c r="D236" s="204"/>
      <c r="E236" s="204"/>
      <c r="F236" s="204"/>
      <c r="G236" s="204"/>
      <c r="H236" s="204"/>
      <c r="I236" s="204"/>
      <c r="J236" s="204"/>
      <c r="K236" s="204"/>
      <c r="L236" s="204"/>
      <c r="M236" s="204"/>
      <c r="N236" s="204"/>
      <c r="O236" s="204"/>
      <c r="P236" s="204"/>
      <c r="Q236" s="204"/>
      <c r="R236" s="204"/>
    </row>
    <row r="237" spans="1:19" s="2" customFormat="1" ht="33" customHeight="1" x14ac:dyDescent="0.2">
      <c r="A237" s="96">
        <f>+A233+1</f>
        <v>95</v>
      </c>
      <c r="B237" s="59" t="s">
        <v>404</v>
      </c>
      <c r="C237" s="145" t="s">
        <v>421</v>
      </c>
      <c r="D237" s="116" t="s">
        <v>367</v>
      </c>
      <c r="E237" s="115" t="s">
        <v>214</v>
      </c>
      <c r="F237" s="98" t="s">
        <v>546</v>
      </c>
      <c r="G237" s="98" t="s">
        <v>611</v>
      </c>
      <c r="H237" s="61">
        <v>90000</v>
      </c>
      <c r="I237" s="100">
        <f>H237*2.87%</f>
        <v>2583</v>
      </c>
      <c r="J237" s="100">
        <f>+H237*3.04%</f>
        <v>2736</v>
      </c>
      <c r="K237" s="100"/>
      <c r="L237" s="8">
        <f>+J237+I237+K237</f>
        <v>5319</v>
      </c>
      <c r="M237" s="8">
        <f>+H237-L237</f>
        <v>84681</v>
      </c>
      <c r="N237" s="8">
        <f>+IF(M237*12&lt;=416220.01,0,IF(M237*12&lt;=624329.01,(((M237*12-416220.01)*0.15)/12),IF((M237*12&lt;=867123.01),(31216+0.2*(M237*12-624329.01))/12,((79776+0.25*(M237*12-867123.01))/12))))</f>
        <v>9753.1872916666671</v>
      </c>
      <c r="O237" s="8"/>
      <c r="P237" s="99">
        <v>125</v>
      </c>
      <c r="Q237" s="8">
        <f>+P237+N237+L237</f>
        <v>15197.187291666667</v>
      </c>
      <c r="R237" s="99">
        <f>+H237-Q237</f>
        <v>74802.812708333338</v>
      </c>
    </row>
    <row r="238" spans="1:19" s="2" customFormat="1" ht="33" customHeight="1" x14ac:dyDescent="0.2">
      <c r="A238" s="96">
        <f>+A237+1</f>
        <v>96</v>
      </c>
      <c r="B238" s="59" t="s">
        <v>685</v>
      </c>
      <c r="C238" s="145" t="s">
        <v>422</v>
      </c>
      <c r="D238" s="116" t="s">
        <v>696</v>
      </c>
      <c r="E238" s="115" t="s">
        <v>214</v>
      </c>
      <c r="F238" s="24" t="s">
        <v>613</v>
      </c>
      <c r="G238" s="115" t="s">
        <v>667</v>
      </c>
      <c r="H238" s="61">
        <v>45000</v>
      </c>
      <c r="I238" s="100">
        <f>H238*2.87%</f>
        <v>1291.5</v>
      </c>
      <c r="J238" s="100">
        <f>+H238*3.04%</f>
        <v>1368</v>
      </c>
      <c r="K238" s="100"/>
      <c r="L238" s="8">
        <f>+J238+I238+K238</f>
        <v>2659.5</v>
      </c>
      <c r="M238" s="8">
        <f>+H238-L238</f>
        <v>42340.5</v>
      </c>
      <c r="N238" s="8">
        <f>+IF(M238*12&lt;=416220.01,0,IF(M238*12&lt;=624329.01,(((M238*12-416220.01)*0.15)/12),IF((M238*12&lt;=867123.01),(31216+0.2*(M238*12-624329.01))/12,((79776+0.25*(M238*12-867123.01))/12))))</f>
        <v>1148.3248749999998</v>
      </c>
      <c r="O238" s="8"/>
      <c r="P238" s="99">
        <v>25</v>
      </c>
      <c r="Q238" s="8">
        <f>+P238+N238+L238</f>
        <v>3832.8248749999998</v>
      </c>
      <c r="R238" s="99">
        <f>+H238-Q238</f>
        <v>41167.175125000002</v>
      </c>
    </row>
    <row r="239" spans="1:19" s="2" customFormat="1" ht="23.25" customHeight="1" x14ac:dyDescent="0.2">
      <c r="A239" s="295" t="s">
        <v>125</v>
      </c>
      <c r="B239" s="296"/>
      <c r="C239" s="225"/>
      <c r="D239" s="225"/>
      <c r="E239" s="225"/>
      <c r="F239" s="225"/>
      <c r="G239" s="225"/>
      <c r="H239" s="14">
        <f>SUM(H237:H238)</f>
        <v>135000</v>
      </c>
      <c r="I239" s="14">
        <f t="shared" ref="I239:R239" si="91">SUM(I237:I238)</f>
        <v>3874.5</v>
      </c>
      <c r="J239" s="14">
        <f t="shared" si="91"/>
        <v>4104</v>
      </c>
      <c r="K239" s="14">
        <f t="shared" si="91"/>
        <v>0</v>
      </c>
      <c r="L239" s="14">
        <f t="shared" si="91"/>
        <v>7978.5</v>
      </c>
      <c r="M239" s="14">
        <f t="shared" si="91"/>
        <v>127021.5</v>
      </c>
      <c r="N239" s="14">
        <f t="shared" si="91"/>
        <v>10901.512166666667</v>
      </c>
      <c r="O239" s="14">
        <f t="shared" si="91"/>
        <v>0</v>
      </c>
      <c r="P239" s="14">
        <f t="shared" si="91"/>
        <v>150</v>
      </c>
      <c r="Q239" s="14">
        <f t="shared" si="91"/>
        <v>19030.012166666667</v>
      </c>
      <c r="R239" s="14">
        <f t="shared" si="91"/>
        <v>115969.98783333335</v>
      </c>
    </row>
    <row r="240" spans="1:19" s="68" customFormat="1" ht="24.95" customHeight="1" thickBot="1" x14ac:dyDescent="0.25">
      <c r="A240" s="62"/>
      <c r="B240" s="62"/>
      <c r="C240" s="62"/>
      <c r="D240" s="62"/>
      <c r="E240" s="62"/>
      <c r="F240" s="62"/>
      <c r="G240" s="62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2"/>
    </row>
    <row r="241" spans="1:19" s="102" customFormat="1" ht="32.25" customHeight="1" thickBot="1" x14ac:dyDescent="0.25">
      <c r="A241" s="223" t="s">
        <v>227</v>
      </c>
      <c r="B241" s="224"/>
      <c r="C241" s="224"/>
      <c r="D241" s="224"/>
      <c r="E241" s="224"/>
      <c r="F241" s="224"/>
      <c r="G241" s="224"/>
      <c r="H241" s="224"/>
      <c r="I241" s="224"/>
      <c r="J241" s="224"/>
      <c r="K241" s="224"/>
      <c r="L241" s="224"/>
      <c r="M241" s="224"/>
      <c r="N241" s="224"/>
      <c r="O241" s="224"/>
      <c r="P241" s="224"/>
      <c r="Q241" s="224"/>
      <c r="R241" s="224"/>
      <c r="S241" s="1"/>
    </row>
    <row r="242" spans="1:19" s="102" customFormat="1" ht="32.25" customHeight="1" x14ac:dyDescent="0.2">
      <c r="A242" s="96">
        <f>+A238+1</f>
        <v>97</v>
      </c>
      <c r="B242" s="59" t="s">
        <v>405</v>
      </c>
      <c r="C242" s="145" t="s">
        <v>422</v>
      </c>
      <c r="D242" s="59" t="s">
        <v>406</v>
      </c>
      <c r="E242" s="115" t="s">
        <v>214</v>
      </c>
      <c r="F242" s="24" t="s">
        <v>564</v>
      </c>
      <c r="G242" s="24" t="s">
        <v>619</v>
      </c>
      <c r="H242" s="100">
        <v>55000</v>
      </c>
      <c r="I242" s="100">
        <f t="shared" ref="I242" si="92">H242*2.87%</f>
        <v>1578.5</v>
      </c>
      <c r="J242" s="100">
        <f t="shared" ref="J242" si="93">+H242*3.04%</f>
        <v>1672</v>
      </c>
      <c r="K242" s="100">
        <v>1577.45</v>
      </c>
      <c r="L242" s="8">
        <f>+J242+I242+K242</f>
        <v>4827.95</v>
      </c>
      <c r="M242" s="8">
        <f>+H242-L242</f>
        <v>50172.05</v>
      </c>
      <c r="N242" s="8">
        <f>+IF(M242*12&lt;=416220.01,0,IF(M242*12&lt;=624329.01,(((M242*12-416220.01)*0.15)/12),IF((M242*12&lt;=867123.01),(31216+0.2*(M242*12-624329.01))/12,((79776+0.25*(M242*12-867123.01))/12))))-O242</f>
        <v>2323.0573750000008</v>
      </c>
      <c r="O242" s="8">
        <v>0</v>
      </c>
      <c r="P242" s="99">
        <v>125</v>
      </c>
      <c r="Q242" s="8">
        <f>+P242+N242+L242</f>
        <v>7276.007375000001</v>
      </c>
      <c r="R242" s="99">
        <f>+H242-Q242</f>
        <v>47723.992624999999</v>
      </c>
      <c r="S242" s="1"/>
    </row>
    <row r="243" spans="1:19" ht="25.15" customHeight="1" x14ac:dyDescent="0.2">
      <c r="A243" s="96">
        <f>+A242+1</f>
        <v>98</v>
      </c>
      <c r="B243" s="59" t="s">
        <v>639</v>
      </c>
      <c r="C243" s="145" t="s">
        <v>422</v>
      </c>
      <c r="D243" s="59" t="s">
        <v>406</v>
      </c>
      <c r="E243" s="115" t="s">
        <v>214</v>
      </c>
      <c r="F243" s="24" t="s">
        <v>559</v>
      </c>
      <c r="G243" s="24" t="s">
        <v>622</v>
      </c>
      <c r="H243" s="100">
        <v>45000</v>
      </c>
      <c r="I243" s="100">
        <f t="shared" ref="I243" si="94">H243*2.87%</f>
        <v>1291.5</v>
      </c>
      <c r="J243" s="100">
        <f t="shared" ref="J243" si="95">+H243*3.04%</f>
        <v>1368</v>
      </c>
      <c r="K243" s="100"/>
      <c r="L243" s="8">
        <f>+J243+I243+K243</f>
        <v>2659.5</v>
      </c>
      <c r="M243" s="8">
        <f>+H243-L243</f>
        <v>42340.5</v>
      </c>
      <c r="N243" s="8">
        <f>+IF(M243*12&lt;=416220.01,0,IF(M243*12&lt;=624329.01,(((M243*12-416220.01)*0.15)/12),IF((M243*12&lt;=867123.01),(31216+0.2*(M243*12-624329.01))/12,((79776+0.25*(M243*12-867123.01))/12))))-O243</f>
        <v>1148.3248749999998</v>
      </c>
      <c r="O243" s="8"/>
      <c r="P243" s="99">
        <v>1025</v>
      </c>
      <c r="Q243" s="8">
        <f>+P243+N243+L243</f>
        <v>4832.8248750000002</v>
      </c>
      <c r="R243" s="99">
        <f>+H243-Q243</f>
        <v>40167.175125000002</v>
      </c>
    </row>
    <row r="244" spans="1:19" ht="24.75" customHeight="1" x14ac:dyDescent="0.2">
      <c r="A244" s="295" t="s">
        <v>125</v>
      </c>
      <c r="B244" s="296"/>
      <c r="C244" s="225"/>
      <c r="D244" s="225"/>
      <c r="E244" s="225"/>
      <c r="F244" s="225"/>
      <c r="G244" s="225"/>
      <c r="H244" s="14">
        <f>SUM(H242:H243)</f>
        <v>100000</v>
      </c>
      <c r="I244" s="14">
        <f t="shared" ref="I244:R244" si="96">SUM(I242:I243)</f>
        <v>2870</v>
      </c>
      <c r="J244" s="14">
        <f t="shared" si="96"/>
        <v>3040</v>
      </c>
      <c r="K244" s="14">
        <f t="shared" si="96"/>
        <v>1577.45</v>
      </c>
      <c r="L244" s="14">
        <f t="shared" si="96"/>
        <v>7487.45</v>
      </c>
      <c r="M244" s="14">
        <f t="shared" si="96"/>
        <v>92512.55</v>
      </c>
      <c r="N244" s="14">
        <f t="shared" si="96"/>
        <v>3471.3822500000006</v>
      </c>
      <c r="O244" s="14">
        <f t="shared" si="96"/>
        <v>0</v>
      </c>
      <c r="P244" s="14">
        <f t="shared" si="96"/>
        <v>1150</v>
      </c>
      <c r="Q244" s="14">
        <f t="shared" si="96"/>
        <v>12108.832250000001</v>
      </c>
      <c r="R244" s="14">
        <f t="shared" si="96"/>
        <v>87891.167749999993</v>
      </c>
    </row>
    <row r="245" spans="1:19" s="68" customFormat="1" ht="24.95" customHeight="1" thickBot="1" x14ac:dyDescent="0.25">
      <c r="A245" s="62"/>
      <c r="B245" s="62"/>
      <c r="C245" s="62"/>
      <c r="D245" s="62"/>
      <c r="E245" s="62"/>
      <c r="F245" s="62"/>
      <c r="G245" s="62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2"/>
    </row>
    <row r="246" spans="1:19" ht="24.75" customHeight="1" thickBot="1" x14ac:dyDescent="0.25">
      <c r="A246" s="223" t="s">
        <v>651</v>
      </c>
      <c r="B246" s="224"/>
      <c r="C246" s="224"/>
      <c r="D246" s="224"/>
      <c r="E246" s="224"/>
      <c r="F246" s="224"/>
      <c r="G246" s="224"/>
      <c r="H246" s="224"/>
      <c r="I246" s="224"/>
      <c r="J246" s="224"/>
      <c r="K246" s="224"/>
      <c r="L246" s="224"/>
      <c r="M246" s="224"/>
      <c r="N246" s="224"/>
      <c r="O246" s="224"/>
      <c r="P246" s="224"/>
      <c r="Q246" s="224"/>
      <c r="R246" s="224"/>
    </row>
    <row r="247" spans="1:19" ht="29.25" customHeight="1" x14ac:dyDescent="0.2">
      <c r="A247" s="96">
        <f>+A243+1</f>
        <v>99</v>
      </c>
      <c r="B247" s="103" t="s">
        <v>652</v>
      </c>
      <c r="C247" s="105" t="s">
        <v>421</v>
      </c>
      <c r="D247" s="103" t="s">
        <v>653</v>
      </c>
      <c r="E247" s="97" t="s">
        <v>214</v>
      </c>
      <c r="F247" s="24" t="s">
        <v>559</v>
      </c>
      <c r="G247" s="24" t="s">
        <v>622</v>
      </c>
      <c r="H247" s="100">
        <v>135000</v>
      </c>
      <c r="I247" s="100">
        <f>H247*2.87%</f>
        <v>3874.5</v>
      </c>
      <c r="J247" s="100">
        <f>+H247*3.04%</f>
        <v>4104</v>
      </c>
      <c r="K247" s="100"/>
      <c r="L247" s="8">
        <f>+J247+I247+K247</f>
        <v>7978.5</v>
      </c>
      <c r="M247" s="8">
        <f>+H247-L247</f>
        <v>127021.5</v>
      </c>
      <c r="N247" s="8">
        <f>+IF(M247*12&lt;=416220.01,0,IF(M247*12&lt;=624329.01,(((M247*12-416220.01)*0.15)/12),IF((M247*12&lt;=867123.01),(31216+0.2*(M247*12-624329.01))/12,((79776+0.25*(M247*12-867123.01))/12))))-O247</f>
        <v>20338.312291666665</v>
      </c>
      <c r="O247" s="8"/>
      <c r="P247" s="99">
        <v>25</v>
      </c>
      <c r="Q247" s="8">
        <f>+P247+N247+L247</f>
        <v>28341.812291666665</v>
      </c>
      <c r="R247" s="99">
        <f>+H247-Q247</f>
        <v>106658.18770833334</v>
      </c>
    </row>
    <row r="248" spans="1:19" ht="26.25" customHeight="1" x14ac:dyDescent="0.2">
      <c r="A248" s="295" t="s">
        <v>125</v>
      </c>
      <c r="B248" s="296"/>
      <c r="C248" s="225"/>
      <c r="D248" s="225"/>
      <c r="E248" s="225"/>
      <c r="F248" s="225"/>
      <c r="G248" s="225"/>
      <c r="H248" s="14">
        <f>SUM(H247:H247)</f>
        <v>135000</v>
      </c>
      <c r="I248" s="14">
        <f t="shared" ref="I248:R248" si="97">SUM(I247:I247)</f>
        <v>3874.5</v>
      </c>
      <c r="J248" s="14">
        <f t="shared" si="97"/>
        <v>4104</v>
      </c>
      <c r="K248" s="14">
        <f t="shared" si="97"/>
        <v>0</v>
      </c>
      <c r="L248" s="14">
        <f t="shared" si="97"/>
        <v>7978.5</v>
      </c>
      <c r="M248" s="14">
        <f t="shared" si="97"/>
        <v>127021.5</v>
      </c>
      <c r="N248" s="14">
        <f t="shared" si="97"/>
        <v>20338.312291666665</v>
      </c>
      <c r="O248" s="14">
        <f t="shared" si="97"/>
        <v>0</v>
      </c>
      <c r="P248" s="14">
        <f t="shared" si="97"/>
        <v>25</v>
      </c>
      <c r="Q248" s="14">
        <f t="shared" si="97"/>
        <v>28341.812291666665</v>
      </c>
      <c r="R248" s="14">
        <f t="shared" si="97"/>
        <v>106658.18770833334</v>
      </c>
    </row>
    <row r="249" spans="1:19" ht="25.5" customHeight="1" thickBot="1" x14ac:dyDescent="0.25">
      <c r="A249" s="62"/>
      <c r="B249" s="62"/>
      <c r="C249" s="62"/>
      <c r="D249" s="62"/>
      <c r="E249" s="62"/>
      <c r="F249" s="62"/>
      <c r="G249" s="62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</row>
    <row r="250" spans="1:19" ht="24.75" customHeight="1" thickBot="1" x14ac:dyDescent="0.25">
      <c r="A250" s="223" t="s">
        <v>448</v>
      </c>
      <c r="B250" s="224"/>
      <c r="C250" s="224"/>
      <c r="D250" s="224"/>
      <c r="E250" s="224"/>
      <c r="F250" s="224"/>
      <c r="G250" s="224"/>
      <c r="H250" s="224"/>
      <c r="I250" s="224"/>
      <c r="J250" s="224"/>
      <c r="K250" s="224"/>
      <c r="L250" s="224"/>
      <c r="M250" s="224"/>
      <c r="N250" s="224"/>
      <c r="O250" s="224"/>
      <c r="P250" s="224"/>
      <c r="Q250" s="224"/>
      <c r="R250" s="224"/>
    </row>
    <row r="251" spans="1:19" ht="29.25" customHeight="1" x14ac:dyDescent="0.2">
      <c r="A251" s="96">
        <f>+A247+1</f>
        <v>100</v>
      </c>
      <c r="B251" s="103" t="s">
        <v>145</v>
      </c>
      <c r="C251" s="105" t="s">
        <v>422</v>
      </c>
      <c r="D251" s="103" t="s">
        <v>408</v>
      </c>
      <c r="E251" s="97" t="s">
        <v>214</v>
      </c>
      <c r="F251" s="24" t="s">
        <v>579</v>
      </c>
      <c r="G251" s="24" t="s">
        <v>668</v>
      </c>
      <c r="H251" s="100">
        <v>60000</v>
      </c>
      <c r="I251" s="100">
        <f>H251*2.87%</f>
        <v>1722</v>
      </c>
      <c r="J251" s="100">
        <f>+H251*3.04%</f>
        <v>1824</v>
      </c>
      <c r="K251" s="100">
        <v>1577.45</v>
      </c>
      <c r="L251" s="8">
        <f>+J251+I251+K251</f>
        <v>5123.45</v>
      </c>
      <c r="M251" s="8">
        <f>+H251-L251</f>
        <v>54876.55</v>
      </c>
      <c r="N251" s="8">
        <f>+IF(M251*12&lt;=416220.01,0,IF(M251*12&lt;=624329.01,(((M251*12-416220.01)*0.15)/12),IF((M251*12&lt;=867123.01),(31216+0.2*(M251*12-624329.01))/12,((79776+0.25*(M251*12-867123.01))/12))))-O251</f>
        <v>3171.159833333335</v>
      </c>
      <c r="O251" s="8"/>
      <c r="P251" s="99">
        <v>125</v>
      </c>
      <c r="Q251" s="8">
        <f>+P251+N251+L251</f>
        <v>8419.6098333333357</v>
      </c>
      <c r="R251" s="99">
        <f>+H251-Q251</f>
        <v>51580.390166666664</v>
      </c>
    </row>
    <row r="252" spans="1:19" ht="26.25" customHeight="1" x14ac:dyDescent="0.2">
      <c r="A252" s="295" t="s">
        <v>125</v>
      </c>
      <c r="B252" s="296"/>
      <c r="C252" s="225"/>
      <c r="D252" s="225"/>
      <c r="E252" s="225"/>
      <c r="F252" s="225"/>
      <c r="G252" s="225"/>
      <c r="H252" s="14">
        <f>SUM(H251:H251)</f>
        <v>60000</v>
      </c>
      <c r="I252" s="14">
        <f t="shared" ref="I252:R252" si="98">SUM(I251:I251)</f>
        <v>1722</v>
      </c>
      <c r="J252" s="14">
        <f t="shared" si="98"/>
        <v>1824</v>
      </c>
      <c r="K252" s="14">
        <f t="shared" si="98"/>
        <v>1577.45</v>
      </c>
      <c r="L252" s="14">
        <f t="shared" si="98"/>
        <v>5123.45</v>
      </c>
      <c r="M252" s="14">
        <f t="shared" si="98"/>
        <v>54876.55</v>
      </c>
      <c r="N252" s="14">
        <f t="shared" si="98"/>
        <v>3171.159833333335</v>
      </c>
      <c r="O252" s="14">
        <f t="shared" si="98"/>
        <v>0</v>
      </c>
      <c r="P252" s="14">
        <f t="shared" si="98"/>
        <v>125</v>
      </c>
      <c r="Q252" s="14">
        <f t="shared" si="98"/>
        <v>8419.6098333333357</v>
      </c>
      <c r="R252" s="14">
        <f t="shared" si="98"/>
        <v>51580.390166666664</v>
      </c>
    </row>
    <row r="253" spans="1:19" s="68" customFormat="1" ht="26.25" customHeight="1" thickBot="1" x14ac:dyDescent="0.25">
      <c r="A253" s="62"/>
      <c r="B253" s="62"/>
      <c r="C253" s="62"/>
      <c r="D253" s="62"/>
      <c r="E253" s="62"/>
      <c r="F253" s="62"/>
      <c r="G253" s="62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2"/>
    </row>
    <row r="254" spans="1:19" ht="24.75" customHeight="1" thickBot="1" x14ac:dyDescent="0.25">
      <c r="A254" s="223" t="s">
        <v>654</v>
      </c>
      <c r="B254" s="224"/>
      <c r="C254" s="224"/>
      <c r="D254" s="224"/>
      <c r="E254" s="224"/>
      <c r="F254" s="224"/>
      <c r="G254" s="224"/>
      <c r="H254" s="224"/>
      <c r="I254" s="224"/>
      <c r="J254" s="224"/>
      <c r="K254" s="224"/>
      <c r="L254" s="224"/>
      <c r="M254" s="224"/>
      <c r="N254" s="224"/>
      <c r="O254" s="224"/>
      <c r="P254" s="224"/>
      <c r="Q254" s="224"/>
      <c r="R254" s="224"/>
    </row>
    <row r="255" spans="1:19" ht="29.25" customHeight="1" x14ac:dyDescent="0.2">
      <c r="A255" s="96">
        <f>+A251+1</f>
        <v>101</v>
      </c>
      <c r="B255" s="103" t="s">
        <v>518</v>
      </c>
      <c r="C255" s="105" t="s">
        <v>422</v>
      </c>
      <c r="D255" s="103" t="s">
        <v>697</v>
      </c>
      <c r="E255" s="97" t="s">
        <v>214</v>
      </c>
      <c r="F255" s="24" t="s">
        <v>564</v>
      </c>
      <c r="G255" s="24" t="s">
        <v>619</v>
      </c>
      <c r="H255" s="100">
        <v>80000</v>
      </c>
      <c r="I255" s="100">
        <f>H255*2.87%</f>
        <v>2296</v>
      </c>
      <c r="J255" s="100">
        <f>+H255*3.04%</f>
        <v>2432</v>
      </c>
      <c r="K255" s="100"/>
      <c r="L255" s="8">
        <f>+J255+I255+K255</f>
        <v>4728</v>
      </c>
      <c r="M255" s="8">
        <f>+H255-L255</f>
        <v>75272</v>
      </c>
      <c r="N255" s="8">
        <f>+IF(M255*12&lt;=416220.01,0,IF(M255*12&lt;=624329.01,(((M255*12-416220.01)*0.15)/12),IF((M255*12&lt;=867123.01),(31216+0.2*(M255*12-624329.01))/12,((79776+0.25*(M255*12-867123.01))/12))))-O255</f>
        <v>7400.9372916666662</v>
      </c>
      <c r="O255" s="8"/>
      <c r="P255" s="99">
        <v>10025</v>
      </c>
      <c r="Q255" s="8">
        <f>+P255+N255+L255</f>
        <v>22153.937291666665</v>
      </c>
      <c r="R255" s="99">
        <f>+H255-Q255</f>
        <v>57846.062708333338</v>
      </c>
    </row>
    <row r="256" spans="1:19" ht="26.25" customHeight="1" x14ac:dyDescent="0.2">
      <c r="A256" s="295" t="s">
        <v>125</v>
      </c>
      <c r="B256" s="296"/>
      <c r="C256" s="225"/>
      <c r="D256" s="225"/>
      <c r="E256" s="225"/>
      <c r="F256" s="225"/>
      <c r="G256" s="225"/>
      <c r="H256" s="14">
        <f>SUM(H255:H255)</f>
        <v>80000</v>
      </c>
      <c r="I256" s="14">
        <f t="shared" ref="I256:R256" si="99">SUM(I255:I255)</f>
        <v>2296</v>
      </c>
      <c r="J256" s="14">
        <f t="shared" si="99"/>
        <v>2432</v>
      </c>
      <c r="K256" s="14">
        <f t="shared" si="99"/>
        <v>0</v>
      </c>
      <c r="L256" s="14">
        <f t="shared" si="99"/>
        <v>4728</v>
      </c>
      <c r="M256" s="14">
        <f t="shared" si="99"/>
        <v>75272</v>
      </c>
      <c r="N256" s="14">
        <f t="shared" si="99"/>
        <v>7400.9372916666662</v>
      </c>
      <c r="O256" s="14">
        <f t="shared" si="99"/>
        <v>0</v>
      </c>
      <c r="P256" s="14">
        <f t="shared" si="99"/>
        <v>10025</v>
      </c>
      <c r="Q256" s="14">
        <f t="shared" si="99"/>
        <v>22153.937291666665</v>
      </c>
      <c r="R256" s="14">
        <f t="shared" si="99"/>
        <v>57846.062708333338</v>
      </c>
    </row>
    <row r="257" spans="1:19" s="68" customFormat="1" ht="26.25" customHeight="1" thickBot="1" x14ac:dyDescent="0.25">
      <c r="A257" s="62"/>
      <c r="B257" s="62"/>
      <c r="C257" s="62"/>
      <c r="D257" s="62"/>
      <c r="E257" s="62"/>
      <c r="F257" s="62"/>
      <c r="G257" s="62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2"/>
    </row>
    <row r="258" spans="1:19" ht="24.75" customHeight="1" thickBot="1" x14ac:dyDescent="0.25">
      <c r="A258" s="223" t="s">
        <v>205</v>
      </c>
      <c r="B258" s="224"/>
      <c r="C258" s="224"/>
      <c r="D258" s="224"/>
      <c r="E258" s="224"/>
      <c r="F258" s="224"/>
      <c r="G258" s="224"/>
      <c r="H258" s="224"/>
      <c r="I258" s="224"/>
      <c r="J258" s="224"/>
      <c r="K258" s="224"/>
      <c r="L258" s="224"/>
      <c r="M258" s="224"/>
      <c r="N258" s="224"/>
      <c r="O258" s="224"/>
      <c r="P258" s="224"/>
      <c r="Q258" s="224"/>
      <c r="R258" s="224"/>
    </row>
    <row r="259" spans="1:19" ht="29.25" customHeight="1" x14ac:dyDescent="0.2">
      <c r="A259" s="96">
        <f>+A255+1</f>
        <v>102</v>
      </c>
      <c r="B259" s="103" t="s">
        <v>640</v>
      </c>
      <c r="C259" s="105" t="s">
        <v>421</v>
      </c>
      <c r="D259" s="103" t="s">
        <v>698</v>
      </c>
      <c r="E259" s="97" t="s">
        <v>214</v>
      </c>
      <c r="F259" s="24" t="s">
        <v>559</v>
      </c>
      <c r="G259" s="24" t="s">
        <v>622</v>
      </c>
      <c r="H259" s="100">
        <v>100000</v>
      </c>
      <c r="I259" s="100">
        <f>H259*2.87%</f>
        <v>2870</v>
      </c>
      <c r="J259" s="100">
        <f>+H259*3.04%</f>
        <v>3040</v>
      </c>
      <c r="K259" s="100">
        <v>0</v>
      </c>
      <c r="L259" s="8">
        <f>+J259+I259+K259</f>
        <v>5910</v>
      </c>
      <c r="M259" s="8">
        <f>+H259-L259</f>
        <v>94090</v>
      </c>
      <c r="N259" s="8">
        <f>+IF(M259*12&lt;=416220.01,0,IF(M259*12&lt;=624329.01,(((M259*12-416220.01)*0.15)/12),IF((M259*12&lt;=867123.01),(31216+0.2*(M259*12-624329.01))/12,((79776+0.25*(M259*12-867123.01))/12))))-O259</f>
        <v>12105.437291666667</v>
      </c>
      <c r="O259" s="8">
        <v>0</v>
      </c>
      <c r="P259" s="99">
        <v>25</v>
      </c>
      <c r="Q259" s="8">
        <f>+P259+N259+L259</f>
        <v>18040.437291666669</v>
      </c>
      <c r="R259" s="99">
        <f>+H259-Q259</f>
        <v>81959.562708333338</v>
      </c>
    </row>
    <row r="260" spans="1:19" ht="26.25" customHeight="1" x14ac:dyDescent="0.2">
      <c r="A260" s="295" t="s">
        <v>125</v>
      </c>
      <c r="B260" s="296"/>
      <c r="C260" s="225"/>
      <c r="D260" s="225"/>
      <c r="E260" s="225"/>
      <c r="F260" s="225"/>
      <c r="G260" s="225"/>
      <c r="H260" s="14">
        <f>SUM(H259:H259)</f>
        <v>100000</v>
      </c>
      <c r="I260" s="14">
        <f t="shared" ref="I260:R260" si="100">SUM(I259:I259)</f>
        <v>2870</v>
      </c>
      <c r="J260" s="14">
        <f t="shared" si="100"/>
        <v>3040</v>
      </c>
      <c r="K260" s="14">
        <f t="shared" si="100"/>
        <v>0</v>
      </c>
      <c r="L260" s="14">
        <f t="shared" si="100"/>
        <v>5910</v>
      </c>
      <c r="M260" s="14">
        <f t="shared" si="100"/>
        <v>94090</v>
      </c>
      <c r="N260" s="14">
        <f t="shared" si="100"/>
        <v>12105.437291666667</v>
      </c>
      <c r="O260" s="14">
        <f t="shared" si="100"/>
        <v>0</v>
      </c>
      <c r="P260" s="14">
        <f t="shared" si="100"/>
        <v>25</v>
      </c>
      <c r="Q260" s="14">
        <f t="shared" si="100"/>
        <v>18040.437291666669</v>
      </c>
      <c r="R260" s="14">
        <f t="shared" si="100"/>
        <v>81959.562708333338</v>
      </c>
    </row>
    <row r="261" spans="1:19" ht="26.25" customHeight="1" thickBot="1" x14ac:dyDescent="0.25">
      <c r="D261" s="25"/>
      <c r="E261" s="25"/>
      <c r="F261" s="25"/>
      <c r="G261" s="25"/>
      <c r="I261" s="2"/>
      <c r="J261" s="2"/>
      <c r="K261" s="2"/>
      <c r="L261" s="2"/>
      <c r="M261" s="2"/>
      <c r="N261" s="2"/>
      <c r="O261" s="2"/>
      <c r="P261" s="2"/>
      <c r="Q261" s="2"/>
      <c r="R261" s="2"/>
    </row>
    <row r="262" spans="1:19" ht="26.25" customHeight="1" thickBot="1" x14ac:dyDescent="0.25">
      <c r="A262" s="223" t="s">
        <v>409</v>
      </c>
      <c r="B262" s="224"/>
      <c r="C262" s="224"/>
      <c r="D262" s="224"/>
      <c r="E262" s="121"/>
      <c r="F262" s="60"/>
      <c r="G262" s="60"/>
      <c r="H262" s="13">
        <f>+H260+H256+H252+H248+H244+H239+H234+H229+H224+H220+H216+H212+H206+H202+H195+H186+H182+H177+H171+H167+H157+H152+H147+H142+H137+H131+H125+H121+H117+H112+H105+H101+H96+H93+H87+H83+H78+H72+H66+H62+H52+H47+H43+H35+H29+H25+H19+H12+H57</f>
        <v>9030000</v>
      </c>
      <c r="I262" s="13">
        <f t="shared" ref="I262:R262" si="101">+I260+I256+I252+I248+I244+I239+I234+I229+I224+I220+I216+I212+I206+I202+I195+I186+I182+I177+I171+I167+I157+I152+I147+I142+I137+I131+I125+I121+I117+I112+I105+I101+I96+I93+I87+I83+I78+I72+I66+I62+I52+I47+I43+I35+I29+I25+I19+I12+I57</f>
        <v>259161</v>
      </c>
      <c r="J262" s="13">
        <f t="shared" si="101"/>
        <v>274149.63199999998</v>
      </c>
      <c r="K262" s="13">
        <f t="shared" si="101"/>
        <v>29971.550000000007</v>
      </c>
      <c r="L262" s="13">
        <f t="shared" si="101"/>
        <v>563282.18200000003</v>
      </c>
      <c r="M262" s="13">
        <f t="shared" si="101"/>
        <v>8466717.818</v>
      </c>
      <c r="N262" s="13">
        <f>+N260+N256+N252+N248+N244+N239+N234+N229+N224+N220+N216+N212+N206+N202+N195+N186+N182+N177+N171+N167+N157+N152+N147+N142+N137+N131+N125+N121+N117+N112+N105+N101+N96+N93+N87+N83+N78+N72+N66+N62+N52+N47+N43+N35+N29+N25+N19+N12+N57</f>
        <v>962828.81479166681</v>
      </c>
      <c r="O262" s="13">
        <f t="shared" si="101"/>
        <v>42357.259999999995</v>
      </c>
      <c r="P262" s="13">
        <f t="shared" si="101"/>
        <v>195724.93999999997</v>
      </c>
      <c r="Q262" s="13">
        <f t="shared" si="101"/>
        <v>1721835.9367916666</v>
      </c>
      <c r="R262" s="13">
        <f t="shared" si="101"/>
        <v>7308164.0654999977</v>
      </c>
    </row>
    <row r="263" spans="1:19" ht="26.25" customHeight="1" x14ac:dyDescent="0.2">
      <c r="A263" s="143"/>
      <c r="B263" s="143"/>
      <c r="C263" s="143"/>
      <c r="D263" s="143"/>
      <c r="E263" s="143"/>
      <c r="H263" s="156"/>
      <c r="I263" s="156"/>
      <c r="J263" s="156"/>
      <c r="K263" s="156"/>
      <c r="L263" s="156"/>
      <c r="M263" s="156"/>
      <c r="N263" s="156"/>
      <c r="O263" s="156"/>
      <c r="P263" s="156"/>
      <c r="Q263" s="156"/>
      <c r="R263" s="156"/>
    </row>
    <row r="264" spans="1:19" x14ac:dyDescent="0.2">
      <c r="A264" s="143"/>
      <c r="B264" s="143"/>
      <c r="C264" s="143"/>
      <c r="D264" s="143"/>
      <c r="E264" s="143"/>
    </row>
    <row r="265" spans="1:19" ht="20.25" customHeight="1" x14ac:dyDescent="0.25">
      <c r="B265" s="21"/>
      <c r="C265" s="142"/>
      <c r="D265" s="20"/>
      <c r="E265" s="20"/>
      <c r="F265" s="21" t="s">
        <v>488</v>
      </c>
    </row>
    <row r="266" spans="1:19" ht="15.75" customHeight="1" x14ac:dyDescent="0.25">
      <c r="B266" s="21" t="s">
        <v>489</v>
      </c>
      <c r="C266" s="142"/>
      <c r="D266" s="20"/>
      <c r="E266" s="20"/>
      <c r="F266" s="21" t="s">
        <v>490</v>
      </c>
    </row>
    <row r="267" spans="1:19" x14ac:dyDescent="0.2">
      <c r="H267" s="65"/>
    </row>
    <row r="64862" spans="2:18" s="4" customFormat="1" x14ac:dyDescent="0.2">
      <c r="B64862" s="23"/>
      <c r="D64862" s="23"/>
      <c r="E64862" s="23"/>
      <c r="F64862" s="23"/>
      <c r="G64862" s="23"/>
      <c r="H64862" s="2"/>
      <c r="N64862" s="1"/>
      <c r="O64862" s="1"/>
      <c r="P64862" s="1"/>
      <c r="Q64862" s="1"/>
      <c r="R64862" s="1"/>
    </row>
    <row r="64864" spans="2:18" s="4" customFormat="1" x14ac:dyDescent="0.2">
      <c r="B64864" s="23"/>
      <c r="D64864" s="23"/>
      <c r="E64864" s="23"/>
      <c r="F64864" s="23"/>
      <c r="G64864" s="23"/>
      <c r="H64864" s="2"/>
      <c r="N64864" s="1"/>
      <c r="O64864" s="1"/>
      <c r="P64864" s="1"/>
      <c r="Q64864" s="1"/>
      <c r="R64864" s="1"/>
    </row>
    <row r="64874" spans="2:18" x14ac:dyDescent="0.2">
      <c r="P64874" s="4"/>
      <c r="Q64874" s="4"/>
      <c r="R64874" s="4"/>
    </row>
    <row r="64875" spans="2:18" x14ac:dyDescent="0.2">
      <c r="B64875" s="23">
        <f>SUM(B7:B64874)</f>
        <v>0</v>
      </c>
    </row>
    <row r="64876" spans="2:18" x14ac:dyDescent="0.2">
      <c r="P64876" s="4"/>
      <c r="Q64876" s="4"/>
      <c r="R64876" s="4"/>
    </row>
    <row r="64877" spans="2:18" x14ac:dyDescent="0.2">
      <c r="B64877" s="23">
        <f>SUM(B64875)</f>
        <v>0</v>
      </c>
      <c r="N64877" s="4"/>
      <c r="O64877" s="4"/>
    </row>
    <row r="64879" spans="2:18" x14ac:dyDescent="0.2">
      <c r="N64879" s="4"/>
      <c r="O64879" s="4"/>
    </row>
    <row r="1048203" spans="17:17" x14ac:dyDescent="0.2">
      <c r="Q1048203" s="11" t="e">
        <f>SUM(#REF!)</f>
        <v>#REF!</v>
      </c>
    </row>
  </sheetData>
  <mergeCells count="53">
    <mergeCell ref="A248:B248"/>
    <mergeCell ref="A256:B256"/>
    <mergeCell ref="A216:B216"/>
    <mergeCell ref="A220:B220"/>
    <mergeCell ref="A224:B224"/>
    <mergeCell ref="A137:B137"/>
    <mergeCell ref="A142:B142"/>
    <mergeCell ref="A152:B152"/>
    <mergeCell ref="A206:B206"/>
    <mergeCell ref="A212:B212"/>
    <mergeCell ref="A171:B171"/>
    <mergeCell ref="A177:B177"/>
    <mergeCell ref="A182:B182"/>
    <mergeCell ref="A167:B167"/>
    <mergeCell ref="A147:B147"/>
    <mergeCell ref="A157:B157"/>
    <mergeCell ref="A12:B12"/>
    <mergeCell ref="A35:B35"/>
    <mergeCell ref="A2:R2"/>
    <mergeCell ref="A3:R3"/>
    <mergeCell ref="A4:R4"/>
    <mergeCell ref="A29:B29"/>
    <mergeCell ref="A25:B25"/>
    <mergeCell ref="A19:B19"/>
    <mergeCell ref="I6:L6"/>
    <mergeCell ref="A43:B43"/>
    <mergeCell ref="A47:B47"/>
    <mergeCell ref="A52:B52"/>
    <mergeCell ref="A62:B62"/>
    <mergeCell ref="A66:B66"/>
    <mergeCell ref="A57:B57"/>
    <mergeCell ref="A72:B72"/>
    <mergeCell ref="A78:B78"/>
    <mergeCell ref="A83:B83"/>
    <mergeCell ref="A87:B87"/>
    <mergeCell ref="A125:B125"/>
    <mergeCell ref="A105:B105"/>
    <mergeCell ref="A260:B260"/>
    <mergeCell ref="A131:B131"/>
    <mergeCell ref="A252:B252"/>
    <mergeCell ref="A93:B93"/>
    <mergeCell ref="A96:B96"/>
    <mergeCell ref="A101:B101"/>
    <mergeCell ref="A112:B112"/>
    <mergeCell ref="A117:B117"/>
    <mergeCell ref="A121:B121"/>
    <mergeCell ref="A195:B195"/>
    <mergeCell ref="A202:B202"/>
    <mergeCell ref="A186:B186"/>
    <mergeCell ref="A229:B229"/>
    <mergeCell ref="A234:B234"/>
    <mergeCell ref="A239:B239"/>
    <mergeCell ref="A244:B244"/>
  </mergeCells>
  <phoneticPr fontId="18" type="noConversion"/>
  <pageMargins left="0.15748031496062992" right="0.15748031496062992" top="0.15748031496062992" bottom="0.15748031496062992" header="0.15748031496062992" footer="0.15748031496062992"/>
  <pageSetup paperSize="5" scale="53" fitToHeight="0" orientation="landscape" r:id="rId1"/>
  <rowBreaks count="8" manualBreakCount="8">
    <brk id="47" max="17" man="1"/>
    <brk id="84" max="17" man="1"/>
    <brk id="118" max="17" man="1"/>
    <brk id="157" max="17" man="1"/>
    <brk id="196" max="17" man="1"/>
    <brk id="236" max="17" man="1"/>
    <brk id="268" max="12" man="1"/>
    <brk id="273" max="12" man="1"/>
  </rowBreaks>
  <ignoredErrors>
    <ignoredError sqref="R232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BF6AE-B7EA-4DD9-ABA0-965AC9C19624}">
  <sheetPr>
    <pageSetUpPr fitToPage="1"/>
  </sheetPr>
  <dimension ref="B1:M999990"/>
  <sheetViews>
    <sheetView showGridLines="0" view="pageBreakPreview" zoomScale="50" zoomScaleNormal="98" zoomScaleSheetLayoutView="50" workbookViewId="0">
      <pane xSplit="3" ySplit="6" topLeftCell="D7" activePane="bottomRight" state="frozen"/>
      <selection pane="topRight" activeCell="C1" sqref="C1"/>
      <selection pane="bottomLeft" activeCell="A9" sqref="A9"/>
      <selection pane="bottomRight" activeCell="B2" sqref="B2:L2"/>
    </sheetView>
  </sheetViews>
  <sheetFormatPr baseColWidth="10" defaultColWidth="11.42578125" defaultRowHeight="12.75" x14ac:dyDescent="0.2"/>
  <cols>
    <col min="1" max="1" width="1.85546875" style="1" customWidth="1"/>
    <col min="2" max="2" width="6.42578125" style="4" customWidth="1"/>
    <col min="3" max="3" width="46.42578125" style="23" customWidth="1"/>
    <col min="4" max="4" width="9.85546875" style="4" customWidth="1"/>
    <col min="5" max="5" width="48.140625" style="23" customWidth="1"/>
    <col min="6" max="6" width="31.85546875" style="279" customWidth="1"/>
    <col min="7" max="7" width="20.7109375" style="2" customWidth="1"/>
    <col min="8" max="9" width="17.7109375" style="1" customWidth="1"/>
    <col min="10" max="10" width="24.42578125" style="1" customWidth="1"/>
    <col min="11" max="11" width="24.28515625" style="1" customWidth="1"/>
    <col min="12" max="12" width="24.140625" style="1" customWidth="1"/>
    <col min="13" max="16384" width="11.42578125" style="1"/>
  </cols>
  <sheetData>
    <row r="1" spans="2:13" ht="23.25" x14ac:dyDescent="0.35">
      <c r="B1" s="289" t="s">
        <v>410</v>
      </c>
      <c r="C1" s="289"/>
      <c r="D1" s="289"/>
      <c r="E1" s="289"/>
      <c r="F1" s="289"/>
      <c r="G1" s="289"/>
      <c r="H1" s="289"/>
      <c r="I1" s="289"/>
      <c r="J1" s="289"/>
      <c r="K1" s="289"/>
      <c r="L1" s="289"/>
    </row>
    <row r="2" spans="2:13" ht="21" x14ac:dyDescent="0.35">
      <c r="B2" s="290" t="s">
        <v>427</v>
      </c>
      <c r="C2" s="290"/>
      <c r="D2" s="290"/>
      <c r="E2" s="290"/>
      <c r="F2" s="290"/>
      <c r="G2" s="290"/>
      <c r="H2" s="290"/>
      <c r="I2" s="290"/>
      <c r="J2" s="290"/>
      <c r="K2" s="290"/>
      <c r="L2" s="290"/>
    </row>
    <row r="3" spans="2:13" ht="18.75" x14ac:dyDescent="0.3">
      <c r="B3" s="291" t="s">
        <v>686</v>
      </c>
      <c r="C3" s="291"/>
      <c r="D3" s="291"/>
      <c r="E3" s="291"/>
      <c r="F3" s="291"/>
      <c r="G3" s="291"/>
      <c r="H3" s="291"/>
      <c r="I3" s="291"/>
      <c r="J3" s="291"/>
      <c r="K3" s="291"/>
      <c r="L3" s="291"/>
      <c r="M3" s="200"/>
    </row>
    <row r="4" spans="2:13" ht="19.5" thickBot="1" x14ac:dyDescent="0.35">
      <c r="B4" s="291"/>
      <c r="C4" s="291"/>
      <c r="D4" s="15"/>
      <c r="E4" s="22"/>
      <c r="F4" s="275"/>
      <c r="G4" s="15"/>
    </row>
    <row r="5" spans="2:13" ht="25.5" customHeight="1" thickBot="1" x14ac:dyDescent="0.3">
      <c r="B5" s="29"/>
      <c r="C5" s="30"/>
      <c r="D5" s="29"/>
      <c r="E5" s="30"/>
      <c r="F5" s="276"/>
      <c r="G5" s="31"/>
      <c r="H5" s="300" t="s">
        <v>120</v>
      </c>
      <c r="I5" s="302"/>
      <c r="J5" s="32"/>
      <c r="K5" s="32"/>
      <c r="L5" s="32"/>
    </row>
    <row r="6" spans="2:13" s="16" customFormat="1" ht="30" customHeight="1" x14ac:dyDescent="0.25">
      <c r="B6" s="33" t="s">
        <v>0</v>
      </c>
      <c r="C6" s="33" t="s">
        <v>362</v>
      </c>
      <c r="D6" s="33" t="s">
        <v>423</v>
      </c>
      <c r="E6" s="33" t="s">
        <v>127</v>
      </c>
      <c r="F6" s="282" t="s">
        <v>114</v>
      </c>
      <c r="G6" s="33" t="s">
        <v>124</v>
      </c>
      <c r="H6" s="34" t="s">
        <v>1</v>
      </c>
      <c r="I6" s="34" t="s">
        <v>2</v>
      </c>
      <c r="J6" s="35" t="s">
        <v>115</v>
      </c>
      <c r="K6" s="35" t="s">
        <v>3</v>
      </c>
      <c r="L6" s="35" t="s">
        <v>116</v>
      </c>
    </row>
    <row r="7" spans="2:13" s="40" customFormat="1" ht="16.5" customHeight="1" x14ac:dyDescent="0.25">
      <c r="B7" s="50"/>
      <c r="C7" s="50"/>
      <c r="D7" s="50"/>
      <c r="E7" s="50"/>
      <c r="F7" s="283"/>
      <c r="M7" s="38"/>
    </row>
    <row r="8" spans="2:13" s="39" customFormat="1" ht="22.5" customHeight="1" thickBot="1" x14ac:dyDescent="0.3">
      <c r="B8" s="50"/>
      <c r="C8" s="50"/>
      <c r="D8" s="50"/>
      <c r="E8" s="50"/>
      <c r="F8" s="283"/>
      <c r="G8" s="40"/>
      <c r="H8" s="40"/>
      <c r="I8" s="40"/>
      <c r="J8" s="40"/>
      <c r="K8" s="40"/>
      <c r="L8" s="40"/>
    </row>
    <row r="9" spans="2:13" s="39" customFormat="1" ht="30" customHeight="1" thickBot="1" x14ac:dyDescent="0.3">
      <c r="B9" s="310" t="s">
        <v>179</v>
      </c>
      <c r="C9" s="311"/>
      <c r="D9" s="311"/>
      <c r="E9" s="311"/>
      <c r="F9" s="311"/>
      <c r="G9" s="311"/>
      <c r="H9" s="311"/>
      <c r="I9" s="311"/>
      <c r="J9" s="311"/>
      <c r="K9" s="311"/>
      <c r="L9" s="312"/>
    </row>
    <row r="10" spans="2:13" s="39" customFormat="1" ht="30" customHeight="1" x14ac:dyDescent="0.25">
      <c r="B10" s="36">
        <f>1</f>
        <v>1</v>
      </c>
      <c r="C10" s="108" t="s">
        <v>139</v>
      </c>
      <c r="D10" s="36" t="s">
        <v>422</v>
      </c>
      <c r="E10" s="109" t="s">
        <v>463</v>
      </c>
      <c r="F10" s="126" t="s">
        <v>121</v>
      </c>
      <c r="G10" s="110">
        <v>19500</v>
      </c>
      <c r="H10" s="110">
        <v>559.64999999999964</v>
      </c>
      <c r="I10" s="107">
        <v>502.21</v>
      </c>
      <c r="J10" s="110">
        <v>4609.54</v>
      </c>
      <c r="K10" s="107">
        <f>SUM(H10:J10)</f>
        <v>5671.4</v>
      </c>
      <c r="L10" s="78">
        <f>+G10-K10</f>
        <v>13828.6</v>
      </c>
      <c r="M10" s="201"/>
    </row>
    <row r="11" spans="2:13" s="39" customFormat="1" ht="30" customHeight="1" x14ac:dyDescent="0.25">
      <c r="B11" s="307" t="s">
        <v>125</v>
      </c>
      <c r="C11" s="308"/>
      <c r="D11" s="308"/>
      <c r="E11" s="308"/>
      <c r="F11" s="308"/>
      <c r="G11" s="37">
        <f>SUM(G10)</f>
        <v>19500</v>
      </c>
      <c r="H11" s="37">
        <f t="shared" ref="H11:J11" si="0">SUM(H10)</f>
        <v>559.64999999999964</v>
      </c>
      <c r="I11" s="37">
        <f t="shared" si="0"/>
        <v>502.21</v>
      </c>
      <c r="J11" s="37">
        <f t="shared" si="0"/>
        <v>4609.54</v>
      </c>
      <c r="K11" s="37">
        <f>SUM(K10)</f>
        <v>5671.4</v>
      </c>
      <c r="L11" s="37">
        <f>SUM(L10)</f>
        <v>13828.6</v>
      </c>
      <c r="M11" s="201"/>
    </row>
    <row r="12" spans="2:13" s="40" customFormat="1" ht="30" customHeight="1" thickBot="1" x14ac:dyDescent="0.3">
      <c r="B12" s="50"/>
      <c r="C12" s="50"/>
      <c r="D12" s="50"/>
      <c r="E12" s="50"/>
      <c r="F12" s="283"/>
      <c r="M12" s="38"/>
    </row>
    <row r="13" spans="2:13" s="70" customFormat="1" ht="30" customHeight="1" thickBot="1" x14ac:dyDescent="0.3">
      <c r="B13" s="310" t="s">
        <v>154</v>
      </c>
      <c r="C13" s="311"/>
      <c r="D13" s="311"/>
      <c r="E13" s="311"/>
      <c r="F13" s="311"/>
      <c r="G13" s="311"/>
      <c r="H13" s="311"/>
      <c r="I13" s="311"/>
      <c r="J13" s="311"/>
      <c r="K13" s="311"/>
      <c r="L13" s="312"/>
    </row>
    <row r="14" spans="2:13" s="39" customFormat="1" ht="46.5" customHeight="1" x14ac:dyDescent="0.25">
      <c r="B14" s="80">
        <f>+B10+1</f>
        <v>2</v>
      </c>
      <c r="C14" s="108" t="s">
        <v>251</v>
      </c>
      <c r="D14" s="36" t="s">
        <v>422</v>
      </c>
      <c r="E14" s="109" t="s">
        <v>494</v>
      </c>
      <c r="F14" s="126" t="s">
        <v>122</v>
      </c>
      <c r="G14" s="110">
        <v>31000</v>
      </c>
      <c r="H14" s="82">
        <f>G14*2.87%</f>
        <v>889.7</v>
      </c>
      <c r="I14" s="82">
        <f>+G14*3.04%</f>
        <v>942.4</v>
      </c>
      <c r="J14" s="82">
        <v>7291.9699999999993</v>
      </c>
      <c r="K14" s="107">
        <f>SUM(H14:J14)</f>
        <v>9124.07</v>
      </c>
      <c r="L14" s="78">
        <f>+G14-K14</f>
        <v>21875.93</v>
      </c>
      <c r="M14" s="201"/>
    </row>
    <row r="15" spans="2:13" s="39" customFormat="1" ht="27" customHeight="1" x14ac:dyDescent="0.25">
      <c r="B15" s="307" t="s">
        <v>125</v>
      </c>
      <c r="C15" s="308"/>
      <c r="D15" s="308"/>
      <c r="E15" s="308"/>
      <c r="F15" s="309"/>
      <c r="G15" s="37">
        <f>SUM(G14)</f>
        <v>31000</v>
      </c>
      <c r="H15" s="37">
        <f t="shared" ref="H15:L15" si="1">SUM(H14)</f>
        <v>889.7</v>
      </c>
      <c r="I15" s="37">
        <f t="shared" si="1"/>
        <v>942.4</v>
      </c>
      <c r="J15" s="37">
        <f t="shared" si="1"/>
        <v>7291.9699999999993</v>
      </c>
      <c r="K15" s="37">
        <f t="shared" si="1"/>
        <v>9124.07</v>
      </c>
      <c r="L15" s="37">
        <f t="shared" si="1"/>
        <v>21875.93</v>
      </c>
    </row>
    <row r="16" spans="2:13" s="39" customFormat="1" ht="27" customHeight="1" thickBot="1" x14ac:dyDescent="0.3">
      <c r="B16" s="50"/>
      <c r="C16" s="50"/>
      <c r="D16" s="50"/>
      <c r="E16" s="50"/>
      <c r="F16" s="283"/>
      <c r="G16" s="86"/>
      <c r="H16" s="86"/>
      <c r="I16" s="86"/>
      <c r="J16" s="86"/>
      <c r="K16" s="86"/>
      <c r="L16" s="86"/>
    </row>
    <row r="17" spans="2:13" s="70" customFormat="1" ht="30" customHeight="1" thickBot="1" x14ac:dyDescent="0.3">
      <c r="B17" s="310" t="s">
        <v>156</v>
      </c>
      <c r="C17" s="311"/>
      <c r="D17" s="311"/>
      <c r="E17" s="311"/>
      <c r="F17" s="311"/>
      <c r="G17" s="311"/>
      <c r="H17" s="311"/>
      <c r="I17" s="311"/>
      <c r="J17" s="311"/>
      <c r="K17" s="311"/>
      <c r="L17" s="312"/>
    </row>
    <row r="18" spans="2:13" s="39" customFormat="1" ht="46.5" customHeight="1" x14ac:dyDescent="0.25">
      <c r="B18" s="80">
        <f>+B14+1</f>
        <v>3</v>
      </c>
      <c r="C18" s="81" t="s">
        <v>254</v>
      </c>
      <c r="D18" s="36" t="s">
        <v>422</v>
      </c>
      <c r="E18" s="85" t="s">
        <v>522</v>
      </c>
      <c r="F18" s="126" t="s">
        <v>122</v>
      </c>
      <c r="G18" s="110">
        <v>25000</v>
      </c>
      <c r="H18" s="82">
        <f>G18*2.87%</f>
        <v>717.5</v>
      </c>
      <c r="I18" s="82">
        <f>+G18*3.04%</f>
        <v>760</v>
      </c>
      <c r="J18" s="82">
        <v>5880.62</v>
      </c>
      <c r="K18" s="107">
        <f>SUM(H18:J18)</f>
        <v>7358.12</v>
      </c>
      <c r="L18" s="78">
        <f>+G18-K18</f>
        <v>17641.88</v>
      </c>
      <c r="M18" s="241"/>
    </row>
    <row r="19" spans="2:13" s="39" customFormat="1" ht="27" customHeight="1" x14ac:dyDescent="0.25">
      <c r="B19" s="307" t="s">
        <v>125</v>
      </c>
      <c r="C19" s="308"/>
      <c r="D19" s="308"/>
      <c r="E19" s="308"/>
      <c r="F19" s="309"/>
      <c r="G19" s="37">
        <f>SUM(G18)</f>
        <v>25000</v>
      </c>
      <c r="H19" s="37">
        <f t="shared" ref="H19:L19" si="2">SUM(H18)</f>
        <v>717.5</v>
      </c>
      <c r="I19" s="37">
        <f t="shared" si="2"/>
        <v>760</v>
      </c>
      <c r="J19" s="37">
        <f t="shared" si="2"/>
        <v>5880.62</v>
      </c>
      <c r="K19" s="37">
        <f>SUM(K18)</f>
        <v>7358.12</v>
      </c>
      <c r="L19" s="37">
        <f t="shared" si="2"/>
        <v>17641.88</v>
      </c>
    </row>
    <row r="20" spans="2:13" s="39" customFormat="1" ht="27" customHeight="1" thickBot="1" x14ac:dyDescent="0.3">
      <c r="B20" s="50"/>
      <c r="C20" s="50"/>
      <c r="D20" s="50"/>
      <c r="E20" s="50"/>
      <c r="F20" s="283"/>
      <c r="G20" s="40"/>
      <c r="H20" s="40"/>
      <c r="I20" s="40"/>
      <c r="J20" s="40"/>
      <c r="K20" s="40"/>
      <c r="L20" s="40"/>
    </row>
    <row r="21" spans="2:13" s="39" customFormat="1" ht="21" customHeight="1" thickBot="1" x14ac:dyDescent="0.3">
      <c r="B21" s="310" t="s">
        <v>244</v>
      </c>
      <c r="C21" s="311"/>
      <c r="D21" s="311"/>
      <c r="E21" s="311"/>
      <c r="F21" s="311"/>
      <c r="G21" s="311"/>
      <c r="H21" s="311"/>
      <c r="I21" s="311"/>
      <c r="J21" s="311"/>
      <c r="K21" s="311"/>
      <c r="L21" s="312"/>
    </row>
    <row r="22" spans="2:13" s="86" customFormat="1" ht="30" customHeight="1" x14ac:dyDescent="0.25">
      <c r="B22" s="75">
        <f>+B18+1</f>
        <v>4</v>
      </c>
      <c r="C22" s="112" t="s">
        <v>56</v>
      </c>
      <c r="D22" s="122" t="s">
        <v>422</v>
      </c>
      <c r="E22" s="123" t="s">
        <v>181</v>
      </c>
      <c r="F22" s="126" t="s">
        <v>122</v>
      </c>
      <c r="G22" s="107">
        <v>63500</v>
      </c>
      <c r="H22" s="77">
        <v>1822.4499999999998</v>
      </c>
      <c r="I22" s="77">
        <v>1839.81</v>
      </c>
      <c r="J22" s="107">
        <v>14959.44</v>
      </c>
      <c r="K22" s="77">
        <f>SUM(H22:J22)</f>
        <v>18621.7</v>
      </c>
      <c r="L22" s="78">
        <f>+G22-K22</f>
        <v>44878.3</v>
      </c>
      <c r="M22" s="40"/>
    </row>
    <row r="23" spans="2:13" s="39" customFormat="1" ht="28.5" customHeight="1" x14ac:dyDescent="0.25">
      <c r="B23" s="307" t="s">
        <v>125</v>
      </c>
      <c r="C23" s="308"/>
      <c r="D23" s="308"/>
      <c r="E23" s="308"/>
      <c r="F23" s="309"/>
      <c r="G23" s="37">
        <f t="shared" ref="G23:L23" si="3">SUM(G22:G22)</f>
        <v>63500</v>
      </c>
      <c r="H23" s="37">
        <f t="shared" si="3"/>
        <v>1822.4499999999998</v>
      </c>
      <c r="I23" s="37">
        <f t="shared" si="3"/>
        <v>1839.81</v>
      </c>
      <c r="J23" s="37">
        <f t="shared" si="3"/>
        <v>14959.44</v>
      </c>
      <c r="K23" s="37">
        <f t="shared" si="3"/>
        <v>18621.7</v>
      </c>
      <c r="L23" s="37">
        <f t="shared" si="3"/>
        <v>44878.3</v>
      </c>
    </row>
    <row r="24" spans="2:13" s="39" customFormat="1" ht="28.5" customHeight="1" thickBot="1" x14ac:dyDescent="0.3">
      <c r="B24" s="50"/>
      <c r="C24" s="50"/>
      <c r="D24" s="50"/>
      <c r="E24" s="50"/>
      <c r="F24" s="283"/>
      <c r="G24" s="40"/>
      <c r="H24" s="40"/>
      <c r="I24" s="40"/>
      <c r="J24" s="40"/>
      <c r="K24" s="40"/>
      <c r="L24" s="40"/>
    </row>
    <row r="25" spans="2:13" s="39" customFormat="1" ht="21" customHeight="1" thickBot="1" x14ac:dyDescent="0.3">
      <c r="B25" s="310" t="s">
        <v>672</v>
      </c>
      <c r="C25" s="311"/>
      <c r="D25" s="311"/>
      <c r="E25" s="311"/>
      <c r="F25" s="311"/>
      <c r="G25" s="311"/>
      <c r="H25" s="311"/>
      <c r="I25" s="311"/>
      <c r="J25" s="311"/>
      <c r="K25" s="311"/>
      <c r="L25" s="312"/>
    </row>
    <row r="26" spans="2:13" s="86" customFormat="1" ht="30" customHeight="1" x14ac:dyDescent="0.25">
      <c r="B26" s="75">
        <f>+B22+1</f>
        <v>5</v>
      </c>
      <c r="C26" s="112" t="s">
        <v>671</v>
      </c>
      <c r="D26" s="122" t="s">
        <v>422</v>
      </c>
      <c r="E26" s="123" t="s">
        <v>51</v>
      </c>
      <c r="F26" s="126" t="s">
        <v>122</v>
      </c>
      <c r="G26" s="107">
        <v>10000</v>
      </c>
      <c r="H26" s="77">
        <f>+G26*2.87%</f>
        <v>287</v>
      </c>
      <c r="I26" s="77">
        <f>+G26*3.04%</f>
        <v>304</v>
      </c>
      <c r="J26" s="107">
        <v>1881.8</v>
      </c>
      <c r="K26" s="77">
        <f>SUM(H26:J26)</f>
        <v>2472.8000000000002</v>
      </c>
      <c r="L26" s="78">
        <f>+G26-K26</f>
        <v>7527.2</v>
      </c>
      <c r="M26" s="40"/>
    </row>
    <row r="27" spans="2:13" s="39" customFormat="1" ht="28.5" customHeight="1" thickBot="1" x14ac:dyDescent="0.3">
      <c r="B27" s="307" t="s">
        <v>125</v>
      </c>
      <c r="C27" s="308"/>
      <c r="D27" s="308"/>
      <c r="E27" s="308"/>
      <c r="F27" s="309"/>
      <c r="G27" s="37">
        <f t="shared" ref="G27:L27" si="4">SUM(G26:G26)</f>
        <v>10000</v>
      </c>
      <c r="H27" s="37">
        <f t="shared" si="4"/>
        <v>287</v>
      </c>
      <c r="I27" s="37">
        <f t="shared" si="4"/>
        <v>304</v>
      </c>
      <c r="J27" s="37">
        <f t="shared" si="4"/>
        <v>1881.8</v>
      </c>
      <c r="K27" s="37">
        <f t="shared" si="4"/>
        <v>2472.8000000000002</v>
      </c>
      <c r="L27" s="37">
        <f t="shared" si="4"/>
        <v>7527.2</v>
      </c>
      <c r="M27" s="40"/>
    </row>
    <row r="28" spans="2:13" s="39" customFormat="1" ht="28.5" customHeight="1" thickBot="1" x14ac:dyDescent="0.3">
      <c r="B28" s="310" t="s">
        <v>158</v>
      </c>
      <c r="C28" s="311"/>
      <c r="D28" s="311"/>
      <c r="E28" s="311"/>
      <c r="F28" s="311"/>
      <c r="G28" s="311"/>
      <c r="H28" s="311"/>
      <c r="I28" s="311"/>
      <c r="J28" s="311"/>
      <c r="K28" s="311"/>
      <c r="L28" s="312"/>
    </row>
    <row r="29" spans="2:13" s="39" customFormat="1" ht="28.5" customHeight="1" x14ac:dyDescent="0.25">
      <c r="B29" s="75">
        <f>+B26+1</f>
        <v>6</v>
      </c>
      <c r="C29" s="112" t="s">
        <v>48</v>
      </c>
      <c r="D29" s="122" t="s">
        <v>422</v>
      </c>
      <c r="E29" s="123" t="s">
        <v>459</v>
      </c>
      <c r="F29" s="126" t="s">
        <v>122</v>
      </c>
      <c r="G29" s="77">
        <v>33000</v>
      </c>
      <c r="H29" s="77">
        <v>947.09999999999991</v>
      </c>
      <c r="I29" s="77">
        <v>1003.1999999999998</v>
      </c>
      <c r="J29" s="107">
        <v>7762.4199999999983</v>
      </c>
      <c r="K29" s="77">
        <f>SUM(H29:J29)</f>
        <v>9712.7199999999975</v>
      </c>
      <c r="L29" s="78">
        <f>+G29-K29</f>
        <v>23287.280000000002</v>
      </c>
    </row>
    <row r="30" spans="2:13" s="39" customFormat="1" ht="28.5" customHeight="1" x14ac:dyDescent="0.25">
      <c r="B30" s="307" t="s">
        <v>125</v>
      </c>
      <c r="C30" s="308"/>
      <c r="D30" s="308"/>
      <c r="E30" s="308"/>
      <c r="F30" s="309"/>
      <c r="G30" s="37">
        <f t="shared" ref="G30:L30" si="5">SUM(G29:G29)</f>
        <v>33000</v>
      </c>
      <c r="H30" s="37">
        <f t="shared" si="5"/>
        <v>947.09999999999991</v>
      </c>
      <c r="I30" s="37">
        <f t="shared" si="5"/>
        <v>1003.1999999999998</v>
      </c>
      <c r="J30" s="37">
        <f t="shared" si="5"/>
        <v>7762.4199999999983</v>
      </c>
      <c r="K30" s="37">
        <f t="shared" si="5"/>
        <v>9712.7199999999975</v>
      </c>
      <c r="L30" s="37">
        <f t="shared" si="5"/>
        <v>23287.280000000002</v>
      </c>
    </row>
    <row r="31" spans="2:13" s="40" customFormat="1" ht="25.5" customHeight="1" thickBot="1" x14ac:dyDescent="0.3">
      <c r="B31" s="44"/>
      <c r="C31" s="42"/>
      <c r="D31" s="44"/>
      <c r="E31" s="43"/>
      <c r="F31" s="277"/>
      <c r="G31" s="39"/>
      <c r="H31" s="39"/>
      <c r="I31" s="39"/>
      <c r="J31" s="39"/>
      <c r="K31" s="39"/>
      <c r="L31" s="38"/>
    </row>
    <row r="32" spans="2:13" s="39" customFormat="1" ht="22.5" customHeight="1" thickBot="1" x14ac:dyDescent="0.3">
      <c r="B32" s="313" t="s">
        <v>185</v>
      </c>
      <c r="C32" s="314"/>
      <c r="D32" s="314"/>
      <c r="E32" s="314"/>
      <c r="F32" s="314"/>
      <c r="G32" s="314"/>
      <c r="H32" s="314"/>
      <c r="I32" s="314"/>
      <c r="J32" s="314"/>
      <c r="K32" s="314"/>
      <c r="L32" s="315"/>
    </row>
    <row r="33" spans="2:13" s="87" customFormat="1" ht="33.75" customHeight="1" x14ac:dyDescent="0.25">
      <c r="B33" s="75">
        <f>+B29+1</f>
        <v>7</v>
      </c>
      <c r="C33" s="112" t="s">
        <v>248</v>
      </c>
      <c r="D33" s="122" t="s">
        <v>422</v>
      </c>
      <c r="E33" s="109" t="s">
        <v>249</v>
      </c>
      <c r="F33" s="126" t="s">
        <v>122</v>
      </c>
      <c r="G33" s="107">
        <v>28500</v>
      </c>
      <c r="H33" s="107">
        <v>817.94999999999982</v>
      </c>
      <c r="I33" s="84">
        <v>866.40000000000009</v>
      </c>
      <c r="J33" s="77">
        <v>6703.91</v>
      </c>
      <c r="K33" s="77">
        <f>SUM(H33:J33)</f>
        <v>8388.26</v>
      </c>
      <c r="L33" s="78">
        <f>+G33-K33</f>
        <v>20111.739999999998</v>
      </c>
      <c r="M33" s="47"/>
    </row>
    <row r="34" spans="2:13" s="39" customFormat="1" ht="25.5" customHeight="1" x14ac:dyDescent="0.25">
      <c r="B34" s="307" t="s">
        <v>125</v>
      </c>
      <c r="C34" s="308"/>
      <c r="D34" s="308"/>
      <c r="E34" s="308"/>
      <c r="F34" s="309"/>
      <c r="G34" s="37">
        <f t="shared" ref="G34:L34" si="6">SUM(G33:G33)</f>
        <v>28500</v>
      </c>
      <c r="H34" s="37">
        <f t="shared" si="6"/>
        <v>817.94999999999982</v>
      </c>
      <c r="I34" s="37">
        <f t="shared" si="6"/>
        <v>866.40000000000009</v>
      </c>
      <c r="J34" s="37">
        <f t="shared" si="6"/>
        <v>6703.91</v>
      </c>
      <c r="K34" s="37">
        <f t="shared" si="6"/>
        <v>8388.26</v>
      </c>
      <c r="L34" s="37">
        <f t="shared" si="6"/>
        <v>20111.739999999998</v>
      </c>
    </row>
    <row r="35" spans="2:13" s="39" customFormat="1" ht="25.5" customHeight="1" thickBot="1" x14ac:dyDescent="0.3">
      <c r="B35" s="50"/>
      <c r="C35" s="50"/>
      <c r="D35" s="50"/>
      <c r="E35" s="50"/>
      <c r="F35" s="283"/>
      <c r="G35" s="40"/>
      <c r="H35" s="40"/>
      <c r="I35" s="40"/>
      <c r="J35" s="40"/>
      <c r="K35" s="40"/>
      <c r="L35" s="40"/>
    </row>
    <row r="36" spans="2:13" s="39" customFormat="1" ht="30" customHeight="1" thickBot="1" x14ac:dyDescent="0.3">
      <c r="B36" s="313" t="s">
        <v>159</v>
      </c>
      <c r="C36" s="314"/>
      <c r="D36" s="314"/>
      <c r="E36" s="314"/>
      <c r="F36" s="314"/>
      <c r="G36" s="314"/>
      <c r="H36" s="314"/>
      <c r="I36" s="314"/>
      <c r="J36" s="314"/>
      <c r="K36" s="314"/>
      <c r="L36" s="315"/>
    </row>
    <row r="37" spans="2:13" s="53" customFormat="1" ht="30" customHeight="1" x14ac:dyDescent="0.25">
      <c r="B37" s="75">
        <f>+B33+1</f>
        <v>8</v>
      </c>
      <c r="C37" s="112" t="s">
        <v>62</v>
      </c>
      <c r="D37" s="122" t="s">
        <v>422</v>
      </c>
      <c r="E37" s="109" t="s">
        <v>186</v>
      </c>
      <c r="F37" s="126" t="s">
        <v>122</v>
      </c>
      <c r="G37" s="107">
        <v>52000</v>
      </c>
      <c r="H37" s="77">
        <v>1492.4</v>
      </c>
      <c r="I37" s="77">
        <v>1490.21</v>
      </c>
      <c r="J37" s="107">
        <v>12254.35</v>
      </c>
      <c r="K37" s="107">
        <f>SUM(H37:J37)</f>
        <v>15236.960000000001</v>
      </c>
      <c r="L37" s="78">
        <f>+G37-K37</f>
        <v>36763.040000000001</v>
      </c>
      <c r="M37" s="39"/>
    </row>
    <row r="38" spans="2:13" s="39" customFormat="1" ht="30" customHeight="1" x14ac:dyDescent="0.25">
      <c r="B38" s="307" t="s">
        <v>125</v>
      </c>
      <c r="C38" s="308"/>
      <c r="D38" s="308"/>
      <c r="E38" s="308"/>
      <c r="F38" s="309"/>
      <c r="G38" s="37">
        <f t="shared" ref="G38:L38" si="7">SUM(G37:G37)</f>
        <v>52000</v>
      </c>
      <c r="H38" s="37">
        <f t="shared" si="7"/>
        <v>1492.4</v>
      </c>
      <c r="I38" s="37">
        <f t="shared" si="7"/>
        <v>1490.21</v>
      </c>
      <c r="J38" s="37">
        <f t="shared" si="7"/>
        <v>12254.35</v>
      </c>
      <c r="K38" s="37">
        <f t="shared" si="7"/>
        <v>15236.960000000001</v>
      </c>
      <c r="L38" s="37">
        <f t="shared" si="7"/>
        <v>36763.040000000001</v>
      </c>
    </row>
    <row r="39" spans="2:13" s="39" customFormat="1" ht="25.5" customHeight="1" thickBot="1" x14ac:dyDescent="0.3">
      <c r="B39" s="44"/>
      <c r="C39" s="42"/>
      <c r="D39" s="44"/>
      <c r="E39" s="43"/>
      <c r="F39" s="277"/>
      <c r="L39" s="38"/>
    </row>
    <row r="40" spans="2:13" ht="30" customHeight="1" thickBot="1" x14ac:dyDescent="0.3">
      <c r="B40" s="313" t="s">
        <v>160</v>
      </c>
      <c r="C40" s="314"/>
      <c r="D40" s="314"/>
      <c r="E40" s="314"/>
      <c r="F40" s="314"/>
      <c r="G40" s="314"/>
      <c r="H40" s="314"/>
      <c r="I40" s="314"/>
      <c r="J40" s="314"/>
      <c r="K40" s="314"/>
      <c r="L40" s="315"/>
    </row>
    <row r="41" spans="2:13" ht="46.5" customHeight="1" x14ac:dyDescent="0.25">
      <c r="B41" s="80">
        <f>+B37+1</f>
        <v>9</v>
      </c>
      <c r="C41" s="176" t="s">
        <v>530</v>
      </c>
      <c r="D41" s="177" t="s">
        <v>422</v>
      </c>
      <c r="E41" s="109" t="s">
        <v>531</v>
      </c>
      <c r="F41" s="278" t="s">
        <v>121</v>
      </c>
      <c r="G41" s="178">
        <v>45000</v>
      </c>
      <c r="H41" s="154">
        <v>1291.5</v>
      </c>
      <c r="I41" s="154">
        <v>1368</v>
      </c>
      <c r="J41" s="154">
        <v>10585.12</v>
      </c>
      <c r="K41" s="155">
        <f>SUM(H41:J41)</f>
        <v>13244.62</v>
      </c>
      <c r="L41" s="273">
        <f>+G41-K41</f>
        <v>31755.379999999997</v>
      </c>
    </row>
    <row r="42" spans="2:13" ht="30" customHeight="1" x14ac:dyDescent="0.25">
      <c r="B42" s="307" t="s">
        <v>125</v>
      </c>
      <c r="C42" s="308"/>
      <c r="D42" s="308"/>
      <c r="E42" s="308"/>
      <c r="F42" s="309"/>
      <c r="G42" s="37">
        <f t="shared" ref="G42:L42" si="8">SUM(G41:G41)</f>
        <v>45000</v>
      </c>
      <c r="H42" s="37">
        <f t="shared" si="8"/>
        <v>1291.5</v>
      </c>
      <c r="I42" s="37">
        <f t="shared" si="8"/>
        <v>1368</v>
      </c>
      <c r="J42" s="37">
        <f t="shared" si="8"/>
        <v>10585.12</v>
      </c>
      <c r="K42" s="37">
        <f>SUM(K41:K41)</f>
        <v>13244.62</v>
      </c>
      <c r="L42" s="37">
        <f t="shared" si="8"/>
        <v>31755.379999999997</v>
      </c>
    </row>
    <row r="43" spans="2:13" s="39" customFormat="1" ht="32.25" customHeight="1" thickBot="1" x14ac:dyDescent="0.3">
      <c r="B43" s="44"/>
      <c r="C43" s="42"/>
      <c r="D43" s="44"/>
      <c r="E43" s="43"/>
      <c r="F43" s="277"/>
      <c r="L43" s="38"/>
    </row>
    <row r="44" spans="2:13" s="39" customFormat="1" ht="32.25" customHeight="1" thickBot="1" x14ac:dyDescent="0.3">
      <c r="B44" s="313" t="s">
        <v>163</v>
      </c>
      <c r="C44" s="314"/>
      <c r="D44" s="314"/>
      <c r="E44" s="314"/>
      <c r="F44" s="314"/>
      <c r="G44" s="314"/>
      <c r="H44" s="314"/>
      <c r="I44" s="314"/>
      <c r="J44" s="314"/>
      <c r="K44" s="314"/>
      <c r="L44" s="315"/>
    </row>
    <row r="45" spans="2:13" s="87" customFormat="1" ht="30" customHeight="1" x14ac:dyDescent="0.25">
      <c r="B45" s="122">
        <f>+B41+1</f>
        <v>10</v>
      </c>
      <c r="C45" s="112" t="s">
        <v>544</v>
      </c>
      <c r="D45" s="122" t="s">
        <v>422</v>
      </c>
      <c r="E45" s="123" t="s">
        <v>187</v>
      </c>
      <c r="F45" s="278" t="s">
        <v>121</v>
      </c>
      <c r="G45" s="107">
        <v>50000</v>
      </c>
      <c r="H45" s="82">
        <v>1435</v>
      </c>
      <c r="I45" s="82">
        <v>1520</v>
      </c>
      <c r="J45" s="82">
        <v>11761.25</v>
      </c>
      <c r="K45" s="77">
        <f>SUM(H45:J45)</f>
        <v>14716.25</v>
      </c>
      <c r="L45" s="78">
        <f>+G45-K45</f>
        <v>35283.75</v>
      </c>
      <c r="M45" s="47"/>
    </row>
    <row r="46" spans="2:13" s="39" customFormat="1" ht="30" customHeight="1" x14ac:dyDescent="0.25">
      <c r="B46" s="307" t="s">
        <v>125</v>
      </c>
      <c r="C46" s="308"/>
      <c r="D46" s="308"/>
      <c r="E46" s="308"/>
      <c r="F46" s="309"/>
      <c r="G46" s="37">
        <f t="shared" ref="G46:L46" si="9">SUM(G45:G45)</f>
        <v>50000</v>
      </c>
      <c r="H46" s="37">
        <f t="shared" si="9"/>
        <v>1435</v>
      </c>
      <c r="I46" s="37">
        <f t="shared" si="9"/>
        <v>1520</v>
      </c>
      <c r="J46" s="37">
        <f t="shared" si="9"/>
        <v>11761.25</v>
      </c>
      <c r="K46" s="37">
        <f t="shared" si="9"/>
        <v>14716.25</v>
      </c>
      <c r="L46" s="37">
        <f t="shared" si="9"/>
        <v>35283.75</v>
      </c>
    </row>
    <row r="47" spans="2:13" ht="26.25" customHeight="1" thickBot="1" x14ac:dyDescent="0.25"/>
    <row r="48" spans="2:13" s="39" customFormat="1" ht="28.5" customHeight="1" thickBot="1" x14ac:dyDescent="0.3">
      <c r="B48" s="313" t="s">
        <v>165</v>
      </c>
      <c r="C48" s="314"/>
      <c r="D48" s="314"/>
      <c r="E48" s="314"/>
      <c r="F48" s="314"/>
      <c r="G48" s="314"/>
      <c r="H48" s="314"/>
      <c r="I48" s="314"/>
      <c r="J48" s="314"/>
      <c r="K48" s="314"/>
      <c r="L48" s="315"/>
    </row>
    <row r="49" spans="2:13" s="53" customFormat="1" ht="30" customHeight="1" x14ac:dyDescent="0.25">
      <c r="B49" s="122">
        <f>+B45+1</f>
        <v>11</v>
      </c>
      <c r="C49" s="112" t="s">
        <v>65</v>
      </c>
      <c r="D49" s="122" t="s">
        <v>422</v>
      </c>
      <c r="E49" s="179" t="s">
        <v>188</v>
      </c>
      <c r="F49" s="126" t="s">
        <v>122</v>
      </c>
      <c r="G49" s="107">
        <v>34750</v>
      </c>
      <c r="H49" s="77">
        <v>997.32499999999982</v>
      </c>
      <c r="I49" s="77">
        <v>965.81</v>
      </c>
      <c r="J49" s="77">
        <v>8196.7199999999993</v>
      </c>
      <c r="K49" s="77">
        <f>SUM(H49:J49)</f>
        <v>10159.855</v>
      </c>
      <c r="L49" s="78">
        <f>+G49-K49</f>
        <v>24590.145</v>
      </c>
      <c r="M49" s="39"/>
    </row>
    <row r="50" spans="2:13" s="39" customFormat="1" ht="30" customHeight="1" x14ac:dyDescent="0.25">
      <c r="B50" s="307" t="s">
        <v>125</v>
      </c>
      <c r="C50" s="308"/>
      <c r="D50" s="308"/>
      <c r="E50" s="308"/>
      <c r="F50" s="309"/>
      <c r="G50" s="37">
        <f t="shared" ref="G50:L50" si="10">SUM(G49:G49)</f>
        <v>34750</v>
      </c>
      <c r="H50" s="37">
        <f t="shared" si="10"/>
        <v>997.32499999999982</v>
      </c>
      <c r="I50" s="37">
        <f t="shared" si="10"/>
        <v>965.81</v>
      </c>
      <c r="J50" s="37">
        <f t="shared" si="10"/>
        <v>8196.7199999999993</v>
      </c>
      <c r="K50" s="37">
        <f t="shared" si="10"/>
        <v>10159.855</v>
      </c>
      <c r="L50" s="37">
        <f t="shared" si="10"/>
        <v>24590.145</v>
      </c>
    </row>
    <row r="51" spans="2:13" customFormat="1" ht="33.75" customHeight="1" thickBot="1" x14ac:dyDescent="0.25">
      <c r="D51" s="136"/>
      <c r="F51" s="275"/>
      <c r="M51" s="201"/>
    </row>
    <row r="52" spans="2:13" customFormat="1" ht="33.75" customHeight="1" thickBot="1" x14ac:dyDescent="0.3">
      <c r="B52" s="313" t="s">
        <v>169</v>
      </c>
      <c r="C52" s="314"/>
      <c r="D52" s="314"/>
      <c r="E52" s="314"/>
      <c r="F52" s="314"/>
      <c r="G52" s="314"/>
      <c r="H52" s="314"/>
      <c r="I52" s="314"/>
      <c r="J52" s="314"/>
      <c r="K52" s="314"/>
      <c r="L52" s="315"/>
      <c r="M52" s="201"/>
    </row>
    <row r="53" spans="2:13" customFormat="1" ht="33.75" customHeight="1" x14ac:dyDescent="0.25">
      <c r="B53" s="36">
        <f>+B49+1</f>
        <v>12</v>
      </c>
      <c r="C53" s="108" t="s">
        <v>482</v>
      </c>
      <c r="D53" s="36" t="s">
        <v>421</v>
      </c>
      <c r="E53" s="109" t="s">
        <v>483</v>
      </c>
      <c r="F53" s="126" t="s">
        <v>198</v>
      </c>
      <c r="G53" s="110">
        <v>55000</v>
      </c>
      <c r="H53" s="82">
        <v>1578.5</v>
      </c>
      <c r="I53" s="82">
        <v>1672</v>
      </c>
      <c r="J53" s="82">
        <v>12937.38</v>
      </c>
      <c r="K53" s="77">
        <f>SUM(H53:J53)</f>
        <v>16187.88</v>
      </c>
      <c r="L53" s="78">
        <f>+G53-K53</f>
        <v>38812.120000000003</v>
      </c>
      <c r="M53" s="201"/>
    </row>
    <row r="54" spans="2:13" customFormat="1" ht="33.75" customHeight="1" x14ac:dyDescent="0.25">
      <c r="B54" s="307" t="s">
        <v>125</v>
      </c>
      <c r="C54" s="308"/>
      <c r="D54" s="308"/>
      <c r="E54" s="308"/>
      <c r="F54" s="309"/>
      <c r="G54" s="37">
        <f t="shared" ref="G54:L54" si="11">SUM(G53:G53)</f>
        <v>55000</v>
      </c>
      <c r="H54" s="37">
        <f t="shared" si="11"/>
        <v>1578.5</v>
      </c>
      <c r="I54" s="37">
        <f t="shared" si="11"/>
        <v>1672</v>
      </c>
      <c r="J54" s="37">
        <f t="shared" si="11"/>
        <v>12937.38</v>
      </c>
      <c r="K54" s="37">
        <f t="shared" si="11"/>
        <v>16187.88</v>
      </c>
      <c r="L54" s="37">
        <f t="shared" si="11"/>
        <v>38812.120000000003</v>
      </c>
      <c r="M54" s="201"/>
    </row>
    <row r="55" spans="2:13" customFormat="1" ht="33.75" customHeight="1" thickBot="1" x14ac:dyDescent="0.25">
      <c r="D55" s="136"/>
      <c r="F55" s="275"/>
      <c r="M55" s="201"/>
    </row>
    <row r="56" spans="2:13" s="39" customFormat="1" ht="30" customHeight="1" thickBot="1" x14ac:dyDescent="0.3">
      <c r="B56" s="313" t="s">
        <v>170</v>
      </c>
      <c r="C56" s="314"/>
      <c r="D56" s="314"/>
      <c r="E56" s="314"/>
      <c r="F56" s="314"/>
      <c r="G56" s="314"/>
      <c r="H56" s="314"/>
      <c r="I56" s="314"/>
      <c r="J56" s="314"/>
      <c r="K56" s="314"/>
      <c r="L56" s="315"/>
    </row>
    <row r="57" spans="2:13" s="53" customFormat="1" ht="30" customHeight="1" x14ac:dyDescent="0.25">
      <c r="B57" s="36">
        <f>+B53+1</f>
        <v>13</v>
      </c>
      <c r="C57" s="108" t="s">
        <v>196</v>
      </c>
      <c r="D57" s="36" t="s">
        <v>421</v>
      </c>
      <c r="E57" s="109" t="s">
        <v>264</v>
      </c>
      <c r="F57" s="126" t="s">
        <v>122</v>
      </c>
      <c r="G57" s="110">
        <v>55000</v>
      </c>
      <c r="H57" s="82">
        <v>1578.5</v>
      </c>
      <c r="I57" s="82">
        <v>1672</v>
      </c>
      <c r="J57" s="82">
        <v>12930.32</v>
      </c>
      <c r="K57" s="77">
        <f>SUM(H57:J57)</f>
        <v>16180.82</v>
      </c>
      <c r="L57" s="78">
        <f>+G57-K57</f>
        <v>38819.18</v>
      </c>
      <c r="M57" s="39"/>
    </row>
    <row r="58" spans="2:13" s="47" customFormat="1" ht="30" customHeight="1" thickBot="1" x14ac:dyDescent="0.3">
      <c r="B58" s="307" t="s">
        <v>125</v>
      </c>
      <c r="C58" s="308"/>
      <c r="D58" s="308"/>
      <c r="E58" s="308"/>
      <c r="F58" s="309"/>
      <c r="G58" s="37">
        <f t="shared" ref="G58:L58" si="12">SUM(G57:G57)</f>
        <v>55000</v>
      </c>
      <c r="H58" s="37">
        <f t="shared" si="12"/>
        <v>1578.5</v>
      </c>
      <c r="I58" s="37">
        <f t="shared" si="12"/>
        <v>1672</v>
      </c>
      <c r="J58" s="37">
        <f t="shared" si="12"/>
        <v>12930.32</v>
      </c>
      <c r="K58" s="37">
        <f t="shared" si="12"/>
        <v>16180.82</v>
      </c>
      <c r="L58" s="37">
        <f t="shared" si="12"/>
        <v>38819.18</v>
      </c>
    </row>
    <row r="59" spans="2:13" s="39" customFormat="1" ht="31.5" customHeight="1" thickBot="1" x14ac:dyDescent="0.3">
      <c r="B59" s="313" t="s">
        <v>532</v>
      </c>
      <c r="C59" s="314"/>
      <c r="D59" s="314"/>
      <c r="E59" s="314"/>
      <c r="F59" s="314"/>
      <c r="G59" s="314"/>
      <c r="H59" s="314"/>
      <c r="I59" s="314"/>
      <c r="J59" s="314"/>
      <c r="K59" s="314"/>
      <c r="L59" s="315"/>
    </row>
    <row r="60" spans="2:13" s="39" customFormat="1" ht="31.5" customHeight="1" x14ac:dyDescent="0.25">
      <c r="B60" s="36">
        <f>+B57+1</f>
        <v>14</v>
      </c>
      <c r="C60" s="108" t="s">
        <v>102</v>
      </c>
      <c r="D60" s="36" t="s">
        <v>422</v>
      </c>
      <c r="E60" s="109" t="s">
        <v>533</v>
      </c>
      <c r="F60" s="184" t="s">
        <v>198</v>
      </c>
      <c r="G60" s="110">
        <v>45000</v>
      </c>
      <c r="H60" s="82">
        <v>1291.5</v>
      </c>
      <c r="I60" s="82">
        <v>1368</v>
      </c>
      <c r="J60" s="82">
        <v>10585.13</v>
      </c>
      <c r="K60" s="77">
        <f>SUM(H60:J60)</f>
        <v>13244.63</v>
      </c>
      <c r="L60" s="78">
        <f>+G60-K60</f>
        <v>31755.370000000003</v>
      </c>
    </row>
    <row r="61" spans="2:13" s="39" customFormat="1" ht="31.5" customHeight="1" x14ac:dyDescent="0.25">
      <c r="B61" s="307" t="s">
        <v>125</v>
      </c>
      <c r="C61" s="308"/>
      <c r="D61" s="308"/>
      <c r="E61" s="308"/>
      <c r="F61" s="309"/>
      <c r="G61" s="37">
        <f t="shared" ref="G61:L61" si="13">SUM(G60:G60)</f>
        <v>45000</v>
      </c>
      <c r="H61" s="37">
        <f t="shared" si="13"/>
        <v>1291.5</v>
      </c>
      <c r="I61" s="37">
        <f t="shared" si="13"/>
        <v>1368</v>
      </c>
      <c r="J61" s="37">
        <f t="shared" si="13"/>
        <v>10585.13</v>
      </c>
      <c r="K61" s="37">
        <f t="shared" si="13"/>
        <v>13244.63</v>
      </c>
      <c r="L61" s="37">
        <f t="shared" si="13"/>
        <v>31755.370000000003</v>
      </c>
    </row>
    <row r="62" spans="2:13" s="39" customFormat="1" ht="31.5" customHeight="1" thickBot="1" x14ac:dyDescent="0.3">
      <c r="B62" s="4"/>
      <c r="C62" s="23"/>
      <c r="D62" s="4"/>
      <c r="E62" s="23"/>
      <c r="F62" s="279"/>
      <c r="G62" s="2"/>
      <c r="H62" s="1"/>
      <c r="I62" s="1"/>
      <c r="J62" s="1"/>
      <c r="K62" s="1"/>
      <c r="L62" s="1"/>
    </row>
    <row r="63" spans="2:13" s="53" customFormat="1" ht="28.5" customHeight="1" thickBot="1" x14ac:dyDescent="0.3">
      <c r="B63" s="313" t="s">
        <v>173</v>
      </c>
      <c r="C63" s="314"/>
      <c r="D63" s="314"/>
      <c r="E63" s="314"/>
      <c r="F63" s="314"/>
      <c r="G63" s="314"/>
      <c r="H63" s="314"/>
      <c r="I63" s="314"/>
      <c r="J63" s="314"/>
      <c r="K63" s="314"/>
      <c r="L63" s="315"/>
      <c r="M63" s="39"/>
    </row>
    <row r="64" spans="2:13" s="53" customFormat="1" ht="30" customHeight="1" x14ac:dyDescent="0.25">
      <c r="B64" s="75">
        <f>B60+1</f>
        <v>15</v>
      </c>
      <c r="C64" s="112" t="s">
        <v>272</v>
      </c>
      <c r="D64" s="122" t="s">
        <v>421</v>
      </c>
      <c r="E64" s="123" t="s">
        <v>273</v>
      </c>
      <c r="F64" s="126" t="s">
        <v>122</v>
      </c>
      <c r="G64" s="107">
        <v>28500</v>
      </c>
      <c r="H64" s="82">
        <v>817.94999999999982</v>
      </c>
      <c r="I64" s="82">
        <v>866.40000000000009</v>
      </c>
      <c r="J64" s="82">
        <v>6703.91</v>
      </c>
      <c r="K64" s="77">
        <f>SUM(H64:J64)</f>
        <v>8388.26</v>
      </c>
      <c r="L64" s="78">
        <f>+G64-K64</f>
        <v>20111.739999999998</v>
      </c>
      <c r="M64" s="39"/>
    </row>
    <row r="65" spans="2:13" ht="29.25" customHeight="1" x14ac:dyDescent="0.25">
      <c r="B65" s="307" t="s">
        <v>125</v>
      </c>
      <c r="C65" s="308"/>
      <c r="D65" s="308"/>
      <c r="E65" s="308"/>
      <c r="F65" s="309"/>
      <c r="G65" s="37">
        <f t="shared" ref="G65:L65" si="14">SUM(G64:G64)</f>
        <v>28500</v>
      </c>
      <c r="H65" s="37">
        <f t="shared" si="14"/>
        <v>817.94999999999982</v>
      </c>
      <c r="I65" s="37">
        <f t="shared" si="14"/>
        <v>866.40000000000009</v>
      </c>
      <c r="J65" s="37">
        <f t="shared" si="14"/>
        <v>6703.91</v>
      </c>
      <c r="K65" s="37">
        <f t="shared" si="14"/>
        <v>8388.26</v>
      </c>
      <c r="L65" s="37">
        <f t="shared" si="14"/>
        <v>20111.739999999998</v>
      </c>
    </row>
    <row r="66" spans="2:13" ht="29.25" customHeight="1" thickBot="1" x14ac:dyDescent="0.3">
      <c r="B66" s="50"/>
      <c r="C66" s="50"/>
      <c r="D66" s="50"/>
      <c r="E66" s="50"/>
      <c r="F66" s="283"/>
      <c r="G66" s="40"/>
      <c r="H66" s="40"/>
      <c r="I66" s="40"/>
      <c r="J66" s="40"/>
      <c r="K66" s="40"/>
      <c r="L66" s="40"/>
    </row>
    <row r="67" spans="2:13" s="53" customFormat="1" ht="30" customHeight="1" thickBot="1" x14ac:dyDescent="0.3">
      <c r="B67" s="310" t="s">
        <v>174</v>
      </c>
      <c r="C67" s="311"/>
      <c r="D67" s="311"/>
      <c r="E67" s="311"/>
      <c r="F67" s="311"/>
      <c r="G67" s="311"/>
      <c r="H67" s="311"/>
      <c r="I67" s="311"/>
      <c r="J67" s="311"/>
      <c r="K67" s="311"/>
      <c r="L67" s="312"/>
      <c r="M67" s="39"/>
    </row>
    <row r="68" spans="2:13" s="47" customFormat="1" ht="37.5" customHeight="1" x14ac:dyDescent="0.25">
      <c r="B68" s="80">
        <f>+B64+1</f>
        <v>16</v>
      </c>
      <c r="C68" s="108" t="s">
        <v>72</v>
      </c>
      <c r="D68" s="36" t="s">
        <v>422</v>
      </c>
      <c r="E68" s="109" t="s">
        <v>201</v>
      </c>
      <c r="F68" s="126" t="s">
        <v>122</v>
      </c>
      <c r="G68" s="110">
        <v>41500</v>
      </c>
      <c r="H68" s="82">
        <v>1191.0500000000002</v>
      </c>
      <c r="I68" s="82">
        <v>1171.01</v>
      </c>
      <c r="J68" s="82">
        <v>9784.49</v>
      </c>
      <c r="K68" s="77">
        <f>SUM(H68:J68)</f>
        <v>12146.55</v>
      </c>
      <c r="L68" s="84">
        <f>+G68-K68</f>
        <v>29353.45</v>
      </c>
    </row>
    <row r="69" spans="2:13" customFormat="1" ht="27" customHeight="1" x14ac:dyDescent="0.25">
      <c r="B69" s="307" t="s">
        <v>125</v>
      </c>
      <c r="C69" s="308"/>
      <c r="D69" s="308"/>
      <c r="E69" s="308"/>
      <c r="F69" s="309"/>
      <c r="G69" s="37">
        <f>SUM(G68)</f>
        <v>41500</v>
      </c>
      <c r="H69" s="37">
        <f t="shared" ref="H69:L69" si="15">SUM(H67:H68)</f>
        <v>1191.0500000000002</v>
      </c>
      <c r="I69" s="37">
        <f t="shared" si="15"/>
        <v>1171.01</v>
      </c>
      <c r="J69" s="37">
        <f t="shared" si="15"/>
        <v>9784.49</v>
      </c>
      <c r="K69" s="37">
        <f t="shared" si="15"/>
        <v>12146.55</v>
      </c>
      <c r="L69" s="37">
        <f t="shared" si="15"/>
        <v>29353.45</v>
      </c>
      <c r="M69" s="201"/>
    </row>
    <row r="70" spans="2:13" customFormat="1" ht="27" customHeight="1" thickBot="1" x14ac:dyDescent="0.3">
      <c r="B70" s="50"/>
      <c r="C70" s="50"/>
      <c r="D70" s="50"/>
      <c r="E70" s="50"/>
      <c r="F70" s="283"/>
      <c r="G70" s="86"/>
      <c r="H70" s="86"/>
      <c r="I70" s="86"/>
      <c r="J70" s="86"/>
      <c r="K70" s="86"/>
      <c r="L70" s="86"/>
      <c r="M70" s="201"/>
    </row>
    <row r="71" spans="2:13" s="53" customFormat="1" ht="30" customHeight="1" thickBot="1" x14ac:dyDescent="0.3">
      <c r="B71" s="310" t="s">
        <v>655</v>
      </c>
      <c r="C71" s="311"/>
      <c r="D71" s="311"/>
      <c r="E71" s="311"/>
      <c r="F71" s="311"/>
      <c r="G71" s="311"/>
      <c r="H71" s="311"/>
      <c r="I71" s="311"/>
      <c r="J71" s="311"/>
      <c r="K71" s="311"/>
      <c r="L71" s="312"/>
      <c r="M71" s="39"/>
    </row>
    <row r="72" spans="2:13" s="47" customFormat="1" ht="37.5" customHeight="1" x14ac:dyDescent="0.25">
      <c r="B72" s="80">
        <f>+B68+1</f>
        <v>17</v>
      </c>
      <c r="C72" s="108" t="s">
        <v>656</v>
      </c>
      <c r="D72" s="36" t="s">
        <v>422</v>
      </c>
      <c r="E72" s="240" t="s">
        <v>657</v>
      </c>
      <c r="F72" s="126" t="s">
        <v>658</v>
      </c>
      <c r="G72" s="110">
        <v>45000</v>
      </c>
      <c r="H72" s="82">
        <v>1291.5</v>
      </c>
      <c r="I72" s="82">
        <v>1368</v>
      </c>
      <c r="J72" s="82">
        <v>10585.13</v>
      </c>
      <c r="K72" s="77">
        <f>SUM(H72:J72)</f>
        <v>13244.63</v>
      </c>
      <c r="L72" s="84">
        <f>+G72-K72</f>
        <v>31755.370000000003</v>
      </c>
    </row>
    <row r="73" spans="2:13" customFormat="1" ht="27" customHeight="1" x14ac:dyDescent="0.25">
      <c r="B73" s="307" t="s">
        <v>125</v>
      </c>
      <c r="C73" s="308"/>
      <c r="D73" s="308"/>
      <c r="E73" s="308"/>
      <c r="F73" s="309"/>
      <c r="G73" s="37">
        <f>SUM(G72)</f>
        <v>45000</v>
      </c>
      <c r="H73" s="37">
        <f t="shared" ref="H73:L73" si="16">SUM(H71:H72)</f>
        <v>1291.5</v>
      </c>
      <c r="I73" s="37">
        <f t="shared" si="16"/>
        <v>1368</v>
      </c>
      <c r="J73" s="37">
        <f t="shared" si="16"/>
        <v>10585.13</v>
      </c>
      <c r="K73" s="37">
        <f t="shared" si="16"/>
        <v>13244.63</v>
      </c>
      <c r="L73" s="37">
        <f t="shared" si="16"/>
        <v>31755.370000000003</v>
      </c>
      <c r="M73" s="201"/>
    </row>
    <row r="74" spans="2:13" customFormat="1" ht="27" customHeight="1" thickBot="1" x14ac:dyDescent="0.3">
      <c r="B74" s="50"/>
      <c r="C74" s="50"/>
      <c r="D74" s="50"/>
      <c r="E74" s="50"/>
      <c r="F74" s="283"/>
      <c r="G74" s="86"/>
      <c r="H74" s="86"/>
      <c r="I74" s="86"/>
      <c r="J74" s="86"/>
      <c r="K74" s="86"/>
      <c r="L74" s="86"/>
      <c r="M74" s="201"/>
    </row>
    <row r="75" spans="2:13" s="53" customFormat="1" ht="27" customHeight="1" thickBot="1" x14ac:dyDescent="0.3">
      <c r="B75" s="310" t="s">
        <v>91</v>
      </c>
      <c r="C75" s="311"/>
      <c r="D75" s="311"/>
      <c r="E75" s="311"/>
      <c r="F75" s="311"/>
      <c r="G75" s="311"/>
      <c r="H75" s="311"/>
      <c r="I75" s="311"/>
      <c r="J75" s="311"/>
      <c r="K75" s="311"/>
      <c r="L75" s="312"/>
      <c r="M75" s="39"/>
    </row>
    <row r="76" spans="2:13" s="53" customFormat="1" ht="30" customHeight="1" x14ac:dyDescent="0.25">
      <c r="B76" s="75">
        <f>+B72+1</f>
        <v>18</v>
      </c>
      <c r="C76" s="112" t="s">
        <v>281</v>
      </c>
      <c r="D76" s="122" t="s">
        <v>422</v>
      </c>
      <c r="E76" s="123" t="s">
        <v>282</v>
      </c>
      <c r="F76" s="126" t="s">
        <v>122</v>
      </c>
      <c r="G76" s="107">
        <v>29500</v>
      </c>
      <c r="H76" s="82">
        <v>846.64999999999964</v>
      </c>
      <c r="I76" s="77">
        <v>502.21</v>
      </c>
      <c r="J76" s="82">
        <v>7037.79</v>
      </c>
      <c r="K76" s="77">
        <f>SUM(H76:J76)</f>
        <v>8386.65</v>
      </c>
      <c r="L76" s="84">
        <f>+G76-K76</f>
        <v>21113.35</v>
      </c>
      <c r="M76" s="39"/>
    </row>
    <row r="77" spans="2:13" s="53" customFormat="1" ht="31.5" x14ac:dyDescent="0.25">
      <c r="B77" s="36">
        <f>+B76+1</f>
        <v>19</v>
      </c>
      <c r="C77" s="108" t="s">
        <v>14</v>
      </c>
      <c r="D77" s="36" t="s">
        <v>422</v>
      </c>
      <c r="E77" s="109" t="s">
        <v>517</v>
      </c>
      <c r="F77" s="126" t="s">
        <v>198</v>
      </c>
      <c r="G77" s="110">
        <v>5000</v>
      </c>
      <c r="H77" s="82">
        <v>143.5</v>
      </c>
      <c r="I77" s="82">
        <v>152</v>
      </c>
      <c r="J77" s="82">
        <v>1176.130000000001</v>
      </c>
      <c r="K77" s="77">
        <f>SUM(H77:J77)</f>
        <v>1471.630000000001</v>
      </c>
      <c r="L77" s="78">
        <f>+G77-K77</f>
        <v>3528.369999999999</v>
      </c>
      <c r="M77" s="39"/>
    </row>
    <row r="78" spans="2:13" s="39" customFormat="1" ht="25.5" customHeight="1" x14ac:dyDescent="0.25">
      <c r="B78" s="307" t="s">
        <v>125</v>
      </c>
      <c r="C78" s="308"/>
      <c r="D78" s="308"/>
      <c r="E78" s="308"/>
      <c r="F78" s="309"/>
      <c r="G78" s="37">
        <f>SUM(G76:G77)</f>
        <v>34500</v>
      </c>
      <c r="H78" s="37">
        <f t="shared" ref="H78:L78" si="17">SUM(H76:H77)</f>
        <v>990.14999999999964</v>
      </c>
      <c r="I78" s="37">
        <f t="shared" si="17"/>
        <v>654.21</v>
      </c>
      <c r="J78" s="37">
        <f t="shared" si="17"/>
        <v>8213.9200000000019</v>
      </c>
      <c r="K78" s="37">
        <f t="shared" si="17"/>
        <v>9858.2800000000007</v>
      </c>
      <c r="L78" s="37">
        <f t="shared" si="17"/>
        <v>24641.719999999998</v>
      </c>
    </row>
    <row r="79" spans="2:13" s="39" customFormat="1" ht="25.5" customHeight="1" thickBot="1" x14ac:dyDescent="0.3">
      <c r="B79" s="50"/>
      <c r="C79" s="50"/>
      <c r="D79" s="50"/>
      <c r="E79" s="50"/>
      <c r="F79" s="283"/>
      <c r="G79" s="40"/>
      <c r="H79" s="40"/>
      <c r="I79" s="40"/>
      <c r="J79" s="40"/>
      <c r="K79" s="40"/>
      <c r="L79" s="40"/>
    </row>
    <row r="80" spans="2:13" s="39" customFormat="1" ht="25.5" customHeight="1" thickBot="1" x14ac:dyDescent="0.3">
      <c r="B80" s="313" t="s">
        <v>534</v>
      </c>
      <c r="C80" s="314"/>
      <c r="D80" s="314"/>
      <c r="E80" s="314"/>
      <c r="F80" s="314"/>
      <c r="G80" s="314"/>
      <c r="H80" s="314"/>
      <c r="I80" s="314"/>
      <c r="J80" s="314"/>
      <c r="K80" s="314"/>
      <c r="L80" s="315"/>
    </row>
    <row r="81" spans="2:13" s="39" customFormat="1" ht="30" customHeight="1" x14ac:dyDescent="0.25">
      <c r="B81" s="36">
        <f>B77+1</f>
        <v>20</v>
      </c>
      <c r="C81" s="108" t="s">
        <v>535</v>
      </c>
      <c r="D81" s="36" t="s">
        <v>422</v>
      </c>
      <c r="E81" s="179" t="s">
        <v>536</v>
      </c>
      <c r="F81" s="126" t="s">
        <v>198</v>
      </c>
      <c r="G81" s="82">
        <v>85000</v>
      </c>
      <c r="H81" s="82">
        <v>2439.5</v>
      </c>
      <c r="I81" s="82">
        <v>2584</v>
      </c>
      <c r="J81" s="190">
        <v>19994.13</v>
      </c>
      <c r="K81" s="77">
        <f>SUM(H81:J81)</f>
        <v>25017.63</v>
      </c>
      <c r="L81" s="78">
        <f>+G81-K81</f>
        <v>59982.369999999995</v>
      </c>
    </row>
    <row r="82" spans="2:13" s="39" customFormat="1" ht="30" customHeight="1" x14ac:dyDescent="0.25">
      <c r="B82" s="36">
        <f>+B81+1</f>
        <v>21</v>
      </c>
      <c r="C82" s="108" t="s">
        <v>567</v>
      </c>
      <c r="D82" s="36" t="s">
        <v>422</v>
      </c>
      <c r="E82" s="109" t="s">
        <v>568</v>
      </c>
      <c r="F82" s="126" t="s">
        <v>122</v>
      </c>
      <c r="G82" s="82">
        <v>20000</v>
      </c>
      <c r="H82" s="82">
        <v>574</v>
      </c>
      <c r="I82" s="82">
        <v>608</v>
      </c>
      <c r="J82" s="190">
        <v>3435.58</v>
      </c>
      <c r="K82" s="77">
        <f>SUM(H82:J82)</f>
        <v>4617.58</v>
      </c>
      <c r="L82" s="78">
        <f>+G82-K82</f>
        <v>15382.42</v>
      </c>
    </row>
    <row r="83" spans="2:13" s="39" customFormat="1" ht="25.5" customHeight="1" x14ac:dyDescent="0.25">
      <c r="B83" s="307" t="s">
        <v>125</v>
      </c>
      <c r="C83" s="308"/>
      <c r="D83" s="308"/>
      <c r="E83" s="308"/>
      <c r="F83" s="309"/>
      <c r="G83" s="37">
        <f>SUM(G81:G82)</f>
        <v>105000</v>
      </c>
      <c r="H83" s="37">
        <f t="shared" ref="H83:L83" si="18">SUM(H81:H82)</f>
        <v>3013.5</v>
      </c>
      <c r="I83" s="37">
        <f t="shared" si="18"/>
        <v>3192</v>
      </c>
      <c r="J83" s="37">
        <f t="shared" si="18"/>
        <v>23429.71</v>
      </c>
      <c r="K83" s="37">
        <f t="shared" si="18"/>
        <v>29635.21</v>
      </c>
      <c r="L83" s="37">
        <f t="shared" si="18"/>
        <v>75364.789999999994</v>
      </c>
    </row>
    <row r="84" spans="2:13" s="39" customFormat="1" ht="25.5" customHeight="1" thickBot="1" x14ac:dyDescent="0.3">
      <c r="B84" s="50"/>
      <c r="C84" s="50"/>
      <c r="D84" s="50"/>
      <c r="E84" s="50"/>
      <c r="F84" s="283"/>
      <c r="G84" s="40"/>
      <c r="H84" s="40"/>
      <c r="I84" s="40"/>
      <c r="J84" s="40"/>
      <c r="K84" s="40"/>
      <c r="L84" s="40"/>
    </row>
    <row r="85" spans="2:13" s="39" customFormat="1" ht="25.5" customHeight="1" thickBot="1" x14ac:dyDescent="0.3">
      <c r="B85" s="313" t="s">
        <v>92</v>
      </c>
      <c r="C85" s="314"/>
      <c r="D85" s="314"/>
      <c r="E85" s="314"/>
      <c r="F85" s="314"/>
      <c r="G85" s="314"/>
      <c r="H85" s="314"/>
      <c r="I85" s="314"/>
      <c r="J85" s="314"/>
      <c r="K85" s="314"/>
      <c r="L85" s="315"/>
    </row>
    <row r="86" spans="2:13" s="39" customFormat="1" ht="31.5" customHeight="1" x14ac:dyDescent="0.25">
      <c r="B86" s="36">
        <f>+B82+1</f>
        <v>22</v>
      </c>
      <c r="C86" s="108" t="s">
        <v>486</v>
      </c>
      <c r="D86" s="36" t="s">
        <v>422</v>
      </c>
      <c r="E86" s="109" t="s">
        <v>487</v>
      </c>
      <c r="F86" s="126" t="s">
        <v>198</v>
      </c>
      <c r="G86" s="110">
        <v>90000</v>
      </c>
      <c r="H86" s="82">
        <v>2583</v>
      </c>
      <c r="I86" s="82">
        <v>2736</v>
      </c>
      <c r="J86" s="159">
        <v>21170.25</v>
      </c>
      <c r="K86" s="77">
        <f>SUM(H86:J86)</f>
        <v>26489.25</v>
      </c>
      <c r="L86" s="78">
        <f>+G86-K86</f>
        <v>63510.75</v>
      </c>
    </row>
    <row r="87" spans="2:13" s="39" customFormat="1" ht="30" customHeight="1" x14ac:dyDescent="0.25">
      <c r="B87" s="36">
        <f>+B86+1</f>
        <v>23</v>
      </c>
      <c r="C87" s="108" t="s">
        <v>138</v>
      </c>
      <c r="D87" s="36" t="s">
        <v>422</v>
      </c>
      <c r="E87" s="109" t="s">
        <v>569</v>
      </c>
      <c r="F87" s="126" t="s">
        <v>121</v>
      </c>
      <c r="G87" s="110">
        <v>25000</v>
      </c>
      <c r="H87" s="110">
        <v>717.5</v>
      </c>
      <c r="I87" s="110">
        <v>760</v>
      </c>
      <c r="J87" s="110">
        <v>4220.12</v>
      </c>
      <c r="K87" s="107">
        <f>SUM(H87:J87)</f>
        <v>5697.62</v>
      </c>
      <c r="L87" s="78">
        <f>+G87-K87</f>
        <v>19302.38</v>
      </c>
      <c r="M87" s="38"/>
    </row>
    <row r="88" spans="2:13" s="39" customFormat="1" ht="25.5" customHeight="1" x14ac:dyDescent="0.25">
      <c r="B88" s="307" t="s">
        <v>125</v>
      </c>
      <c r="C88" s="308"/>
      <c r="D88" s="308"/>
      <c r="E88" s="308"/>
      <c r="F88" s="309"/>
      <c r="G88" s="37">
        <f>SUM(G86:G87)</f>
        <v>115000</v>
      </c>
      <c r="H88" s="37">
        <f t="shared" ref="H88:L88" si="19">SUM(H86:H87)</f>
        <v>3300.5</v>
      </c>
      <c r="I88" s="37">
        <f t="shared" si="19"/>
        <v>3496</v>
      </c>
      <c r="J88" s="37">
        <f t="shared" si="19"/>
        <v>25390.37</v>
      </c>
      <c r="K88" s="37">
        <f t="shared" si="19"/>
        <v>32186.87</v>
      </c>
      <c r="L88" s="37">
        <f t="shared" si="19"/>
        <v>82813.13</v>
      </c>
    </row>
    <row r="89" spans="2:13" s="39" customFormat="1" ht="25.5" customHeight="1" thickBot="1" x14ac:dyDescent="0.3">
      <c r="B89" s="50"/>
      <c r="C89" s="50"/>
      <c r="D89" s="50"/>
      <c r="E89" s="50"/>
      <c r="F89" s="283"/>
      <c r="G89" s="40"/>
      <c r="H89" s="40"/>
      <c r="I89" s="40"/>
      <c r="J89" s="40"/>
      <c r="K89" s="40"/>
      <c r="L89" s="40"/>
    </row>
    <row r="90" spans="2:13" s="39" customFormat="1" ht="25.5" customHeight="1" thickBot="1" x14ac:dyDescent="0.3">
      <c r="B90" s="316" t="s">
        <v>497</v>
      </c>
      <c r="C90" s="317"/>
      <c r="D90" s="317"/>
      <c r="E90" s="317"/>
      <c r="F90" s="317"/>
      <c r="G90" s="317"/>
      <c r="H90" s="317"/>
      <c r="I90" s="317"/>
      <c r="J90" s="317"/>
      <c r="K90" s="317"/>
      <c r="L90" s="318"/>
    </row>
    <row r="91" spans="2:13" s="39" customFormat="1" ht="25.5" customHeight="1" x14ac:dyDescent="0.25">
      <c r="B91" s="80">
        <f>+B87+1</f>
        <v>24</v>
      </c>
      <c r="C91" s="108" t="s">
        <v>496</v>
      </c>
      <c r="D91" s="36" t="s">
        <v>422</v>
      </c>
      <c r="E91" s="108" t="s">
        <v>108</v>
      </c>
      <c r="F91" s="126" t="s">
        <v>198</v>
      </c>
      <c r="G91" s="110">
        <v>25000</v>
      </c>
      <c r="H91" s="82">
        <v>717.5</v>
      </c>
      <c r="I91" s="82">
        <v>760</v>
      </c>
      <c r="J91" s="82">
        <v>4220.12</v>
      </c>
      <c r="K91" s="77">
        <f>SUM(H91:J91)</f>
        <v>5697.62</v>
      </c>
      <c r="L91" s="77">
        <f>+G91-K91</f>
        <v>19302.38</v>
      </c>
    </row>
    <row r="92" spans="2:13" s="39" customFormat="1" ht="25.5" customHeight="1" x14ac:dyDescent="0.25">
      <c r="B92" s="307" t="s">
        <v>125</v>
      </c>
      <c r="C92" s="308"/>
      <c r="D92" s="308"/>
      <c r="E92" s="308"/>
      <c r="F92" s="309"/>
      <c r="G92" s="37">
        <f t="shared" ref="G92:L92" si="20">SUM(G91:G91)</f>
        <v>25000</v>
      </c>
      <c r="H92" s="37">
        <f t="shared" si="20"/>
        <v>717.5</v>
      </c>
      <c r="I92" s="37">
        <f t="shared" si="20"/>
        <v>760</v>
      </c>
      <c r="J92" s="37">
        <f t="shared" si="20"/>
        <v>4220.12</v>
      </c>
      <c r="K92" s="37">
        <f>SUM(K91:K91)</f>
        <v>5697.62</v>
      </c>
      <c r="L92" s="37">
        <f t="shared" si="20"/>
        <v>19302.38</v>
      </c>
    </row>
    <row r="93" spans="2:13" s="39" customFormat="1" ht="27" customHeight="1" thickBot="1" x14ac:dyDescent="0.3">
      <c r="B93" s="50"/>
      <c r="C93" s="50"/>
      <c r="D93" s="50"/>
      <c r="E93" s="50"/>
      <c r="F93" s="283"/>
      <c r="G93"/>
      <c r="H93"/>
      <c r="I93"/>
      <c r="J93"/>
      <c r="K93"/>
      <c r="L93"/>
    </row>
    <row r="94" spans="2:13" s="53" customFormat="1" ht="30" customHeight="1" thickBot="1" x14ac:dyDescent="0.3">
      <c r="B94" s="304" t="s">
        <v>296</v>
      </c>
      <c r="C94" s="305"/>
      <c r="D94" s="305"/>
      <c r="E94" s="305"/>
      <c r="F94" s="305"/>
      <c r="G94" s="305"/>
      <c r="H94" s="305"/>
      <c r="I94" s="305"/>
      <c r="J94" s="305"/>
      <c r="K94" s="305"/>
      <c r="L94" s="306"/>
      <c r="M94" s="39"/>
    </row>
    <row r="95" spans="2:13" s="87" customFormat="1" ht="30" customHeight="1" x14ac:dyDescent="0.25">
      <c r="B95" s="80">
        <f>+B91+1</f>
        <v>25</v>
      </c>
      <c r="C95" s="108" t="s">
        <v>565</v>
      </c>
      <c r="D95" s="36" t="s">
        <v>421</v>
      </c>
      <c r="E95" s="126" t="s">
        <v>428</v>
      </c>
      <c r="F95" s="126" t="s">
        <v>198</v>
      </c>
      <c r="G95" s="110">
        <v>35000</v>
      </c>
      <c r="H95" s="82">
        <v>1004.5</v>
      </c>
      <c r="I95" s="82">
        <v>1064</v>
      </c>
      <c r="J95" s="77">
        <v>8232.8799999999992</v>
      </c>
      <c r="K95" s="77">
        <f>SUM(H95:J95)</f>
        <v>10301.379999999999</v>
      </c>
      <c r="L95" s="78">
        <f>+G95-K95</f>
        <v>24698.620000000003</v>
      </c>
      <c r="M95" s="47"/>
    </row>
    <row r="96" spans="2:13" s="39" customFormat="1" ht="30" customHeight="1" x14ac:dyDescent="0.25">
      <c r="B96" s="307" t="s">
        <v>125</v>
      </c>
      <c r="C96" s="308"/>
      <c r="D96" s="308"/>
      <c r="E96" s="308"/>
      <c r="F96" s="309"/>
      <c r="G96" s="37">
        <f t="shared" ref="G96:J96" si="21">SUM(G95:G95)</f>
        <v>35000</v>
      </c>
      <c r="H96" s="37">
        <f t="shared" si="21"/>
        <v>1004.5</v>
      </c>
      <c r="I96" s="37">
        <f t="shared" si="21"/>
        <v>1064</v>
      </c>
      <c r="J96" s="37">
        <f t="shared" si="21"/>
        <v>8232.8799999999992</v>
      </c>
      <c r="K96" s="37">
        <f>SUM(K95:K95)</f>
        <v>10301.379999999999</v>
      </c>
      <c r="L96" s="37">
        <f t="shared" ref="L96" si="22">SUM(L95:L95)</f>
        <v>24698.620000000003</v>
      </c>
    </row>
    <row r="97" spans="2:13" s="39" customFormat="1" ht="30" customHeight="1" thickBot="1" x14ac:dyDescent="0.3">
      <c r="B97" s="50"/>
      <c r="C97" s="50"/>
      <c r="D97" s="50"/>
      <c r="E97" s="50"/>
      <c r="F97" s="283"/>
      <c r="G97"/>
      <c r="H97"/>
      <c r="I97"/>
      <c r="J97"/>
      <c r="K97"/>
      <c r="L97"/>
    </row>
    <row r="98" spans="2:13" s="53" customFormat="1" ht="30" customHeight="1" thickBot="1" x14ac:dyDescent="0.3">
      <c r="B98" s="304" t="s">
        <v>450</v>
      </c>
      <c r="C98" s="305"/>
      <c r="D98" s="305"/>
      <c r="E98" s="305"/>
      <c r="F98" s="305"/>
      <c r="G98" s="305"/>
      <c r="H98" s="305"/>
      <c r="I98" s="305"/>
      <c r="J98" s="305"/>
      <c r="K98" s="305"/>
      <c r="L98" s="306"/>
      <c r="M98" s="39"/>
    </row>
    <row r="99" spans="2:13" s="87" customFormat="1" ht="30" customHeight="1" x14ac:dyDescent="0.25">
      <c r="B99" s="80">
        <f>+B95+1</f>
        <v>26</v>
      </c>
      <c r="C99" s="108" t="s">
        <v>13</v>
      </c>
      <c r="D99" s="36" t="s">
        <v>421</v>
      </c>
      <c r="E99" s="126" t="s">
        <v>428</v>
      </c>
      <c r="F99" s="126" t="s">
        <v>198</v>
      </c>
      <c r="G99" s="110">
        <v>50000</v>
      </c>
      <c r="H99" s="82">
        <v>1435</v>
      </c>
      <c r="I99" s="82">
        <v>1520</v>
      </c>
      <c r="J99" s="77">
        <v>11761.250000000002</v>
      </c>
      <c r="K99" s="77">
        <f>SUM(H99:J99)</f>
        <v>14716.250000000002</v>
      </c>
      <c r="L99" s="78">
        <f>+G99-K99</f>
        <v>35283.75</v>
      </c>
      <c r="M99" s="47"/>
    </row>
    <row r="100" spans="2:13" s="39" customFormat="1" ht="30" customHeight="1" x14ac:dyDescent="0.25">
      <c r="B100" s="307" t="s">
        <v>125</v>
      </c>
      <c r="C100" s="308"/>
      <c r="D100" s="308"/>
      <c r="E100" s="308"/>
      <c r="F100" s="309"/>
      <c r="G100" s="37">
        <f t="shared" ref="G100:L100" si="23">SUM(G99:G99)</f>
        <v>50000</v>
      </c>
      <c r="H100" s="37">
        <f t="shared" si="23"/>
        <v>1435</v>
      </c>
      <c r="I100" s="37">
        <f t="shared" si="23"/>
        <v>1520</v>
      </c>
      <c r="J100" s="37">
        <f t="shared" si="23"/>
        <v>11761.250000000002</v>
      </c>
      <c r="K100" s="37">
        <f>SUM(K99:K99)</f>
        <v>14716.250000000002</v>
      </c>
      <c r="L100" s="37">
        <f t="shared" si="23"/>
        <v>35283.75</v>
      </c>
    </row>
    <row r="101" spans="2:13" s="39" customFormat="1" ht="30" customHeight="1" thickBot="1" x14ac:dyDescent="0.3">
      <c r="B101" s="50"/>
      <c r="C101" s="50"/>
      <c r="D101" s="50"/>
      <c r="E101" s="50"/>
      <c r="F101" s="283"/>
      <c r="G101"/>
      <c r="H101"/>
      <c r="I101"/>
      <c r="J101"/>
      <c r="K101"/>
      <c r="L101"/>
    </row>
    <row r="102" spans="2:13" s="39" customFormat="1" ht="23.25" customHeight="1" thickBot="1" x14ac:dyDescent="0.3">
      <c r="B102" s="304" t="s">
        <v>219</v>
      </c>
      <c r="C102" s="305"/>
      <c r="D102" s="305"/>
      <c r="E102" s="305"/>
      <c r="F102" s="305"/>
      <c r="G102" s="305"/>
      <c r="H102" s="305"/>
      <c r="I102" s="305"/>
      <c r="J102" s="305"/>
      <c r="K102" s="305"/>
      <c r="L102" s="306"/>
    </row>
    <row r="103" spans="2:13" s="39" customFormat="1" ht="30.75" customHeight="1" x14ac:dyDescent="0.25">
      <c r="B103" s="36">
        <v>27</v>
      </c>
      <c r="C103" s="81" t="s">
        <v>693</v>
      </c>
      <c r="D103" s="36" t="s">
        <v>422</v>
      </c>
      <c r="E103" s="126" t="s">
        <v>694</v>
      </c>
      <c r="F103" s="126" t="s">
        <v>122</v>
      </c>
      <c r="G103" s="110">
        <v>35000</v>
      </c>
      <c r="H103" s="82">
        <v>1004.5</v>
      </c>
      <c r="I103" s="82">
        <v>1064</v>
      </c>
      <c r="J103" s="77">
        <v>8232.8799999999992</v>
      </c>
      <c r="K103" s="77">
        <v>10301.379999999999</v>
      </c>
      <c r="L103" s="78">
        <f>+G103-K103</f>
        <v>24698.620000000003</v>
      </c>
    </row>
    <row r="104" spans="2:13" s="39" customFormat="1" ht="23.25" customHeight="1" x14ac:dyDescent="0.25">
      <c r="B104" s="307" t="s">
        <v>125</v>
      </c>
      <c r="C104" s="308"/>
      <c r="D104" s="308"/>
      <c r="E104" s="308"/>
      <c r="F104" s="309"/>
      <c r="G104" s="37">
        <f>SUM(G103:G103)</f>
        <v>35000</v>
      </c>
      <c r="H104" s="37">
        <f t="shared" ref="H104:L104" si="24">SUM(H103:H103)</f>
        <v>1004.5</v>
      </c>
      <c r="I104" s="37">
        <f t="shared" si="24"/>
        <v>1064</v>
      </c>
      <c r="J104" s="37">
        <f t="shared" si="24"/>
        <v>8232.8799999999992</v>
      </c>
      <c r="K104" s="37">
        <f t="shared" si="24"/>
        <v>10301.379999999999</v>
      </c>
      <c r="L104" s="37">
        <f t="shared" si="24"/>
        <v>24698.620000000003</v>
      </c>
    </row>
    <row r="105" spans="2:13" s="39" customFormat="1" ht="23.25" customHeight="1" thickBot="1" x14ac:dyDescent="0.3">
      <c r="B105" s="50"/>
      <c r="C105" s="50"/>
      <c r="D105" s="50"/>
      <c r="E105" s="50"/>
      <c r="F105" s="283"/>
      <c r="G105"/>
      <c r="H105"/>
      <c r="I105"/>
      <c r="J105"/>
      <c r="K105"/>
      <c r="L105"/>
    </row>
    <row r="106" spans="2:13" s="79" customFormat="1" ht="30" customHeight="1" thickBot="1" x14ac:dyDescent="0.3">
      <c r="B106" s="304" t="s">
        <v>177</v>
      </c>
      <c r="C106" s="305"/>
      <c r="D106" s="305"/>
      <c r="E106" s="305"/>
      <c r="F106" s="305"/>
      <c r="G106" s="305"/>
      <c r="H106" s="305"/>
      <c r="I106" s="305"/>
      <c r="J106" s="305"/>
      <c r="K106" s="305"/>
      <c r="L106" s="306"/>
      <c r="M106" s="32"/>
    </row>
    <row r="107" spans="2:13" s="79" customFormat="1" ht="36" customHeight="1" x14ac:dyDescent="0.25">
      <c r="B107" s="36">
        <v>28</v>
      </c>
      <c r="C107" s="108" t="s">
        <v>484</v>
      </c>
      <c r="D107" s="36" t="s">
        <v>421</v>
      </c>
      <c r="E107" s="126" t="s">
        <v>485</v>
      </c>
      <c r="F107" s="126" t="s">
        <v>198</v>
      </c>
      <c r="G107" s="110">
        <v>75000</v>
      </c>
      <c r="H107" s="82">
        <v>2152.5</v>
      </c>
      <c r="I107" s="82">
        <v>2280</v>
      </c>
      <c r="J107" s="77">
        <v>16851.560000000001</v>
      </c>
      <c r="K107" s="77">
        <f>SUM(H107:J107)</f>
        <v>21284.06</v>
      </c>
      <c r="L107" s="78">
        <f>+G107-K107</f>
        <v>53715.94</v>
      </c>
      <c r="M107" s="32"/>
    </row>
    <row r="108" spans="2:13" s="39" customFormat="1" ht="33.75" customHeight="1" x14ac:dyDescent="0.25">
      <c r="B108" s="307" t="s">
        <v>125</v>
      </c>
      <c r="C108" s="308"/>
      <c r="D108" s="308"/>
      <c r="E108" s="308"/>
      <c r="F108" s="309"/>
      <c r="G108" s="37">
        <f t="shared" ref="G108:L108" si="25">SUM(G107:G107)</f>
        <v>75000</v>
      </c>
      <c r="H108" s="37">
        <f t="shared" si="25"/>
        <v>2152.5</v>
      </c>
      <c r="I108" s="37">
        <f t="shared" si="25"/>
        <v>2280</v>
      </c>
      <c r="J108" s="37">
        <f t="shared" si="25"/>
        <v>16851.560000000001</v>
      </c>
      <c r="K108" s="37">
        <f t="shared" si="25"/>
        <v>21284.06</v>
      </c>
      <c r="L108" s="37">
        <f t="shared" si="25"/>
        <v>53715.94</v>
      </c>
    </row>
    <row r="109" spans="2:13" s="39" customFormat="1" ht="24.95" customHeight="1" thickBot="1" x14ac:dyDescent="0.3">
      <c r="B109" s="50"/>
      <c r="C109" s="50"/>
      <c r="D109" s="50"/>
      <c r="E109" s="50"/>
      <c r="F109" s="283"/>
      <c r="G109" s="40"/>
      <c r="H109" s="40"/>
      <c r="I109" s="40"/>
      <c r="J109" s="40"/>
      <c r="K109" s="40"/>
      <c r="L109" s="40"/>
    </row>
    <row r="110" spans="2:13" s="79" customFormat="1" ht="30" customHeight="1" thickBot="1" x14ac:dyDescent="0.3">
      <c r="B110" s="310" t="s">
        <v>314</v>
      </c>
      <c r="C110" s="311"/>
      <c r="D110" s="311"/>
      <c r="E110" s="311"/>
      <c r="F110" s="311"/>
      <c r="G110" s="311"/>
      <c r="H110" s="311"/>
      <c r="I110" s="311"/>
      <c r="J110" s="311"/>
      <c r="K110" s="311"/>
      <c r="L110" s="312"/>
      <c r="M110" s="32"/>
    </row>
    <row r="111" spans="2:13" s="79" customFormat="1" ht="25.5" customHeight="1" x14ac:dyDescent="0.25">
      <c r="B111" s="80">
        <f>+B107+1</f>
        <v>29</v>
      </c>
      <c r="C111" s="108" t="s">
        <v>150</v>
      </c>
      <c r="D111" s="36" t="s">
        <v>421</v>
      </c>
      <c r="E111" s="108" t="s">
        <v>425</v>
      </c>
      <c r="F111" s="126" t="s">
        <v>121</v>
      </c>
      <c r="G111" s="110">
        <v>25000</v>
      </c>
      <c r="H111" s="110">
        <v>717.5</v>
      </c>
      <c r="I111" s="82">
        <v>760</v>
      </c>
      <c r="J111" s="82">
        <v>3486.65</v>
      </c>
      <c r="K111" s="107">
        <f>SUM(H111:J111)</f>
        <v>4964.1499999999996</v>
      </c>
      <c r="L111" s="78">
        <f>+G111-K111</f>
        <v>20035.849999999999</v>
      </c>
      <c r="M111" s="32"/>
    </row>
    <row r="112" spans="2:13" s="39" customFormat="1" ht="33.75" customHeight="1" x14ac:dyDescent="0.25">
      <c r="B112" s="307" t="s">
        <v>125</v>
      </c>
      <c r="C112" s="308"/>
      <c r="D112" s="308"/>
      <c r="E112" s="308"/>
      <c r="F112" s="309"/>
      <c r="G112" s="37">
        <f t="shared" ref="G112:J112" si="26">SUM(G111:G111)</f>
        <v>25000</v>
      </c>
      <c r="H112" s="37">
        <f t="shared" si="26"/>
        <v>717.5</v>
      </c>
      <c r="I112" s="37">
        <f t="shared" si="26"/>
        <v>760</v>
      </c>
      <c r="J112" s="37">
        <f t="shared" si="26"/>
        <v>3486.65</v>
      </c>
      <c r="K112" s="37">
        <f>SUM(K111:K111)</f>
        <v>4964.1499999999996</v>
      </c>
      <c r="L112" s="37">
        <f>SUM(L111:L111)</f>
        <v>20035.849999999999</v>
      </c>
    </row>
    <row r="113" spans="2:13" s="39" customFormat="1" ht="24.95" customHeight="1" thickBot="1" x14ac:dyDescent="0.3">
      <c r="B113" s="50"/>
      <c r="C113" s="50"/>
      <c r="D113" s="50"/>
      <c r="E113" s="50"/>
      <c r="F113" s="283"/>
      <c r="G113" s="40"/>
      <c r="H113" s="40"/>
      <c r="I113" s="40"/>
      <c r="J113" s="40"/>
      <c r="K113" s="40"/>
      <c r="L113" s="40"/>
    </row>
    <row r="114" spans="2:13" s="39" customFormat="1" ht="24.95" customHeight="1" thickBot="1" x14ac:dyDescent="0.3">
      <c r="B114" s="310" t="s">
        <v>660</v>
      </c>
      <c r="C114" s="311"/>
      <c r="D114" s="311"/>
      <c r="E114" s="311"/>
      <c r="F114" s="311"/>
      <c r="G114" s="311"/>
      <c r="H114" s="311"/>
      <c r="I114" s="311"/>
      <c r="J114" s="311"/>
      <c r="K114" s="311"/>
      <c r="L114" s="312"/>
    </row>
    <row r="115" spans="2:13" s="39" customFormat="1" ht="24.95" customHeight="1" x14ac:dyDescent="0.25">
      <c r="B115" s="80">
        <f>+B111+1</f>
        <v>30</v>
      </c>
      <c r="C115" s="108" t="s">
        <v>17</v>
      </c>
      <c r="D115" s="36" t="s">
        <v>421</v>
      </c>
      <c r="E115" s="108" t="s">
        <v>659</v>
      </c>
      <c r="F115" s="126" t="s">
        <v>121</v>
      </c>
      <c r="G115" s="110">
        <v>30000</v>
      </c>
      <c r="H115" s="110">
        <v>861</v>
      </c>
      <c r="I115" s="82">
        <v>912</v>
      </c>
      <c r="J115" s="82">
        <v>5389.19</v>
      </c>
      <c r="K115" s="107">
        <f>SUM(H115:J115)</f>
        <v>7162.19</v>
      </c>
      <c r="L115" s="78">
        <f>+G115-K115</f>
        <v>22837.81</v>
      </c>
    </row>
    <row r="116" spans="2:13" s="39" customFormat="1" ht="24.95" customHeight="1" x14ac:dyDescent="0.25">
      <c r="B116" s="307" t="s">
        <v>125</v>
      </c>
      <c r="C116" s="308"/>
      <c r="D116" s="308"/>
      <c r="E116" s="308"/>
      <c r="F116" s="309"/>
      <c r="G116" s="37">
        <f t="shared" ref="G116:J116" si="27">SUM(G115:G115)</f>
        <v>30000</v>
      </c>
      <c r="H116" s="37">
        <f t="shared" si="27"/>
        <v>861</v>
      </c>
      <c r="I116" s="37">
        <f t="shared" si="27"/>
        <v>912</v>
      </c>
      <c r="J116" s="37">
        <f t="shared" si="27"/>
        <v>5389.19</v>
      </c>
      <c r="K116" s="37">
        <f>SUM(K115:K115)</f>
        <v>7162.19</v>
      </c>
      <c r="L116" s="37">
        <f>SUM(L115:L115)</f>
        <v>22837.81</v>
      </c>
    </row>
    <row r="117" spans="2:13" s="39" customFormat="1" ht="24.95" customHeight="1" thickBot="1" x14ac:dyDescent="0.3">
      <c r="B117" s="50"/>
      <c r="C117" s="50"/>
      <c r="D117" s="50"/>
      <c r="E117" s="50"/>
      <c r="F117" s="283"/>
      <c r="G117" s="40"/>
      <c r="H117" s="40"/>
      <c r="I117" s="40"/>
      <c r="J117" s="40"/>
      <c r="K117" s="40"/>
      <c r="L117" s="40"/>
    </row>
    <row r="118" spans="2:13" s="53" customFormat="1" ht="30" customHeight="1" thickBot="1" x14ac:dyDescent="0.3">
      <c r="B118" s="316" t="s">
        <v>537</v>
      </c>
      <c r="C118" s="317"/>
      <c r="D118" s="317"/>
      <c r="E118" s="317"/>
      <c r="F118" s="317"/>
      <c r="G118" s="317"/>
      <c r="H118" s="317"/>
      <c r="I118" s="317"/>
      <c r="J118" s="317"/>
      <c r="K118" s="317"/>
      <c r="L118" s="318"/>
      <c r="M118" s="39"/>
    </row>
    <row r="119" spans="2:13" s="53" customFormat="1" ht="30" customHeight="1" x14ac:dyDescent="0.25">
      <c r="B119" s="80">
        <f>+B115+1</f>
        <v>31</v>
      </c>
      <c r="C119" s="108" t="s">
        <v>331</v>
      </c>
      <c r="D119" s="36" t="s">
        <v>421</v>
      </c>
      <c r="E119" s="81" t="s">
        <v>132</v>
      </c>
      <c r="F119" s="126" t="s">
        <v>121</v>
      </c>
      <c r="G119" s="110">
        <v>15000</v>
      </c>
      <c r="H119" s="110">
        <v>430.5</v>
      </c>
      <c r="I119" s="82">
        <v>456</v>
      </c>
      <c r="J119" s="82">
        <v>0</v>
      </c>
      <c r="K119" s="107">
        <f>SUM(H119:J119)</f>
        <v>886.5</v>
      </c>
      <c r="L119" s="78">
        <f>+G119-K119</f>
        <v>14113.5</v>
      </c>
      <c r="M119" s="39"/>
    </row>
    <row r="120" spans="2:13" s="53" customFormat="1" ht="30" customHeight="1" x14ac:dyDescent="0.25">
      <c r="B120" s="307" t="s">
        <v>125</v>
      </c>
      <c r="C120" s="308"/>
      <c r="D120" s="308"/>
      <c r="E120" s="308"/>
      <c r="F120" s="309"/>
      <c r="G120" s="37">
        <f t="shared" ref="G120:L120" si="28">SUM(G119:G119)</f>
        <v>15000</v>
      </c>
      <c r="H120" s="37">
        <f t="shared" si="28"/>
        <v>430.5</v>
      </c>
      <c r="I120" s="37">
        <f t="shared" si="28"/>
        <v>456</v>
      </c>
      <c r="J120" s="37">
        <f t="shared" si="28"/>
        <v>0</v>
      </c>
      <c r="K120" s="37">
        <f t="shared" si="28"/>
        <v>886.5</v>
      </c>
      <c r="L120" s="37">
        <f t="shared" si="28"/>
        <v>14113.5</v>
      </c>
      <c r="M120" s="39"/>
    </row>
    <row r="121" spans="2:13" s="39" customFormat="1" ht="22.5" customHeight="1" thickBot="1" x14ac:dyDescent="0.3">
      <c r="B121" s="50"/>
      <c r="C121" s="50"/>
      <c r="D121" s="50"/>
      <c r="E121" s="50"/>
      <c r="F121" s="283"/>
      <c r="G121" s="40"/>
      <c r="H121" s="40"/>
      <c r="I121" s="40"/>
      <c r="J121" s="40"/>
      <c r="K121" s="40"/>
      <c r="L121" s="40"/>
    </row>
    <row r="122" spans="2:13" s="39" customFormat="1" ht="24.95" customHeight="1" thickBot="1" x14ac:dyDescent="0.3">
      <c r="B122" s="310" t="s">
        <v>208</v>
      </c>
      <c r="C122" s="311"/>
      <c r="D122" s="311"/>
      <c r="E122" s="311"/>
      <c r="F122" s="311"/>
      <c r="G122" s="311"/>
      <c r="H122" s="311"/>
      <c r="I122" s="311"/>
      <c r="J122" s="311"/>
      <c r="K122" s="311"/>
      <c r="L122" s="312"/>
    </row>
    <row r="123" spans="2:13" s="79" customFormat="1" ht="30" customHeight="1" x14ac:dyDescent="0.25">
      <c r="B123" s="75">
        <f>B119+1</f>
        <v>32</v>
      </c>
      <c r="C123" s="161" t="s">
        <v>84</v>
      </c>
      <c r="D123" s="162" t="s">
        <v>421</v>
      </c>
      <c r="E123" s="163" t="s">
        <v>703</v>
      </c>
      <c r="F123" s="147" t="s">
        <v>121</v>
      </c>
      <c r="G123" s="107">
        <v>30000</v>
      </c>
      <c r="H123" s="160">
        <v>861</v>
      </c>
      <c r="I123" s="160">
        <v>912</v>
      </c>
      <c r="J123" s="77">
        <v>6187.66</v>
      </c>
      <c r="K123" s="107">
        <f>SUM(H123:J123)</f>
        <v>7960.66</v>
      </c>
      <c r="L123" s="78">
        <f>+G123-K123</f>
        <v>22039.34</v>
      </c>
      <c r="M123" s="32"/>
    </row>
    <row r="124" spans="2:13" s="79" customFormat="1" ht="25.5" customHeight="1" x14ac:dyDescent="0.25">
      <c r="B124" s="75">
        <f>+B123+1</f>
        <v>33</v>
      </c>
      <c r="C124" s="112" t="s">
        <v>321</v>
      </c>
      <c r="D124" s="122" t="s">
        <v>422</v>
      </c>
      <c r="E124" s="112" t="s">
        <v>426</v>
      </c>
      <c r="F124" s="147" t="s">
        <v>121</v>
      </c>
      <c r="G124" s="107">
        <v>25800</v>
      </c>
      <c r="H124" s="160">
        <v>740.46</v>
      </c>
      <c r="I124" s="160">
        <v>784.32</v>
      </c>
      <c r="J124" s="77">
        <v>0</v>
      </c>
      <c r="K124" s="107">
        <f>SUM(H124:J124)</f>
        <v>1524.7800000000002</v>
      </c>
      <c r="L124" s="78">
        <f>+G124-K124</f>
        <v>24275.22</v>
      </c>
      <c r="M124" s="32"/>
    </row>
    <row r="125" spans="2:13" s="39" customFormat="1" ht="33.75" customHeight="1" x14ac:dyDescent="0.25">
      <c r="B125" s="307" t="s">
        <v>125</v>
      </c>
      <c r="C125" s="308"/>
      <c r="D125" s="308"/>
      <c r="E125" s="308"/>
      <c r="F125" s="309"/>
      <c r="G125" s="37">
        <f>SUM(G123:G124)</f>
        <v>55800</v>
      </c>
      <c r="H125" s="37">
        <f t="shared" ref="H125:L125" si="29">SUM(H123:H124)</f>
        <v>1601.46</v>
      </c>
      <c r="I125" s="37">
        <f t="shared" si="29"/>
        <v>1696.3200000000002</v>
      </c>
      <c r="J125" s="37">
        <f t="shared" si="29"/>
        <v>6187.66</v>
      </c>
      <c r="K125" s="37">
        <f t="shared" si="29"/>
        <v>9485.44</v>
      </c>
      <c r="L125" s="37">
        <f t="shared" si="29"/>
        <v>46314.559999999998</v>
      </c>
    </row>
    <row r="126" spans="2:13" s="39" customFormat="1" ht="24.95" customHeight="1" thickBot="1" x14ac:dyDescent="0.3">
      <c r="B126" s="50"/>
      <c r="C126" s="50"/>
      <c r="D126" s="50"/>
      <c r="E126" s="50"/>
      <c r="F126" s="283"/>
      <c r="G126" s="40"/>
      <c r="H126" s="40"/>
      <c r="I126" s="40"/>
      <c r="J126" s="40"/>
      <c r="K126" s="40"/>
      <c r="L126" s="40"/>
    </row>
    <row r="127" spans="2:13" s="79" customFormat="1" ht="30" customHeight="1" thickBot="1" x14ac:dyDescent="0.3">
      <c r="B127" s="310" t="s">
        <v>314</v>
      </c>
      <c r="C127" s="311"/>
      <c r="D127" s="311"/>
      <c r="E127" s="311"/>
      <c r="F127" s="311"/>
      <c r="G127" s="311"/>
      <c r="H127" s="311"/>
      <c r="I127" s="311"/>
      <c r="J127" s="311"/>
      <c r="K127" s="311"/>
      <c r="L127" s="312"/>
      <c r="M127" s="32"/>
    </row>
    <row r="128" spans="2:13" s="79" customFormat="1" ht="25.5" customHeight="1" x14ac:dyDescent="0.25">
      <c r="B128" s="80">
        <f>+B124+1</f>
        <v>34</v>
      </c>
      <c r="C128" s="108" t="s">
        <v>566</v>
      </c>
      <c r="D128" s="36" t="s">
        <v>421</v>
      </c>
      <c r="E128" s="108" t="s">
        <v>704</v>
      </c>
      <c r="F128" s="126" t="s">
        <v>122</v>
      </c>
      <c r="G128" s="110">
        <v>15000</v>
      </c>
      <c r="H128" s="110">
        <v>430.5</v>
      </c>
      <c r="I128" s="82">
        <v>456</v>
      </c>
      <c r="J128" s="82">
        <v>2117.0300000000002</v>
      </c>
      <c r="K128" s="107">
        <f>SUM(H128:J128)</f>
        <v>3003.53</v>
      </c>
      <c r="L128" s="78">
        <f>+G128-K128</f>
        <v>11996.47</v>
      </c>
      <c r="M128" s="32"/>
    </row>
    <row r="129" spans="2:13" s="39" customFormat="1" ht="33.75" customHeight="1" x14ac:dyDescent="0.25">
      <c r="B129" s="307" t="s">
        <v>125</v>
      </c>
      <c r="C129" s="308"/>
      <c r="D129" s="308"/>
      <c r="E129" s="308"/>
      <c r="F129" s="309"/>
      <c r="G129" s="37">
        <f t="shared" ref="G129:J129" si="30">SUM(G128:G128)</f>
        <v>15000</v>
      </c>
      <c r="H129" s="37">
        <f t="shared" si="30"/>
        <v>430.5</v>
      </c>
      <c r="I129" s="37">
        <f t="shared" si="30"/>
        <v>456</v>
      </c>
      <c r="J129" s="37">
        <f t="shared" si="30"/>
        <v>2117.0300000000002</v>
      </c>
      <c r="K129" s="37">
        <f>SUM(K128:K128)</f>
        <v>3003.53</v>
      </c>
      <c r="L129" s="37">
        <f>SUM(L128:L128)</f>
        <v>11996.47</v>
      </c>
    </row>
    <row r="130" spans="2:13" s="39" customFormat="1" ht="24.95" customHeight="1" thickBot="1" x14ac:dyDescent="0.3">
      <c r="B130" s="50"/>
      <c r="C130" s="50"/>
      <c r="D130" s="50"/>
      <c r="E130" s="50"/>
      <c r="F130" s="283"/>
      <c r="G130" s="40"/>
      <c r="H130" s="40"/>
      <c r="I130" s="40"/>
      <c r="J130" s="40"/>
      <c r="K130" s="40"/>
      <c r="L130" s="40"/>
    </row>
    <row r="131" spans="2:13" s="39" customFormat="1" ht="24.95" customHeight="1" thickBot="1" x14ac:dyDescent="0.3">
      <c r="B131" s="310" t="s">
        <v>661</v>
      </c>
      <c r="C131" s="311"/>
      <c r="D131" s="311"/>
      <c r="E131" s="311"/>
      <c r="F131" s="311"/>
      <c r="G131" s="311"/>
      <c r="H131" s="311"/>
      <c r="I131" s="311"/>
      <c r="J131" s="311"/>
      <c r="K131" s="311"/>
      <c r="L131" s="312"/>
    </row>
    <row r="132" spans="2:13" s="39" customFormat="1" ht="24.95" customHeight="1" x14ac:dyDescent="0.25">
      <c r="B132" s="80">
        <f>+B128+1</f>
        <v>35</v>
      </c>
      <c r="C132" s="108" t="s">
        <v>662</v>
      </c>
      <c r="D132" s="36" t="s">
        <v>421</v>
      </c>
      <c r="E132" s="108" t="s">
        <v>705</v>
      </c>
      <c r="F132" s="126" t="s">
        <v>121</v>
      </c>
      <c r="G132" s="110">
        <v>35000</v>
      </c>
      <c r="H132" s="110">
        <v>1004.5</v>
      </c>
      <c r="I132" s="82">
        <v>1064</v>
      </c>
      <c r="J132" s="82">
        <v>5368.45</v>
      </c>
      <c r="K132" s="107">
        <f>SUM(H132:J132)</f>
        <v>7436.95</v>
      </c>
      <c r="L132" s="78">
        <f>+G132-K132</f>
        <v>27563.05</v>
      </c>
    </row>
    <row r="133" spans="2:13" s="39" customFormat="1" ht="24.95" customHeight="1" x14ac:dyDescent="0.25">
      <c r="B133" s="307" t="s">
        <v>125</v>
      </c>
      <c r="C133" s="308"/>
      <c r="D133" s="308"/>
      <c r="E133" s="308"/>
      <c r="F133" s="309"/>
      <c r="G133" s="37">
        <f t="shared" ref="G133:J133" si="31">SUM(G132:G132)</f>
        <v>35000</v>
      </c>
      <c r="H133" s="37">
        <f t="shared" si="31"/>
        <v>1004.5</v>
      </c>
      <c r="I133" s="37">
        <f t="shared" si="31"/>
        <v>1064</v>
      </c>
      <c r="J133" s="37">
        <f t="shared" si="31"/>
        <v>5368.45</v>
      </c>
      <c r="K133" s="37">
        <f>SUM(K132:K132)</f>
        <v>7436.95</v>
      </c>
      <c r="L133" s="37">
        <f>SUM(L132:L132)</f>
        <v>27563.05</v>
      </c>
    </row>
    <row r="134" spans="2:13" s="39" customFormat="1" ht="24.95" customHeight="1" x14ac:dyDescent="0.25">
      <c r="B134" s="50"/>
      <c r="C134" s="50"/>
      <c r="D134" s="50"/>
      <c r="E134" s="50"/>
      <c r="F134" s="283"/>
      <c r="G134" s="40"/>
      <c r="H134" s="40"/>
      <c r="I134" s="40"/>
      <c r="J134" s="40"/>
      <c r="K134" s="40"/>
      <c r="L134" s="40"/>
    </row>
    <row r="135" spans="2:13" s="39" customFormat="1" ht="24.95" customHeight="1" thickBot="1" x14ac:dyDescent="0.3">
      <c r="B135" s="50"/>
      <c r="C135" s="50"/>
      <c r="D135" s="50"/>
      <c r="E135" s="50"/>
      <c r="F135" s="283"/>
      <c r="G135" s="40"/>
      <c r="H135" s="40"/>
      <c r="I135" s="40"/>
      <c r="J135" s="40"/>
      <c r="K135" s="40"/>
      <c r="L135" s="40"/>
    </row>
    <row r="136" spans="2:13" s="32" customFormat="1" ht="30" customHeight="1" thickBot="1" x14ac:dyDescent="0.3">
      <c r="B136" s="310" t="s">
        <v>178</v>
      </c>
      <c r="C136" s="311"/>
      <c r="D136" s="311"/>
      <c r="E136" s="311"/>
      <c r="F136" s="311"/>
      <c r="G136" s="311"/>
      <c r="H136" s="311"/>
      <c r="I136" s="311"/>
      <c r="J136" s="311"/>
      <c r="K136" s="311"/>
      <c r="L136" s="312"/>
    </row>
    <row r="137" spans="2:13" ht="36" customHeight="1" x14ac:dyDescent="0.25">
      <c r="B137" s="75">
        <f>+B132+1</f>
        <v>36</v>
      </c>
      <c r="C137" s="112" t="s">
        <v>495</v>
      </c>
      <c r="D137" s="122" t="s">
        <v>421</v>
      </c>
      <c r="E137" s="107" t="s">
        <v>147</v>
      </c>
      <c r="F137" s="126" t="s">
        <v>122</v>
      </c>
      <c r="G137" s="107">
        <v>35000</v>
      </c>
      <c r="H137" s="107">
        <v>1004.5</v>
      </c>
      <c r="I137" s="77">
        <v>1064</v>
      </c>
      <c r="J137" s="77">
        <v>6252.61</v>
      </c>
      <c r="K137" s="107">
        <f>SUM(H137:J137)</f>
        <v>8321.11</v>
      </c>
      <c r="L137" s="78">
        <f>+G137-K137</f>
        <v>26678.89</v>
      </c>
      <c r="M137" s="201"/>
    </row>
    <row r="138" spans="2:13" ht="26.25" customHeight="1" x14ac:dyDescent="0.25">
      <c r="B138" s="80">
        <f>+B137+1</f>
        <v>37</v>
      </c>
      <c r="C138" s="108" t="s">
        <v>23</v>
      </c>
      <c r="D138" s="36" t="s">
        <v>422</v>
      </c>
      <c r="E138" s="39" t="s">
        <v>147</v>
      </c>
      <c r="F138" s="126" t="s">
        <v>121</v>
      </c>
      <c r="G138" s="110">
        <v>30000</v>
      </c>
      <c r="H138" s="110">
        <v>861</v>
      </c>
      <c r="I138" s="82">
        <v>912</v>
      </c>
      <c r="J138" s="82">
        <v>4846.93</v>
      </c>
      <c r="K138" s="107">
        <f>SUM(H138:J138)</f>
        <v>6619.93</v>
      </c>
      <c r="L138" s="78">
        <f>+G138-K138</f>
        <v>23380.07</v>
      </c>
    </row>
    <row r="139" spans="2:13" ht="23.25" customHeight="1" x14ac:dyDescent="0.25">
      <c r="B139" s="307" t="s">
        <v>125</v>
      </c>
      <c r="C139" s="308"/>
      <c r="D139" s="308"/>
      <c r="E139" s="308"/>
      <c r="F139" s="309"/>
      <c r="G139" s="37">
        <f>SUM(G137:G138)</f>
        <v>65000</v>
      </c>
      <c r="H139" s="37">
        <f t="shared" ref="H139:L139" si="32">SUM(H137:H138)</f>
        <v>1865.5</v>
      </c>
      <c r="I139" s="37">
        <f t="shared" si="32"/>
        <v>1976</v>
      </c>
      <c r="J139" s="37">
        <f t="shared" si="32"/>
        <v>11099.54</v>
      </c>
      <c r="K139" s="37">
        <f t="shared" si="32"/>
        <v>14941.04</v>
      </c>
      <c r="L139" s="37">
        <f t="shared" si="32"/>
        <v>50058.96</v>
      </c>
    </row>
    <row r="140" spans="2:13" ht="16.5" thickBot="1" x14ac:dyDescent="0.3">
      <c r="B140" s="41"/>
      <c r="C140" s="48"/>
      <c r="D140" s="139"/>
      <c r="E140" s="48"/>
      <c r="F140" s="69"/>
      <c r="G140" s="49"/>
      <c r="H140" s="39"/>
      <c r="I140" s="39"/>
      <c r="J140" s="39"/>
      <c r="K140" s="39"/>
      <c r="L140" s="39"/>
    </row>
    <row r="141" spans="2:13" ht="16.5" thickBot="1" x14ac:dyDescent="0.3">
      <c r="B141" s="54"/>
      <c r="C141" s="55" t="s">
        <v>429</v>
      </c>
      <c r="D141" s="140"/>
      <c r="E141" s="56"/>
      <c r="F141" s="280"/>
      <c r="G141" s="58">
        <f>G15+G23+G104+G34+G38+G46+G50+G58+G65+G69+G100+G125+G112+G78+G42+G54+G108+G88+G139+G30+G11+G92+G19+G61+G83+G120+G129+G96+G133+G116+G73+G27</f>
        <v>1377550</v>
      </c>
      <c r="H141" s="58">
        <f t="shared" ref="H141:L141" si="33">H15+H23+H104+H34+H38+H46+H50+H58+H65+H69+H100+H125+H112+H78+H42+H54+H108+H88+H139+H30+H11+H92+H19+H61+H83+H120+H129+H96+H133+H116+H73+H27</f>
        <v>39535.684999999998</v>
      </c>
      <c r="I141" s="58">
        <f t="shared" si="33"/>
        <v>41029.979999999996</v>
      </c>
      <c r="J141" s="58">
        <f t="shared" si="33"/>
        <v>295394.71000000002</v>
      </c>
      <c r="K141" s="58">
        <f t="shared" si="33"/>
        <v>375960.37500000006</v>
      </c>
      <c r="L141" s="58">
        <f t="shared" si="33"/>
        <v>1001589.625</v>
      </c>
    </row>
    <row r="142" spans="2:13" ht="15" x14ac:dyDescent="0.25">
      <c r="B142" s="28"/>
      <c r="C142" s="27"/>
      <c r="D142" s="28"/>
      <c r="E142" s="27"/>
      <c r="F142" s="281"/>
      <c r="G142" s="16"/>
      <c r="H142" s="17"/>
      <c r="I142" s="17"/>
      <c r="J142" s="17"/>
      <c r="K142" s="17"/>
      <c r="L142" s="237"/>
    </row>
    <row r="143" spans="2:13" ht="15" x14ac:dyDescent="0.25">
      <c r="B143" s="28"/>
      <c r="C143" s="27"/>
      <c r="D143" s="28"/>
      <c r="E143" s="27"/>
      <c r="F143" s="281"/>
      <c r="G143" s="16"/>
      <c r="H143" s="17"/>
      <c r="I143" s="17"/>
      <c r="J143" s="17"/>
      <c r="K143" s="17"/>
      <c r="L143" s="17"/>
    </row>
    <row r="144" spans="2:13" ht="15.75" x14ac:dyDescent="0.25">
      <c r="C144" s="1"/>
      <c r="E144" s="1"/>
      <c r="F144" s="284"/>
      <c r="G144" s="64"/>
    </row>
    <row r="145" spans="3:12" ht="15.75" x14ac:dyDescent="0.25">
      <c r="C145" s="19"/>
      <c r="D145" s="141"/>
      <c r="E145" s="20"/>
      <c r="F145" s="285"/>
      <c r="G145" s="1"/>
      <c r="L145" s="7"/>
    </row>
    <row r="146" spans="3:12" ht="15.75" x14ac:dyDescent="0.25">
      <c r="C146" s="21"/>
      <c r="D146" s="142"/>
      <c r="E146" s="20"/>
      <c r="F146" s="284" t="s">
        <v>488</v>
      </c>
      <c r="G146" s="1"/>
    </row>
    <row r="147" spans="3:12" ht="31.5" x14ac:dyDescent="0.25">
      <c r="C147" s="21" t="s">
        <v>489</v>
      </c>
      <c r="D147" s="142"/>
      <c r="E147" s="20"/>
      <c r="F147" s="284" t="s">
        <v>490</v>
      </c>
      <c r="G147" s="1"/>
    </row>
    <row r="16627" spans="3:12" s="4" customFormat="1" x14ac:dyDescent="0.2">
      <c r="C16627" s="23"/>
      <c r="E16627" s="23"/>
      <c r="F16627" s="279"/>
      <c r="G16627" s="2"/>
      <c r="H16627" s="1"/>
      <c r="I16627" s="1"/>
      <c r="J16627" s="1"/>
      <c r="K16627" s="1"/>
      <c r="L16627" s="1"/>
    </row>
    <row r="16629" spans="3:12" s="4" customFormat="1" x14ac:dyDescent="0.2">
      <c r="C16629" s="23"/>
      <c r="E16629" s="23"/>
      <c r="F16629" s="279"/>
      <c r="G16629" s="2"/>
      <c r="H16629" s="1"/>
      <c r="I16629" s="1"/>
      <c r="J16629" s="1"/>
      <c r="K16629" s="1"/>
      <c r="L16629" s="1"/>
    </row>
    <row r="16649" spans="8:9" x14ac:dyDescent="0.2">
      <c r="H16649" s="4"/>
      <c r="I16649" s="4"/>
    </row>
    <row r="16651" spans="8:9" x14ac:dyDescent="0.2">
      <c r="H16651" s="4"/>
      <c r="I16651" s="4"/>
    </row>
    <row r="16661" spans="3:12" x14ac:dyDescent="0.2">
      <c r="K16661" s="4"/>
      <c r="L16661" s="4"/>
    </row>
    <row r="16663" spans="3:12" x14ac:dyDescent="0.2">
      <c r="K16663" s="4"/>
      <c r="L16663" s="4"/>
    </row>
    <row r="16664" spans="3:12" x14ac:dyDescent="0.2">
      <c r="J16664" s="4"/>
    </row>
    <row r="16665" spans="3:12" x14ac:dyDescent="0.2">
      <c r="C16665" s="23">
        <f>SUM(C6:C16664)</f>
        <v>0</v>
      </c>
    </row>
    <row r="16666" spans="3:12" x14ac:dyDescent="0.2">
      <c r="J16666" s="4"/>
    </row>
    <row r="16667" spans="3:12" x14ac:dyDescent="0.2">
      <c r="C16667" s="23">
        <f>SUM(C16665)</f>
        <v>0</v>
      </c>
    </row>
    <row r="999990" spans="11:11" x14ac:dyDescent="0.2">
      <c r="K999990" s="11" t="e">
        <f>SUM(#REF!)</f>
        <v>#REF!</v>
      </c>
    </row>
  </sheetData>
  <mergeCells count="69">
    <mergeCell ref="B136:L136"/>
    <mergeCell ref="B139:F139"/>
    <mergeCell ref="B90:L90"/>
    <mergeCell ref="B92:F92"/>
    <mergeCell ref="B52:L52"/>
    <mergeCell ref="B54:F54"/>
    <mergeCell ref="B106:L106"/>
    <mergeCell ref="B108:F108"/>
    <mergeCell ref="B85:L85"/>
    <mergeCell ref="B88:F88"/>
    <mergeCell ref="B58:F58"/>
    <mergeCell ref="B56:L56"/>
    <mergeCell ref="B69:F69"/>
    <mergeCell ref="B63:L63"/>
    <mergeCell ref="B65:F65"/>
    <mergeCell ref="B67:L67"/>
    <mergeCell ref="B28:L28"/>
    <mergeCell ref="B30:F30"/>
    <mergeCell ref="B75:L75"/>
    <mergeCell ref="B17:L17"/>
    <mergeCell ref="B19:F19"/>
    <mergeCell ref="B71:L71"/>
    <mergeCell ref="B73:F73"/>
    <mergeCell ref="B25:L25"/>
    <mergeCell ref="B27:F27"/>
    <mergeCell ref="B1:L1"/>
    <mergeCell ref="B2:L2"/>
    <mergeCell ref="B3:L3"/>
    <mergeCell ref="B4:C4"/>
    <mergeCell ref="H5:I5"/>
    <mergeCell ref="B9:L9"/>
    <mergeCell ref="B11:F11"/>
    <mergeCell ref="B50:F50"/>
    <mergeCell ref="B44:L44"/>
    <mergeCell ref="B46:F46"/>
    <mergeCell ref="B48:L48"/>
    <mergeCell ref="B40:L40"/>
    <mergeCell ref="B42:F42"/>
    <mergeCell ref="B34:F34"/>
    <mergeCell ref="B36:L36"/>
    <mergeCell ref="B38:F38"/>
    <mergeCell ref="B23:F23"/>
    <mergeCell ref="B32:L32"/>
    <mergeCell ref="B13:L13"/>
    <mergeCell ref="B15:F15"/>
    <mergeCell ref="B21:L21"/>
    <mergeCell ref="B83:F83"/>
    <mergeCell ref="B59:L59"/>
    <mergeCell ref="B61:F61"/>
    <mergeCell ref="B80:L80"/>
    <mergeCell ref="B122:L122"/>
    <mergeCell ref="B98:L98"/>
    <mergeCell ref="B100:F100"/>
    <mergeCell ref="B78:F78"/>
    <mergeCell ref="B94:L94"/>
    <mergeCell ref="B96:F96"/>
    <mergeCell ref="B110:L110"/>
    <mergeCell ref="B112:F112"/>
    <mergeCell ref="B118:L118"/>
    <mergeCell ref="B120:F120"/>
    <mergeCell ref="B114:L114"/>
    <mergeCell ref="B116:F116"/>
    <mergeCell ref="B102:L102"/>
    <mergeCell ref="B104:F104"/>
    <mergeCell ref="B131:L131"/>
    <mergeCell ref="B133:F133"/>
    <mergeCell ref="B127:L127"/>
    <mergeCell ref="B129:F129"/>
    <mergeCell ref="B125:F125"/>
  </mergeCells>
  <pageMargins left="0.15748031496062992" right="0.15748031496062992" top="0.15748031496062992" bottom="0.15748031496062992" header="0.15748031496062992" footer="0.15748031496062992"/>
  <pageSetup paperSize="5" scale="65" fitToHeight="0" orientation="landscape" r:id="rId1"/>
  <rowBreaks count="5" manualBreakCount="5">
    <brk id="30" min="1" max="11" man="1"/>
    <brk id="51" min="1" max="11" man="1"/>
    <brk id="73" min="1" max="11" man="1"/>
    <brk id="96" min="1" max="11" man="1"/>
    <brk id="121" min="1" max="11" man="1"/>
  </rowBreaks>
  <ignoredErrors>
    <ignoredError sqref="K23 K33 K37 K41 K45 K49 K64 K86 K124 K76:K77 K68 L123 K29 K99 K91 K57 K53 K81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M877141"/>
  <sheetViews>
    <sheetView showGridLines="0" view="pageBreakPreview" zoomScaleNormal="93" zoomScaleSheetLayoutView="100" workbookViewId="0">
      <selection activeCell="F18" sqref="F18"/>
    </sheetView>
  </sheetViews>
  <sheetFormatPr baseColWidth="10" defaultColWidth="11.42578125" defaultRowHeight="12.75" x14ac:dyDescent="0.2"/>
  <cols>
    <col min="1" max="1" width="6.42578125" style="1" customWidth="1"/>
    <col min="2" max="2" width="38.85546875" style="1" customWidth="1"/>
    <col min="3" max="3" width="8.85546875" style="4" customWidth="1"/>
    <col min="4" max="4" width="53.85546875" style="1" customWidth="1"/>
    <col min="5" max="5" width="44.140625" style="4" customWidth="1"/>
    <col min="6" max="6" width="17.28515625" style="2" customWidth="1"/>
    <col min="7" max="7" width="13.5703125" style="1" customWidth="1"/>
    <col min="8" max="8" width="14.140625" style="1" customWidth="1"/>
    <col min="9" max="9" width="14.7109375" style="1" customWidth="1"/>
    <col min="10" max="10" width="13.5703125" style="1" customWidth="1"/>
    <col min="11" max="11" width="14.85546875" style="1" customWidth="1"/>
    <col min="12" max="12" width="18.7109375" style="1" customWidth="1"/>
    <col min="13" max="13" width="11.42578125" style="102"/>
    <col min="14" max="16384" width="11.42578125" style="1"/>
  </cols>
  <sheetData>
    <row r="2" spans="1:13" ht="23.25" x14ac:dyDescent="0.35">
      <c r="A2" s="289" t="s">
        <v>410</v>
      </c>
      <c r="B2" s="289"/>
      <c r="C2" s="289"/>
      <c r="D2" s="289"/>
      <c r="E2" s="289"/>
      <c r="F2" s="289"/>
      <c r="G2" s="289"/>
      <c r="H2" s="289"/>
      <c r="I2" s="289"/>
      <c r="J2" s="289"/>
      <c r="K2" s="289"/>
      <c r="L2" s="289"/>
    </row>
    <row r="3" spans="1:13" ht="21" x14ac:dyDescent="0.35">
      <c r="A3" s="290" t="s">
        <v>411</v>
      </c>
      <c r="B3" s="290"/>
      <c r="C3" s="290"/>
      <c r="D3" s="290"/>
      <c r="E3" s="290"/>
      <c r="F3" s="290"/>
      <c r="G3" s="290"/>
      <c r="H3" s="290"/>
      <c r="I3" s="290"/>
      <c r="J3" s="290"/>
      <c r="K3" s="290"/>
      <c r="L3" s="290"/>
    </row>
    <row r="4" spans="1:13" ht="18.75" x14ac:dyDescent="0.3">
      <c r="A4" s="291" t="s">
        <v>686</v>
      </c>
      <c r="B4" s="291"/>
      <c r="C4" s="291"/>
      <c r="D4" s="291"/>
      <c r="E4" s="291"/>
      <c r="F4" s="291"/>
      <c r="G4" s="291"/>
      <c r="H4" s="291"/>
      <c r="I4" s="291"/>
      <c r="J4" s="291"/>
      <c r="K4" s="291"/>
      <c r="L4" s="291"/>
      <c r="M4" s="199"/>
    </row>
    <row r="5" spans="1:13" ht="19.5" thickBot="1" x14ac:dyDescent="0.35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99"/>
    </row>
    <row r="6" spans="1:13" s="2" customFormat="1" ht="21" customHeight="1" thickBot="1" x14ac:dyDescent="0.25">
      <c r="B6" s="3"/>
      <c r="C6" s="143"/>
      <c r="D6" s="3"/>
      <c r="E6" s="4"/>
      <c r="F6" s="6"/>
      <c r="G6" s="319" t="s">
        <v>120</v>
      </c>
      <c r="H6" s="320"/>
      <c r="M6" s="68"/>
    </row>
    <row r="7" spans="1:13" s="2" customFormat="1" ht="27" customHeight="1" thickBot="1" x14ac:dyDescent="0.25">
      <c r="A7" s="272" t="s">
        <v>0</v>
      </c>
      <c r="B7" s="272" t="s">
        <v>362</v>
      </c>
      <c r="C7" s="272" t="s">
        <v>423</v>
      </c>
      <c r="D7" s="272" t="s">
        <v>126</v>
      </c>
      <c r="E7" s="272" t="s">
        <v>127</v>
      </c>
      <c r="F7" s="272" t="s">
        <v>124</v>
      </c>
      <c r="G7" s="272" t="s">
        <v>1</v>
      </c>
      <c r="H7" s="272" t="s">
        <v>2</v>
      </c>
      <c r="I7" s="272" t="s">
        <v>115</v>
      </c>
      <c r="J7" s="272" t="s">
        <v>117</v>
      </c>
      <c r="K7" s="272" t="s">
        <v>3</v>
      </c>
      <c r="L7" s="272" t="s">
        <v>116</v>
      </c>
      <c r="M7" s="68"/>
    </row>
    <row r="8" spans="1:13" s="93" customFormat="1" ht="19.899999999999999" customHeight="1" x14ac:dyDescent="0.25">
      <c r="A8" s="271">
        <v>1</v>
      </c>
      <c r="B8" s="112" t="s">
        <v>306</v>
      </c>
      <c r="C8" s="122" t="s">
        <v>422</v>
      </c>
      <c r="D8" s="123" t="s">
        <v>85</v>
      </c>
      <c r="E8" s="112" t="s">
        <v>191</v>
      </c>
      <c r="F8" s="77">
        <v>50000</v>
      </c>
      <c r="G8" s="77">
        <f>F8*2.87%</f>
        <v>1435</v>
      </c>
      <c r="H8" s="77">
        <f>+F8*3.04%</f>
        <v>1520</v>
      </c>
      <c r="I8" s="77">
        <v>1854</v>
      </c>
      <c r="J8" s="78">
        <f>25+3093.8</f>
        <v>3118.8</v>
      </c>
      <c r="K8" s="107">
        <f>SUM(G8:J8)</f>
        <v>7927.8</v>
      </c>
      <c r="L8" s="256">
        <f>+F8-K8</f>
        <v>42072.2</v>
      </c>
    </row>
    <row r="9" spans="1:13" s="94" customFormat="1" ht="20.100000000000001" customHeight="1" x14ac:dyDescent="0.25">
      <c r="A9" s="255">
        <v>2</v>
      </c>
      <c r="B9" s="108" t="s">
        <v>416</v>
      </c>
      <c r="C9" s="36" t="s">
        <v>421</v>
      </c>
      <c r="D9" s="109" t="s">
        <v>430</v>
      </c>
      <c r="E9" s="108" t="s">
        <v>417</v>
      </c>
      <c r="F9" s="92">
        <v>44000</v>
      </c>
      <c r="G9" s="92">
        <f t="shared" ref="G9:G13" si="0">F9*2.87%</f>
        <v>1262.8</v>
      </c>
      <c r="H9" s="92">
        <f t="shared" ref="H9" si="1">+F9*3.04%</f>
        <v>1337.6</v>
      </c>
      <c r="I9" s="92">
        <v>1007.19</v>
      </c>
      <c r="J9" s="250">
        <v>25</v>
      </c>
      <c r="K9" s="106">
        <f>+G9+H9+J9+I9</f>
        <v>3632.5899999999997</v>
      </c>
      <c r="L9" s="257">
        <f t="shared" ref="L9:L13" si="2">+F9-K9</f>
        <v>40367.410000000003</v>
      </c>
    </row>
    <row r="10" spans="1:13" s="93" customFormat="1" ht="20.100000000000001" customHeight="1" x14ac:dyDescent="0.25">
      <c r="A10" s="255">
        <v>3</v>
      </c>
      <c r="B10" s="108" t="s">
        <v>333</v>
      </c>
      <c r="C10" s="36" t="s">
        <v>421</v>
      </c>
      <c r="D10" s="109" t="s">
        <v>328</v>
      </c>
      <c r="E10" s="108" t="s">
        <v>98</v>
      </c>
      <c r="F10" s="82">
        <v>28875</v>
      </c>
      <c r="G10" s="82">
        <f t="shared" ref="G10:G11" si="3">F10*2.87%</f>
        <v>828.71249999999998</v>
      </c>
      <c r="H10" s="82">
        <f t="shared" ref="H10:H11" si="4">+F10*3.04%</f>
        <v>877.8</v>
      </c>
      <c r="I10" s="82"/>
      <c r="J10" s="84">
        <v>4696.99</v>
      </c>
      <c r="K10" s="107">
        <f>G10+H10+I10+J10</f>
        <v>6403.5024999999996</v>
      </c>
      <c r="L10" s="258">
        <f t="shared" ref="L10:L11" si="5">+F10-K10</f>
        <v>22471.497500000001</v>
      </c>
    </row>
    <row r="11" spans="1:13" s="93" customFormat="1" ht="20.100000000000001" customHeight="1" x14ac:dyDescent="0.25">
      <c r="A11" s="255">
        <v>4</v>
      </c>
      <c r="B11" s="108" t="s">
        <v>337</v>
      </c>
      <c r="C11" s="36" t="s">
        <v>421</v>
      </c>
      <c r="D11" s="109" t="s">
        <v>328</v>
      </c>
      <c r="E11" s="108" t="s">
        <v>37</v>
      </c>
      <c r="F11" s="82">
        <v>26565</v>
      </c>
      <c r="G11" s="82">
        <f t="shared" si="3"/>
        <v>762.41549999999995</v>
      </c>
      <c r="H11" s="82">
        <f t="shared" si="4"/>
        <v>807.57600000000002</v>
      </c>
      <c r="I11" s="82"/>
      <c r="J11" s="84">
        <f>3059.88+8955.45+25</f>
        <v>12040.330000000002</v>
      </c>
      <c r="K11" s="107">
        <f>SUM(G11:J11)</f>
        <v>13610.321500000002</v>
      </c>
      <c r="L11" s="258">
        <f t="shared" si="5"/>
        <v>12954.678499999998</v>
      </c>
    </row>
    <row r="12" spans="1:13" s="93" customFormat="1" ht="20.100000000000001" customHeight="1" x14ac:dyDescent="0.25">
      <c r="A12" s="255">
        <v>5</v>
      </c>
      <c r="B12" s="108" t="s">
        <v>79</v>
      </c>
      <c r="C12" s="36" t="s">
        <v>422</v>
      </c>
      <c r="D12" s="109" t="s">
        <v>418</v>
      </c>
      <c r="E12" s="108" t="s">
        <v>354</v>
      </c>
      <c r="F12" s="92">
        <v>20356.599999999999</v>
      </c>
      <c r="G12" s="92">
        <f t="shared" si="0"/>
        <v>584.23442</v>
      </c>
      <c r="H12" s="92">
        <f t="shared" ref="H12:H13" si="6">+F12*3.04%</f>
        <v>618.84064000000001</v>
      </c>
      <c r="I12" s="92"/>
      <c r="J12" s="250">
        <v>25</v>
      </c>
      <c r="K12" s="106">
        <f>+G12+H12+J12+I12</f>
        <v>1228.0750600000001</v>
      </c>
      <c r="L12" s="257">
        <f t="shared" si="2"/>
        <v>19128.524939999999</v>
      </c>
    </row>
    <row r="13" spans="1:13" s="93" customFormat="1" ht="20.100000000000001" customHeight="1" thickBot="1" x14ac:dyDescent="0.3">
      <c r="A13" s="259">
        <v>6</v>
      </c>
      <c r="B13" s="260" t="s">
        <v>584</v>
      </c>
      <c r="C13" s="261" t="s">
        <v>422</v>
      </c>
      <c r="D13" s="262" t="s">
        <v>585</v>
      </c>
      <c r="E13" s="260" t="s">
        <v>147</v>
      </c>
      <c r="F13" s="263">
        <v>93500</v>
      </c>
      <c r="G13" s="263">
        <f t="shared" si="0"/>
        <v>2683.45</v>
      </c>
      <c r="H13" s="263">
        <f t="shared" si="6"/>
        <v>2842.4</v>
      </c>
      <c r="I13" s="263">
        <v>10576.47</v>
      </c>
      <c r="J13" s="264">
        <v>25</v>
      </c>
      <c r="K13" s="265">
        <f>+G13+H13+J13+I13</f>
        <v>16127.32</v>
      </c>
      <c r="L13" s="266">
        <f t="shared" si="2"/>
        <v>77372.679999999993</v>
      </c>
    </row>
    <row r="14" spans="1:13" s="95" customFormat="1" ht="20.100000000000001" customHeight="1" thickBot="1" x14ac:dyDescent="0.3">
      <c r="A14" s="251"/>
      <c r="B14" s="252" t="s">
        <v>412</v>
      </c>
      <c r="C14" s="253"/>
      <c r="D14" s="254"/>
      <c r="E14" s="267"/>
      <c r="F14" s="268">
        <f>SUM(F8:F13)</f>
        <v>263296.59999999998</v>
      </c>
      <c r="G14" s="269">
        <f t="shared" ref="G14:L14" si="7">SUM(G8:G13)</f>
        <v>7556.6124199999995</v>
      </c>
      <c r="H14" s="269">
        <f t="shared" si="7"/>
        <v>8004.2166400000006</v>
      </c>
      <c r="I14" s="269">
        <f t="shared" si="7"/>
        <v>13437.66</v>
      </c>
      <c r="J14" s="269">
        <f>SUM(J8:J13)</f>
        <v>19931.120000000003</v>
      </c>
      <c r="K14" s="269">
        <f t="shared" si="7"/>
        <v>48929.609060000003</v>
      </c>
      <c r="L14" s="270">
        <f t="shared" si="7"/>
        <v>214366.99093999999</v>
      </c>
    </row>
    <row r="15" spans="1:13" ht="15.75" x14ac:dyDescent="0.25">
      <c r="D15" s="18"/>
      <c r="E15"/>
      <c r="F15" s="20"/>
    </row>
    <row r="16" spans="1:13" ht="15.75" x14ac:dyDescent="0.25">
      <c r="D16" s="18"/>
      <c r="E16"/>
      <c r="F16" s="20"/>
    </row>
    <row r="17" spans="2:8" ht="15.75" x14ac:dyDescent="0.25">
      <c r="B17" s="19"/>
      <c r="C17" s="141"/>
      <c r="D17" s="20"/>
      <c r="E17" s="19"/>
      <c r="F17"/>
      <c r="H17"/>
    </row>
    <row r="18" spans="2:8" ht="15.75" x14ac:dyDescent="0.25">
      <c r="B18" s="21"/>
      <c r="C18" s="142"/>
      <c r="D18" s="20"/>
      <c r="E18" s="21" t="s">
        <v>488</v>
      </c>
      <c r="F18" s="20"/>
      <c r="H18" s="21"/>
    </row>
    <row r="19" spans="2:8" ht="15.75" x14ac:dyDescent="0.25">
      <c r="B19" s="21" t="s">
        <v>489</v>
      </c>
      <c r="C19" s="142"/>
      <c r="D19" s="20"/>
      <c r="E19" s="21" t="s">
        <v>490</v>
      </c>
      <c r="F19" s="20"/>
      <c r="H19" s="21"/>
    </row>
    <row r="23" spans="2:8" hidden="1" x14ac:dyDescent="0.2"/>
    <row r="26" spans="2:8" x14ac:dyDescent="0.2">
      <c r="G26" s="1">
        <v>2</v>
      </c>
    </row>
    <row r="877141" spans="11:11" x14ac:dyDescent="0.2">
      <c r="K877141" s="11" t="e">
        <f>SUM(#REF!)</f>
        <v>#REF!</v>
      </c>
    </row>
  </sheetData>
  <sortState xmlns:xlrd2="http://schemas.microsoft.com/office/spreadsheetml/2017/richdata2" ref="A8:L14">
    <sortCondition descending="1" ref="F8:F14"/>
  </sortState>
  <mergeCells count="4">
    <mergeCell ref="G6:H6"/>
    <mergeCell ref="A2:L2"/>
    <mergeCell ref="A3:L3"/>
    <mergeCell ref="A4:L4"/>
  </mergeCells>
  <pageMargins left="0.17" right="0.17" top="0.62" bottom="0.17" header="0.31496062992125984" footer="0.17"/>
  <pageSetup paperSize="5" scale="68" fitToHeight="0" orientation="landscape" r:id="rId1"/>
  <rowBreaks count="2" manualBreakCount="2">
    <brk id="22" max="10" man="1"/>
    <brk id="45" max="10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b6b0d22-0a16-4c1a-9b76-95dfb845d415">
      <Terms xmlns="http://schemas.microsoft.com/office/infopath/2007/PartnerControls"/>
    </lcf76f155ced4ddcb4097134ff3c332f>
    <TaxCatchAll xmlns="d39205a1-5442-419a-b1e5-b39410ee312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44F8717C9ACB448C12FDEBB3161D79" ma:contentTypeVersion="17" ma:contentTypeDescription="Create a new document." ma:contentTypeScope="" ma:versionID="f97a908b989bffc03bdecd208987b7fa">
  <xsd:schema xmlns:xsd="http://www.w3.org/2001/XMLSchema" xmlns:xs="http://www.w3.org/2001/XMLSchema" xmlns:p="http://schemas.microsoft.com/office/2006/metadata/properties" xmlns:ns2="bb6b0d22-0a16-4c1a-9b76-95dfb845d415" xmlns:ns3="d39205a1-5442-419a-b1e5-b39410ee3123" targetNamespace="http://schemas.microsoft.com/office/2006/metadata/properties" ma:root="true" ma:fieldsID="b8323051ded9b79c34d8b59eb40cd98f" ns2:_="" ns3:_="">
    <xsd:import namespace="bb6b0d22-0a16-4c1a-9b76-95dfb845d415"/>
    <xsd:import namespace="d39205a1-5442-419a-b1e5-b39410ee312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6b0d22-0a16-4c1a-9b76-95dfb845d4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5897501-dae5-4a7c-aa0b-8da91be561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205a1-5442-419a-b1e5-b39410ee3123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c40e8d0-a452-42f7-af61-164b7a316f91}" ma:internalName="TaxCatchAll" ma:showField="CatchAllData" ma:web="d39205a1-5442-419a-b1e5-b39410ee312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71DCC4A-8C20-4156-9075-D257B105D1EB}">
  <ds:schemaRefs>
    <ds:schemaRef ds:uri="http://purl.org/dc/elements/1.1/"/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d39205a1-5442-419a-b1e5-b39410ee3123"/>
    <ds:schemaRef ds:uri="http://www.w3.org/XML/1998/namespace"/>
    <ds:schemaRef ds:uri="bb6b0d22-0a16-4c1a-9b76-95dfb845d415"/>
    <ds:schemaRef ds:uri="http://schemas.microsoft.com/office/2006/metadata/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CDE64ED9-14EB-4815-994E-DDCA4E47015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6b0d22-0a16-4c1a-9b76-95dfb845d415"/>
    <ds:schemaRef ds:uri="d39205a1-5442-419a-b1e5-b39410ee312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B53B7AF-8626-4907-87F5-4A70941566C7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b5510b9d-1611-4022-8488-41b0fd106d01}" enabled="1" method="Standard" siteId="{84c19291-14ab-4867-8582-dbea5badaa1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7</vt:i4>
      </vt:variant>
    </vt:vector>
  </HeadingPairs>
  <TitlesOfParts>
    <vt:vector size="11" baseType="lpstr">
      <vt:lpstr>NOMINA FIJOS </vt:lpstr>
      <vt:lpstr>PERSONAL TEMPORAL</vt:lpstr>
      <vt:lpstr>SUPLENCIA FIJOS</vt:lpstr>
      <vt:lpstr>TRAMITE PENSION </vt:lpstr>
      <vt:lpstr>'NOMINA FIJOS '!Área_de_impresión</vt:lpstr>
      <vt:lpstr>'PERSONAL TEMPORAL'!Área_de_impresión</vt:lpstr>
      <vt:lpstr>'SUPLENCIA FIJOS'!Área_de_impresión</vt:lpstr>
      <vt:lpstr>'TRAMITE PENSION '!Área_de_impresión</vt:lpstr>
      <vt:lpstr>'NOMINA FIJOS '!Títulos_a_imprimir</vt:lpstr>
      <vt:lpstr>'PERSONAL TEMPORAL'!Títulos_a_imprimir</vt:lpstr>
      <vt:lpstr>'SUPLENCIA FIJOS'!Títulos_a_imprimir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Emily Rosely Montero Ogando</cp:lastModifiedBy>
  <cp:lastPrinted>2023-08-28T15:12:18Z</cp:lastPrinted>
  <dcterms:created xsi:type="dcterms:W3CDTF">2019-01-11T19:06:47Z</dcterms:created>
  <dcterms:modified xsi:type="dcterms:W3CDTF">2023-08-28T18:41:55Z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0x0101003544F8717C9ACB448C12FDEBB3161D79</vt:lpwstr>
  </property>
  <property fmtid="{D5CDD505-2E9C-101B-9397-08002B2CF9AE}" pid="3" name="MediaServiceImageTags">
    <vt:lpwstr/>
  </property>
</Properties>
</file>