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A2B85A5D-31ED-47ED-9466-286C1CE0493D}" xr6:coauthVersionLast="47" xr6:coauthVersionMax="47" xr10:uidLastSave="{00000000-0000-0000-0000-000000000000}"/>
  <bookViews>
    <workbookView xWindow="28680" yWindow="-12660" windowWidth="16440" windowHeight="28320" activeTab="1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'!$A$1:$P$408</definedName>
    <definedName name="_xlnm.Print_Area" localSheetId="1">'PERSONAL TEMPORAL'!$A$1:$R$274</definedName>
    <definedName name="_xlnm.Print_Area" localSheetId="2">'SUPLENCIA FIJOS'!$B$1:$L$151</definedName>
    <definedName name="_xlnm.Print_Area" localSheetId="3">'TRAMITE PENSION '!$A$1:$L$21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45" i="4" l="1"/>
  <c r="A344" i="4"/>
  <c r="G238" i="4"/>
  <c r="H238" i="4"/>
  <c r="I238" i="4"/>
  <c r="J238" i="4"/>
  <c r="K238" i="4"/>
  <c r="L238" i="4"/>
  <c r="M238" i="4"/>
  <c r="N238" i="4"/>
  <c r="O238" i="4"/>
  <c r="P238" i="4"/>
  <c r="F238" i="4"/>
  <c r="A237" i="4"/>
  <c r="I346" i="4"/>
  <c r="M346" i="4"/>
  <c r="N346" i="4"/>
  <c r="F346" i="4"/>
  <c r="M398" i="4"/>
  <c r="I233" i="4"/>
  <c r="M233" i="4"/>
  <c r="N233" i="4"/>
  <c r="F233" i="4"/>
  <c r="F229" i="4"/>
  <c r="G224" i="4"/>
  <c r="H224" i="4"/>
  <c r="I224" i="4"/>
  <c r="M224" i="4"/>
  <c r="N224" i="4"/>
  <c r="F224" i="4"/>
  <c r="I220" i="4"/>
  <c r="M220" i="4"/>
  <c r="N220" i="4"/>
  <c r="F220" i="4"/>
  <c r="I216" i="4"/>
  <c r="M216" i="4"/>
  <c r="F216" i="4"/>
  <c r="I211" i="4"/>
  <c r="M211" i="4"/>
  <c r="N211" i="4"/>
  <c r="F211" i="4"/>
  <c r="I206" i="4"/>
  <c r="M206" i="4"/>
  <c r="N206" i="4"/>
  <c r="F206" i="4"/>
  <c r="I202" i="4"/>
  <c r="M202" i="4"/>
  <c r="F202" i="4"/>
  <c r="I193" i="4"/>
  <c r="M193" i="4"/>
  <c r="N193" i="4"/>
  <c r="F193" i="4"/>
  <c r="I186" i="4"/>
  <c r="M186" i="4"/>
  <c r="N186" i="4"/>
  <c r="F186" i="4"/>
  <c r="I181" i="4"/>
  <c r="M181" i="4"/>
  <c r="N181" i="4"/>
  <c r="F181" i="4"/>
  <c r="I177" i="4"/>
  <c r="M177" i="4"/>
  <c r="N177" i="4"/>
  <c r="F177" i="4"/>
  <c r="I171" i="4"/>
  <c r="M171" i="4"/>
  <c r="N171" i="4"/>
  <c r="F171" i="4"/>
  <c r="I164" i="4"/>
  <c r="M164" i="4"/>
  <c r="N164" i="4"/>
  <c r="F164" i="4"/>
  <c r="I160" i="4"/>
  <c r="M160" i="4"/>
  <c r="N160" i="4"/>
  <c r="F160" i="4"/>
  <c r="I155" i="4"/>
  <c r="M155" i="4"/>
  <c r="N155" i="4"/>
  <c r="F155" i="4"/>
  <c r="I147" i="4"/>
  <c r="M147" i="4"/>
  <c r="N147" i="4"/>
  <c r="F147" i="4"/>
  <c r="I142" i="4"/>
  <c r="M142" i="4"/>
  <c r="N142" i="4"/>
  <c r="F142" i="4"/>
  <c r="I133" i="4"/>
  <c r="M133" i="4"/>
  <c r="N133" i="4"/>
  <c r="F133" i="4"/>
  <c r="I127" i="4"/>
  <c r="M127" i="4"/>
  <c r="N127" i="4"/>
  <c r="F127" i="4"/>
  <c r="I120" i="4"/>
  <c r="M120" i="4"/>
  <c r="N120" i="4"/>
  <c r="F120" i="4"/>
  <c r="I114" i="4"/>
  <c r="M114" i="4"/>
  <c r="N114" i="4"/>
  <c r="F114" i="4"/>
  <c r="I106" i="4"/>
  <c r="M106" i="4"/>
  <c r="N106" i="4"/>
  <c r="F106" i="4"/>
  <c r="I102" i="4"/>
  <c r="M102" i="4"/>
  <c r="N102" i="4"/>
  <c r="F102" i="4"/>
  <c r="I98" i="4"/>
  <c r="M98" i="4"/>
  <c r="F98" i="4"/>
  <c r="I91" i="4"/>
  <c r="M91" i="4"/>
  <c r="N91" i="4"/>
  <c r="F91" i="4"/>
  <c r="I85" i="4"/>
  <c r="M85" i="4"/>
  <c r="N85" i="4"/>
  <c r="F85" i="4"/>
  <c r="I79" i="4"/>
  <c r="M79" i="4"/>
  <c r="N79" i="4"/>
  <c r="F79" i="4"/>
  <c r="I75" i="4"/>
  <c r="M75" i="4"/>
  <c r="N75" i="4"/>
  <c r="F75" i="4"/>
  <c r="I66" i="4"/>
  <c r="M66" i="4"/>
  <c r="N66" i="4"/>
  <c r="F66" i="4"/>
  <c r="I60" i="4"/>
  <c r="M60" i="4"/>
  <c r="N60" i="4"/>
  <c r="F60" i="4"/>
  <c r="G52" i="4"/>
  <c r="H52" i="4"/>
  <c r="I52" i="4"/>
  <c r="M52" i="4"/>
  <c r="N52" i="4"/>
  <c r="F52" i="4"/>
  <c r="I48" i="4"/>
  <c r="M48" i="4"/>
  <c r="F48" i="4"/>
  <c r="I40" i="4"/>
  <c r="M40" i="4"/>
  <c r="N40" i="4"/>
  <c r="F40" i="4"/>
  <c r="I28" i="4"/>
  <c r="M28" i="4"/>
  <c r="N28" i="4"/>
  <c r="F28" i="4"/>
  <c r="I24" i="4"/>
  <c r="M24" i="4"/>
  <c r="N24" i="4"/>
  <c r="F24" i="4"/>
  <c r="I19" i="4"/>
  <c r="M19" i="4"/>
  <c r="N19" i="4"/>
  <c r="F19" i="4"/>
  <c r="F248" i="4"/>
  <c r="F369" i="4"/>
  <c r="F398" i="4" l="1"/>
  <c r="I398" i="4"/>
  <c r="N398" i="4"/>
  <c r="I374" i="4"/>
  <c r="M374" i="4"/>
  <c r="N374" i="4"/>
  <c r="F374" i="4"/>
  <c r="I369" i="4"/>
  <c r="M369" i="4"/>
  <c r="N369" i="4"/>
  <c r="I363" i="4"/>
  <c r="M363" i="4"/>
  <c r="N363" i="4"/>
  <c r="F363" i="4"/>
  <c r="I359" i="4"/>
  <c r="M359" i="4"/>
  <c r="N359" i="4"/>
  <c r="F359" i="4"/>
  <c r="I355" i="4"/>
  <c r="M355" i="4"/>
  <c r="N355" i="4"/>
  <c r="F355" i="4"/>
  <c r="I351" i="4"/>
  <c r="M351" i="4"/>
  <c r="N351" i="4"/>
  <c r="F351" i="4"/>
  <c r="I324" i="4"/>
  <c r="M324" i="4"/>
  <c r="N324" i="4"/>
  <c r="F324" i="4"/>
  <c r="I315" i="4"/>
  <c r="M315" i="4"/>
  <c r="F315" i="4"/>
  <c r="I282" i="4"/>
  <c r="M282" i="4"/>
  <c r="N282" i="4"/>
  <c r="F282" i="4"/>
  <c r="I277" i="4"/>
  <c r="L277" i="4"/>
  <c r="M277" i="4"/>
  <c r="N277" i="4"/>
  <c r="F277" i="4"/>
  <c r="I273" i="4"/>
  <c r="M273" i="4"/>
  <c r="N273" i="4"/>
  <c r="F273" i="4"/>
  <c r="I267" i="4"/>
  <c r="M267" i="4"/>
  <c r="N267" i="4"/>
  <c r="F267" i="4"/>
  <c r="I262" i="4"/>
  <c r="M262" i="4"/>
  <c r="F262" i="4"/>
  <c r="I257" i="4"/>
  <c r="M257" i="4"/>
  <c r="N257" i="4"/>
  <c r="F257" i="4"/>
  <c r="I253" i="4"/>
  <c r="M253" i="4"/>
  <c r="N253" i="4"/>
  <c r="F253" i="4"/>
  <c r="I248" i="4"/>
  <c r="I400" i="4" s="1"/>
  <c r="M248" i="4"/>
  <c r="N248" i="4"/>
  <c r="I242" i="4"/>
  <c r="M242" i="4"/>
  <c r="N242" i="4"/>
  <c r="F242" i="4"/>
  <c r="I229" i="4"/>
  <c r="M229" i="4"/>
  <c r="N229" i="4"/>
  <c r="F400" i="4"/>
  <c r="I33" i="4"/>
  <c r="M33" i="4"/>
  <c r="N33" i="4"/>
  <c r="F33" i="4"/>
  <c r="G345" i="4"/>
  <c r="H345" i="4"/>
  <c r="A181" i="13"/>
  <c r="A158" i="13"/>
  <c r="A94" i="13"/>
  <c r="O270" i="13"/>
  <c r="P270" i="13"/>
  <c r="Q270" i="13"/>
  <c r="R270" i="13"/>
  <c r="N270" i="13"/>
  <c r="I270" i="13"/>
  <c r="J270" i="13"/>
  <c r="K270" i="13"/>
  <c r="L270" i="13"/>
  <c r="M270" i="13"/>
  <c r="H270" i="13"/>
  <c r="H121" i="13"/>
  <c r="H90" i="13"/>
  <c r="H87" i="13"/>
  <c r="H82" i="13"/>
  <c r="H76" i="13"/>
  <c r="H70" i="13"/>
  <c r="H66" i="13"/>
  <c r="H61" i="13"/>
  <c r="H56" i="13"/>
  <c r="H51" i="13"/>
  <c r="H47" i="13"/>
  <c r="H43" i="13"/>
  <c r="H35" i="13"/>
  <c r="H29" i="13"/>
  <c r="H25" i="13"/>
  <c r="H19" i="13"/>
  <c r="H264" i="13"/>
  <c r="K121" i="13"/>
  <c r="O121" i="13"/>
  <c r="P121" i="13"/>
  <c r="A10" i="4"/>
  <c r="A11" i="4" s="1"/>
  <c r="A12" i="4" s="1"/>
  <c r="A13" i="4" s="1"/>
  <c r="A14" i="4" s="1"/>
  <c r="A15" i="4" s="1"/>
  <c r="K264" i="13"/>
  <c r="J263" i="13"/>
  <c r="I263" i="13"/>
  <c r="K139" i="13"/>
  <c r="I120" i="13"/>
  <c r="J120" i="13"/>
  <c r="J345" i="4" l="1"/>
  <c r="L263" i="13"/>
  <c r="Q263" i="13" s="1"/>
  <c r="R263" i="13" s="1"/>
  <c r="L120" i="13"/>
  <c r="P90" i="13"/>
  <c r="O90" i="13"/>
  <c r="K90" i="13"/>
  <c r="J89" i="13"/>
  <c r="J90" i="13" s="1"/>
  <c r="I89" i="13"/>
  <c r="I90" i="13" s="1"/>
  <c r="P47" i="13"/>
  <c r="O47" i="13"/>
  <c r="K47" i="13"/>
  <c r="J46" i="13"/>
  <c r="J47" i="13" s="1"/>
  <c r="I46" i="13"/>
  <c r="I47" i="13" s="1"/>
  <c r="J125" i="16"/>
  <c r="K124" i="16"/>
  <c r="B111" i="16"/>
  <c r="H112" i="16"/>
  <c r="I112" i="16"/>
  <c r="J112" i="16"/>
  <c r="G112" i="16"/>
  <c r="K111" i="16"/>
  <c r="K112" i="16" s="1"/>
  <c r="K119" i="16"/>
  <c r="L119" i="16" s="1"/>
  <c r="K99" i="16"/>
  <c r="L99" i="16" s="1"/>
  <c r="K345" i="4" l="1"/>
  <c r="M263" i="13"/>
  <c r="M120" i="13"/>
  <c r="L89" i="13"/>
  <c r="L46" i="13"/>
  <c r="L47" i="13" s="1"/>
  <c r="N120" i="13" l="1"/>
  <c r="L90" i="13"/>
  <c r="M89" i="13"/>
  <c r="M46" i="13"/>
  <c r="M47" i="13" s="1"/>
  <c r="Q120" i="13" l="1"/>
  <c r="M90" i="13"/>
  <c r="N89" i="13"/>
  <c r="N46" i="13"/>
  <c r="N47" i="13" s="1"/>
  <c r="R120" i="13" l="1"/>
  <c r="N90" i="13"/>
  <c r="Q89" i="13"/>
  <c r="Q46" i="13"/>
  <c r="R46" i="13" s="1"/>
  <c r="R47" i="13" s="1"/>
  <c r="R89" i="13" l="1"/>
  <c r="R90" i="13" s="1"/>
  <c r="Q90" i="13"/>
  <c r="Q47" i="13"/>
  <c r="A15" i="13" l="1"/>
  <c r="A16" i="4"/>
  <c r="A17" i="4" s="1"/>
  <c r="A18" i="4" s="1"/>
  <c r="H104" i="16" l="1"/>
  <c r="I104" i="16"/>
  <c r="J104" i="16"/>
  <c r="K104" i="16"/>
  <c r="L104" i="16"/>
  <c r="G104" i="16"/>
  <c r="L103" i="16"/>
  <c r="K268" i="13"/>
  <c r="O268" i="13"/>
  <c r="P268" i="13"/>
  <c r="H268" i="13"/>
  <c r="K259" i="13"/>
  <c r="O259" i="13"/>
  <c r="P259" i="13"/>
  <c r="H259" i="13"/>
  <c r="K255" i="13"/>
  <c r="O255" i="13"/>
  <c r="P255" i="13"/>
  <c r="H255" i="13"/>
  <c r="K251" i="13"/>
  <c r="O251" i="13"/>
  <c r="P251" i="13"/>
  <c r="H251" i="13"/>
  <c r="K246" i="13"/>
  <c r="O246" i="13"/>
  <c r="P246" i="13"/>
  <c r="H246" i="13"/>
  <c r="K241" i="13"/>
  <c r="O241" i="13"/>
  <c r="P241" i="13"/>
  <c r="H241" i="13"/>
  <c r="K236" i="13"/>
  <c r="O236" i="13"/>
  <c r="P236" i="13"/>
  <c r="H236" i="13"/>
  <c r="K231" i="13"/>
  <c r="O231" i="13"/>
  <c r="P231" i="13"/>
  <c r="H231" i="13"/>
  <c r="K227" i="13"/>
  <c r="O227" i="13"/>
  <c r="P227" i="13"/>
  <c r="H227" i="13"/>
  <c r="K223" i="13"/>
  <c r="O223" i="13"/>
  <c r="P223" i="13"/>
  <c r="H223" i="13"/>
  <c r="K219" i="13"/>
  <c r="O219" i="13"/>
  <c r="P219" i="13"/>
  <c r="H219" i="13"/>
  <c r="K213" i="13"/>
  <c r="O213" i="13"/>
  <c r="P213" i="13"/>
  <c r="H213" i="13"/>
  <c r="K209" i="13"/>
  <c r="O209" i="13"/>
  <c r="P209" i="13"/>
  <c r="H209" i="13"/>
  <c r="K202" i="13"/>
  <c r="O202" i="13"/>
  <c r="P202" i="13"/>
  <c r="H202" i="13"/>
  <c r="K193" i="13"/>
  <c r="O193" i="13"/>
  <c r="P193" i="13"/>
  <c r="H193" i="13"/>
  <c r="K189" i="13"/>
  <c r="O189" i="13"/>
  <c r="P189" i="13"/>
  <c r="H189" i="13"/>
  <c r="K184" i="13"/>
  <c r="O184" i="13"/>
  <c r="P184" i="13"/>
  <c r="H184" i="13"/>
  <c r="K178" i="13"/>
  <c r="O178" i="13"/>
  <c r="P178" i="13"/>
  <c r="H178" i="13"/>
  <c r="K174" i="13"/>
  <c r="O174" i="13"/>
  <c r="P174" i="13"/>
  <c r="H174" i="13"/>
  <c r="K164" i="13"/>
  <c r="O164" i="13"/>
  <c r="H164" i="13"/>
  <c r="K159" i="13"/>
  <c r="P159" i="13"/>
  <c r="H159" i="13"/>
  <c r="K155" i="13"/>
  <c r="O155" i="13"/>
  <c r="P155" i="13"/>
  <c r="H155" i="13"/>
  <c r="K150" i="13"/>
  <c r="O150" i="13"/>
  <c r="P150" i="13"/>
  <c r="H150" i="13"/>
  <c r="K145" i="13"/>
  <c r="O145" i="13"/>
  <c r="P145" i="13"/>
  <c r="H145" i="13"/>
  <c r="O139" i="13"/>
  <c r="P139" i="13"/>
  <c r="H139" i="13"/>
  <c r="K134" i="13"/>
  <c r="O134" i="13"/>
  <c r="P134" i="13"/>
  <c r="H134" i="13"/>
  <c r="K130" i="13"/>
  <c r="O130" i="13"/>
  <c r="P130" i="13"/>
  <c r="H130" i="13"/>
  <c r="K126" i="13"/>
  <c r="O126" i="13"/>
  <c r="P126" i="13"/>
  <c r="H126" i="13"/>
  <c r="K113" i="13"/>
  <c r="O113" i="13"/>
  <c r="P113" i="13"/>
  <c r="H113" i="13"/>
  <c r="K109" i="13"/>
  <c r="O109" i="13"/>
  <c r="P109" i="13"/>
  <c r="H109" i="13"/>
  <c r="K104" i="13"/>
  <c r="N104" i="13"/>
  <c r="O104" i="13"/>
  <c r="P104" i="13"/>
  <c r="H104" i="13"/>
  <c r="K101" i="13"/>
  <c r="O101" i="13"/>
  <c r="H101" i="13"/>
  <c r="K95" i="13"/>
  <c r="O95" i="13"/>
  <c r="H95" i="13"/>
  <c r="K87" i="13"/>
  <c r="O87" i="13"/>
  <c r="P87" i="13"/>
  <c r="K82" i="13"/>
  <c r="O82" i="13"/>
  <c r="P82" i="13"/>
  <c r="K76" i="13"/>
  <c r="O76" i="13"/>
  <c r="P76" i="13"/>
  <c r="K70" i="13"/>
  <c r="O70" i="13"/>
  <c r="P70" i="13"/>
  <c r="K66" i="13"/>
  <c r="O66" i="13"/>
  <c r="P66" i="13"/>
  <c r="K61" i="13"/>
  <c r="O61" i="13"/>
  <c r="P61" i="13"/>
  <c r="K56" i="13"/>
  <c r="O56" i="13"/>
  <c r="P56" i="13"/>
  <c r="K51" i="13"/>
  <c r="O51" i="13"/>
  <c r="P51" i="13"/>
  <c r="K43" i="13"/>
  <c r="O43" i="13"/>
  <c r="P43" i="13"/>
  <c r="K35" i="13"/>
  <c r="O35" i="13"/>
  <c r="K29" i="13"/>
  <c r="O29" i="13"/>
  <c r="P29" i="13"/>
  <c r="K25" i="13"/>
  <c r="O25" i="13"/>
  <c r="P25" i="13"/>
  <c r="H12" i="13"/>
  <c r="K19" i="13"/>
  <c r="O19" i="13"/>
  <c r="P19" i="13"/>
  <c r="K12" i="13"/>
  <c r="O12" i="13"/>
  <c r="P12" i="13"/>
  <c r="J14" i="14"/>
  <c r="J158" i="13"/>
  <c r="I158" i="13"/>
  <c r="P100" i="13"/>
  <c r="P101" i="13" s="1"/>
  <c r="H237" i="4"/>
  <c r="M237" i="4" s="1"/>
  <c r="M400" i="4" s="1"/>
  <c r="G237" i="4"/>
  <c r="H132" i="4"/>
  <c r="G132" i="4"/>
  <c r="J42" i="13"/>
  <c r="I42" i="13"/>
  <c r="J132" i="4" l="1"/>
  <c r="K132" i="4" s="1"/>
  <c r="L132" i="4" s="1"/>
  <c r="L158" i="13"/>
  <c r="Q158" i="13" s="1"/>
  <c r="R158" i="13" s="1"/>
  <c r="R159" i="13" s="1"/>
  <c r="L42" i="13"/>
  <c r="M42" i="13" s="1"/>
  <c r="N42" i="13" s="1"/>
  <c r="Q42" i="13" s="1"/>
  <c r="R42" i="13" s="1"/>
  <c r="J237" i="4"/>
  <c r="M158" i="13"/>
  <c r="O237" i="4"/>
  <c r="P237" i="4" s="1"/>
  <c r="J11" i="14" l="1"/>
  <c r="J8" i="14"/>
  <c r="K123" i="16"/>
  <c r="K115" i="16"/>
  <c r="I245" i="13" l="1"/>
  <c r="J245" i="13"/>
  <c r="I201" i="13"/>
  <c r="J201" i="13"/>
  <c r="I200" i="13"/>
  <c r="J200" i="13"/>
  <c r="J148" i="13"/>
  <c r="I138" i="13"/>
  <c r="J138" i="13"/>
  <c r="I125" i="13"/>
  <c r="J125" i="13"/>
  <c r="J117" i="13"/>
  <c r="I41" i="13"/>
  <c r="J41" i="13"/>
  <c r="G350" i="4"/>
  <c r="H350" i="4"/>
  <c r="G344" i="4"/>
  <c r="H344" i="4"/>
  <c r="I26" i="16"/>
  <c r="I27" i="16" s="1"/>
  <c r="H26" i="16"/>
  <c r="H27" i="16" s="1"/>
  <c r="J27" i="16"/>
  <c r="G27" i="16"/>
  <c r="J350" i="4" l="1"/>
  <c r="K350" i="4" s="1"/>
  <c r="L350" i="4" s="1"/>
  <c r="O350" i="4" s="1"/>
  <c r="P350" i="4" s="1"/>
  <c r="L245" i="13"/>
  <c r="M245" i="13" s="1"/>
  <c r="N245" i="13" s="1"/>
  <c r="Q245" i="13" s="1"/>
  <c r="R245" i="13" s="1"/>
  <c r="L138" i="13"/>
  <c r="M138" i="13" s="1"/>
  <c r="N138" i="13" s="1"/>
  <c r="Q138" i="13" s="1"/>
  <c r="R138" i="13" s="1"/>
  <c r="L201" i="13"/>
  <c r="M201" i="13" s="1"/>
  <c r="N201" i="13" s="1"/>
  <c r="Q201" i="13" s="1"/>
  <c r="R201" i="13" s="1"/>
  <c r="L200" i="13"/>
  <c r="M200" i="13" s="1"/>
  <c r="N200" i="13" s="1"/>
  <c r="Q200" i="13" s="1"/>
  <c r="R200" i="13" s="1"/>
  <c r="L125" i="13"/>
  <c r="M125" i="13" s="1"/>
  <c r="N125" i="13" s="1"/>
  <c r="Q125" i="13" s="1"/>
  <c r="R125" i="13" s="1"/>
  <c r="L41" i="13"/>
  <c r="M41" i="13" s="1"/>
  <c r="N41" i="13" s="1"/>
  <c r="Q41" i="13" s="1"/>
  <c r="R41" i="13" s="1"/>
  <c r="J344" i="4"/>
  <c r="K344" i="4" s="1"/>
  <c r="O344" i="4"/>
  <c r="P344" i="4" s="1"/>
  <c r="K26" i="16"/>
  <c r="K27" i="16" s="1"/>
  <c r="L26" i="16" l="1"/>
  <c r="L27" i="16" s="1"/>
  <c r="J60" i="13" l="1"/>
  <c r="J61" i="13" s="1"/>
  <c r="I60" i="13"/>
  <c r="I61" i="13" s="1"/>
  <c r="L60" i="13" l="1"/>
  <c r="L61" i="13" s="1"/>
  <c r="M60" i="13" l="1"/>
  <c r="M61" i="13" l="1"/>
  <c r="N60" i="13" s="1"/>
  <c r="N61" i="13" l="1"/>
  <c r="Q60" i="13"/>
  <c r="Q61" i="13" s="1"/>
  <c r="R60" i="13" l="1"/>
  <c r="R61" i="13" s="1"/>
  <c r="H117" i="4"/>
  <c r="G117" i="4"/>
  <c r="J117" i="4" l="1"/>
  <c r="K117" i="4" l="1"/>
  <c r="L117" i="4" l="1"/>
  <c r="O117" i="4" l="1"/>
  <c r="P117" i="4" l="1"/>
  <c r="J133" i="16"/>
  <c r="I133" i="16"/>
  <c r="H133" i="16"/>
  <c r="G133" i="16"/>
  <c r="K132" i="16"/>
  <c r="K133" i="16" s="1"/>
  <c r="L115" i="16"/>
  <c r="L116" i="16" s="1"/>
  <c r="J116" i="16"/>
  <c r="I116" i="16"/>
  <c r="H116" i="16"/>
  <c r="G116" i="16"/>
  <c r="K72" i="16"/>
  <c r="K73" i="16" s="1"/>
  <c r="J73" i="16"/>
  <c r="I73" i="16"/>
  <c r="H73" i="16"/>
  <c r="G73" i="16"/>
  <c r="J262" i="13"/>
  <c r="J264" i="13" s="1"/>
  <c r="I262" i="13"/>
  <c r="I264" i="13" s="1"/>
  <c r="J254" i="13"/>
  <c r="J255" i="13" s="1"/>
  <c r="I254" i="13"/>
  <c r="I255" i="13" s="1"/>
  <c r="I208" i="13"/>
  <c r="J208" i="13"/>
  <c r="I173" i="13"/>
  <c r="J173" i="13"/>
  <c r="J154" i="13"/>
  <c r="I154" i="13"/>
  <c r="J100" i="13"/>
  <c r="I100" i="13"/>
  <c r="L132" i="16" l="1"/>
  <c r="L133" i="16" s="1"/>
  <c r="K116" i="16"/>
  <c r="L72" i="16"/>
  <c r="L73" i="16" s="1"/>
  <c r="L262" i="13"/>
  <c r="L264" i="13" s="1"/>
  <c r="L254" i="13"/>
  <c r="L255" i="13" s="1"/>
  <c r="L208" i="13"/>
  <c r="M208" i="13" s="1"/>
  <c r="N208" i="13" s="1"/>
  <c r="Q208" i="13" s="1"/>
  <c r="R208" i="13" s="1"/>
  <c r="L173" i="13"/>
  <c r="M173" i="13" s="1"/>
  <c r="L154" i="13"/>
  <c r="M154" i="13" s="1"/>
  <c r="N154" i="13" s="1"/>
  <c r="Q154" i="13" s="1"/>
  <c r="R154" i="13" s="1"/>
  <c r="L100" i="13"/>
  <c r="G318" i="4"/>
  <c r="H318" i="4"/>
  <c r="H163" i="4"/>
  <c r="H164" i="4" s="1"/>
  <c r="G163" i="4"/>
  <c r="G164" i="4" s="1"/>
  <c r="H23" i="4"/>
  <c r="H22" i="4"/>
  <c r="G23" i="4"/>
  <c r="A22" i="4"/>
  <c r="A23" i="4" s="1"/>
  <c r="A27" i="4" s="1"/>
  <c r="G16" i="4"/>
  <c r="H16" i="4"/>
  <c r="G17" i="4"/>
  <c r="H17" i="4"/>
  <c r="G18" i="4"/>
  <c r="H18" i="4"/>
  <c r="H24" i="4" l="1"/>
  <c r="J318" i="4"/>
  <c r="M262" i="13"/>
  <c r="M264" i="13" s="1"/>
  <c r="M254" i="13"/>
  <c r="M255" i="13" s="1"/>
  <c r="N173" i="13"/>
  <c r="Q173" i="13" s="1"/>
  <c r="R173" i="13" s="1"/>
  <c r="M100" i="13"/>
  <c r="J163" i="4"/>
  <c r="J164" i="4" s="1"/>
  <c r="J23" i="4"/>
  <c r="J16" i="4"/>
  <c r="K16" i="4" s="1"/>
  <c r="L16" i="4" s="1"/>
  <c r="O16" i="4" s="1"/>
  <c r="J17" i="4"/>
  <c r="K17" i="4" s="1"/>
  <c r="L17" i="4" s="1"/>
  <c r="O17" i="4" s="1"/>
  <c r="P17" i="4" s="1"/>
  <c r="J18" i="4"/>
  <c r="K18" i="4" s="1"/>
  <c r="L18" i="4" s="1"/>
  <c r="K318" i="4" l="1"/>
  <c r="L318" i="4" s="1"/>
  <c r="K23" i="4"/>
  <c r="P16" i="4"/>
  <c r="N262" i="13"/>
  <c r="N264" i="13" s="1"/>
  <c r="N254" i="13"/>
  <c r="N255" i="13" s="1"/>
  <c r="N100" i="13"/>
  <c r="K163" i="4"/>
  <c r="K164" i="4" s="1"/>
  <c r="O18" i="4"/>
  <c r="P18" i="4" s="1"/>
  <c r="L23" i="4" l="1"/>
  <c r="Q262" i="13"/>
  <c r="Q254" i="13"/>
  <c r="Q255" i="13" s="1"/>
  <c r="Q100" i="13"/>
  <c r="R100" i="13" s="1"/>
  <c r="O318" i="4"/>
  <c r="L163" i="4"/>
  <c r="L164" i="4" s="1"/>
  <c r="O23" i="4" l="1"/>
  <c r="R262" i="13"/>
  <c r="R254" i="13"/>
  <c r="R255" i="13" s="1"/>
  <c r="P318" i="4"/>
  <c r="O163" i="4"/>
  <c r="O164" i="4" s="1"/>
  <c r="P23" i="4" l="1"/>
  <c r="P163" i="4"/>
  <c r="P164" i="4" s="1"/>
  <c r="K60" i="16" l="1"/>
  <c r="K10" i="16"/>
  <c r="J222" i="13"/>
  <c r="J223" i="13" s="1"/>
  <c r="J177" i="13"/>
  <c r="J178" i="13" s="1"/>
  <c r="J267" i="13"/>
  <c r="J268" i="13" s="1"/>
  <c r="I267" i="13"/>
  <c r="I268" i="13" s="1"/>
  <c r="I250" i="13"/>
  <c r="J250" i="13"/>
  <c r="J212" i="13"/>
  <c r="J213" i="13" s="1"/>
  <c r="I212" i="13"/>
  <c r="I213" i="13" s="1"/>
  <c r="J192" i="13"/>
  <c r="J193" i="13" s="1"/>
  <c r="J153" i="13"/>
  <c r="J155" i="13" s="1"/>
  <c r="I153" i="13"/>
  <c r="I155" i="13" s="1"/>
  <c r="J143" i="13"/>
  <c r="J144" i="13"/>
  <c r="I143" i="13"/>
  <c r="I144" i="13"/>
  <c r="J142" i="13"/>
  <c r="J112" i="13"/>
  <c r="J113" i="13" s="1"/>
  <c r="I112" i="13"/>
  <c r="I113" i="13" s="1"/>
  <c r="J22" i="13"/>
  <c r="J17" i="13"/>
  <c r="H27" i="4"/>
  <c r="H28" i="4" s="1"/>
  <c r="H209" i="4"/>
  <c r="G397" i="4"/>
  <c r="H397" i="4"/>
  <c r="G343" i="4"/>
  <c r="H343" i="4"/>
  <c r="G310" i="4"/>
  <c r="H310" i="4"/>
  <c r="G311" i="4"/>
  <c r="H311" i="4"/>
  <c r="G312" i="4"/>
  <c r="H312" i="4"/>
  <c r="G313" i="4"/>
  <c r="H313" i="4"/>
  <c r="G314" i="4"/>
  <c r="H314" i="4"/>
  <c r="G309" i="4"/>
  <c r="H309" i="4"/>
  <c r="H276" i="4"/>
  <c r="H277" i="4" s="1"/>
  <c r="G276" i="4"/>
  <c r="G277" i="4" s="1"/>
  <c r="J145" i="13" l="1"/>
  <c r="J313" i="4"/>
  <c r="K313" i="4" s="1"/>
  <c r="L313" i="4" s="1"/>
  <c r="J343" i="4"/>
  <c r="K343" i="4" s="1"/>
  <c r="J397" i="4"/>
  <c r="K397" i="4" s="1"/>
  <c r="L397" i="4" s="1"/>
  <c r="L267" i="13"/>
  <c r="L268" i="13" s="1"/>
  <c r="L250" i="13"/>
  <c r="M250" i="13" s="1"/>
  <c r="L212" i="13"/>
  <c r="L213" i="13" s="1"/>
  <c r="L143" i="13"/>
  <c r="M143" i="13" s="1"/>
  <c r="N143" i="13" s="1"/>
  <c r="Q143" i="13" s="1"/>
  <c r="R143" i="13" s="1"/>
  <c r="L153" i="13"/>
  <c r="L155" i="13" s="1"/>
  <c r="L144" i="13"/>
  <c r="M144" i="13" s="1"/>
  <c r="N144" i="13" s="1"/>
  <c r="Q144" i="13" s="1"/>
  <c r="R144" i="13" s="1"/>
  <c r="L112" i="13"/>
  <c r="J312" i="4"/>
  <c r="K312" i="4" s="1"/>
  <c r="L312" i="4" s="1"/>
  <c r="O312" i="4" s="1"/>
  <c r="J311" i="4"/>
  <c r="K311" i="4" s="1"/>
  <c r="L311" i="4" s="1"/>
  <c r="O311" i="4" s="1"/>
  <c r="J314" i="4"/>
  <c r="K314" i="4" s="1"/>
  <c r="L314" i="4" s="1"/>
  <c r="J309" i="4"/>
  <c r="K309" i="4" s="1"/>
  <c r="J310" i="4"/>
  <c r="K310" i="4" s="1"/>
  <c r="L310" i="4" s="1"/>
  <c r="J276" i="4"/>
  <c r="J277" i="4" s="1"/>
  <c r="H183" i="4"/>
  <c r="H104" i="4"/>
  <c r="H8" i="4"/>
  <c r="G15" i="4"/>
  <c r="H15" i="4"/>
  <c r="M112" i="13" l="1"/>
  <c r="M113" i="13" s="1"/>
  <c r="L113" i="13"/>
  <c r="O314" i="4"/>
  <c r="P314" i="4" s="1"/>
  <c r="P311" i="4"/>
  <c r="O313" i="4"/>
  <c r="P313" i="4" s="1"/>
  <c r="P312" i="4"/>
  <c r="O310" i="4"/>
  <c r="P310" i="4" s="1"/>
  <c r="M267" i="13"/>
  <c r="M268" i="13" s="1"/>
  <c r="N250" i="13"/>
  <c r="M212" i="13"/>
  <c r="M153" i="13"/>
  <c r="M155" i="13" s="1"/>
  <c r="O397" i="4"/>
  <c r="P397" i="4" s="1"/>
  <c r="L343" i="4"/>
  <c r="O343" i="4" s="1"/>
  <c r="L309" i="4"/>
  <c r="O309" i="4" s="1"/>
  <c r="K276" i="4"/>
  <c r="J15" i="4"/>
  <c r="K15" i="4" s="1"/>
  <c r="O276" i="4" l="1"/>
  <c r="O277" i="4" s="1"/>
  <c r="K277" i="4"/>
  <c r="N112" i="13"/>
  <c r="N113" i="13" s="1"/>
  <c r="N212" i="13"/>
  <c r="M213" i="13"/>
  <c r="L15" i="4"/>
  <c r="O15" i="4" s="1"/>
  <c r="P15" i="4" s="1"/>
  <c r="N267" i="13"/>
  <c r="Q250" i="13"/>
  <c r="R250" i="13" s="1"/>
  <c r="N153" i="13"/>
  <c r="N155" i="13" s="1"/>
  <c r="P343" i="4"/>
  <c r="P309" i="4"/>
  <c r="Q112" i="13" l="1"/>
  <c r="Q113" i="13" s="1"/>
  <c r="Q267" i="13"/>
  <c r="Q268" i="13" s="1"/>
  <c r="N268" i="13"/>
  <c r="Q212" i="13"/>
  <c r="N213" i="13"/>
  <c r="Q153" i="13"/>
  <c r="Q155" i="13" s="1"/>
  <c r="R267" i="13" l="1"/>
  <c r="R268" i="13" s="1"/>
  <c r="R112" i="13"/>
  <c r="R113" i="13" s="1"/>
  <c r="R212" i="13"/>
  <c r="R213" i="13" s="1"/>
  <c r="Q213" i="13"/>
  <c r="R153" i="13"/>
  <c r="R155" i="13" s="1"/>
  <c r="P276" i="4"/>
  <c r="P277" i="4" s="1"/>
  <c r="K107" i="16" l="1"/>
  <c r="K22" i="16"/>
  <c r="P163" i="13"/>
  <c r="P164" i="13" s="1"/>
  <c r="Q13" i="13"/>
  <c r="L17" i="13"/>
  <c r="M17" i="13" s="1"/>
  <c r="G378" i="4"/>
  <c r="H378" i="4"/>
  <c r="J34" i="4"/>
  <c r="K34" i="4" s="1"/>
  <c r="L34" i="4" s="1"/>
  <c r="O34" i="4" s="1"/>
  <c r="J42" i="4"/>
  <c r="J51" i="4"/>
  <c r="J52" i="4" s="1"/>
  <c r="J95" i="4"/>
  <c r="K95" i="4" s="1"/>
  <c r="J104" i="4"/>
  <c r="J131" i="4"/>
  <c r="K131" i="4" s="1"/>
  <c r="L131" i="4" s="1"/>
  <c r="O131" i="4" s="1"/>
  <c r="J150" i="4"/>
  <c r="J158" i="4"/>
  <c r="J183" i="4"/>
  <c r="J223" i="4"/>
  <c r="J224" i="4" s="1"/>
  <c r="O1000248" i="4"/>
  <c r="K158" i="4" l="1"/>
  <c r="L158" i="4" s="1"/>
  <c r="K150" i="4"/>
  <c r="K104" i="4"/>
  <c r="K223" i="4"/>
  <c r="K224" i="4" s="1"/>
  <c r="K42" i="4"/>
  <c r="K183" i="4"/>
  <c r="N17" i="13"/>
  <c r="Q17" i="13" s="1"/>
  <c r="L150" i="4"/>
  <c r="L95" i="4"/>
  <c r="O95" i="4" s="1"/>
  <c r="J378" i="4"/>
  <c r="K378" i="4" s="1"/>
  <c r="K51" i="4"/>
  <c r="K52" i="4" s="1"/>
  <c r="L223" i="4" l="1"/>
  <c r="L224" i="4" s="1"/>
  <c r="L104" i="4"/>
  <c r="O158" i="4"/>
  <c r="O150" i="4"/>
  <c r="L42" i="4"/>
  <c r="L183" i="4"/>
  <c r="O378" i="4"/>
  <c r="P378" i="4" s="1"/>
  <c r="L51" i="4"/>
  <c r="L52" i="4" s="1"/>
  <c r="O223" i="4" l="1"/>
  <c r="O224" i="4" s="1"/>
  <c r="O42" i="4"/>
  <c r="O104" i="4"/>
  <c r="O183" i="4"/>
  <c r="O51" i="4"/>
  <c r="O52" i="4" s="1"/>
  <c r="I222" i="13" l="1"/>
  <c r="I223" i="13" s="1"/>
  <c r="L222" i="13" l="1"/>
  <c r="L223" i="13" s="1"/>
  <c r="H281" i="4"/>
  <c r="N201" i="4"/>
  <c r="N202" i="4" s="1"/>
  <c r="M222" i="13" l="1"/>
  <c r="M223" i="13" s="1"/>
  <c r="N222" i="13" l="1"/>
  <c r="N223" i="13" s="1"/>
  <c r="G14" i="14"/>
  <c r="H14" i="14"/>
  <c r="I14" i="14"/>
  <c r="F14" i="14"/>
  <c r="L13" i="14"/>
  <c r="K13" i="14"/>
  <c r="G13" i="14"/>
  <c r="H13" i="14"/>
  <c r="P33" i="13"/>
  <c r="P35" i="13" s="1"/>
  <c r="R17" i="13"/>
  <c r="A16" i="13"/>
  <c r="A17" i="13" s="1"/>
  <c r="A18" i="13" s="1"/>
  <c r="A22" i="13" s="1"/>
  <c r="Q222" i="13" l="1"/>
  <c r="Q223" i="13" s="1"/>
  <c r="N214" i="4"/>
  <c r="N216" i="4" s="1"/>
  <c r="N96" i="4"/>
  <c r="N98" i="4" s="1"/>
  <c r="N43" i="4"/>
  <c r="N48" i="4" s="1"/>
  <c r="H83" i="4"/>
  <c r="G83" i="4"/>
  <c r="R222" i="13" l="1"/>
  <c r="R223" i="13" s="1"/>
  <c r="J83" i="4"/>
  <c r="K83" i="4" s="1"/>
  <c r="P94" i="13"/>
  <c r="P95" i="13" s="1"/>
  <c r="L83" i="4" l="1"/>
  <c r="O83" i="4" s="1"/>
  <c r="P83" i="4" s="1"/>
  <c r="N289" i="4"/>
  <c r="N315" i="4" s="1"/>
  <c r="G176" i="4"/>
  <c r="H176" i="4"/>
  <c r="H119" i="4"/>
  <c r="G119" i="4"/>
  <c r="H159" i="4"/>
  <c r="H160" i="4" s="1"/>
  <c r="G159" i="4"/>
  <c r="G160" i="4" s="1"/>
  <c r="G308" i="4"/>
  <c r="H308" i="4"/>
  <c r="G13" i="4"/>
  <c r="H13" i="4"/>
  <c r="J119" i="4" l="1"/>
  <c r="K119" i="4" s="1"/>
  <c r="J176" i="4"/>
  <c r="K176" i="4" s="1"/>
  <c r="J159" i="4"/>
  <c r="J160" i="4" s="1"/>
  <c r="J308" i="4"/>
  <c r="J13" i="4"/>
  <c r="K13" i="4" s="1"/>
  <c r="L13" i="4" s="1"/>
  <c r="K308" i="4" l="1"/>
  <c r="L308" i="4" s="1"/>
  <c r="L176" i="4"/>
  <c r="O176" i="4" s="1"/>
  <c r="P176" i="4" s="1"/>
  <c r="L119" i="4"/>
  <c r="O119" i="4" s="1"/>
  <c r="P119" i="4" s="1"/>
  <c r="O13" i="4"/>
  <c r="K159" i="4"/>
  <c r="L159" i="4" l="1"/>
  <c r="L160" i="4" s="1"/>
  <c r="K160" i="4"/>
  <c r="O308" i="4"/>
  <c r="P308" i="4" s="1"/>
  <c r="P13" i="4"/>
  <c r="G139" i="16"/>
  <c r="G125" i="16"/>
  <c r="G88" i="16"/>
  <c r="G83" i="16"/>
  <c r="G78" i="16"/>
  <c r="B10" i="16"/>
  <c r="H88" i="16"/>
  <c r="I88" i="16"/>
  <c r="J88" i="16"/>
  <c r="K87" i="16"/>
  <c r="L87" i="16" s="1"/>
  <c r="H83" i="16"/>
  <c r="I83" i="16"/>
  <c r="J83" i="16"/>
  <c r="K82" i="16"/>
  <c r="L82" i="16" s="1"/>
  <c r="J129" i="16"/>
  <c r="I129" i="16"/>
  <c r="H129" i="16"/>
  <c r="G129" i="16"/>
  <c r="K128" i="16"/>
  <c r="L128" i="16" s="1"/>
  <c r="L129" i="16" s="1"/>
  <c r="H139" i="16"/>
  <c r="I139" i="16"/>
  <c r="J139" i="16"/>
  <c r="K138" i="16"/>
  <c r="K137" i="16"/>
  <c r="L138" i="16" l="1"/>
  <c r="K139" i="16"/>
  <c r="O159" i="4"/>
  <c r="O160" i="4" s="1"/>
  <c r="K129" i="16"/>
  <c r="J96" i="16" l="1"/>
  <c r="I96" i="16"/>
  <c r="H96" i="16"/>
  <c r="G96" i="16"/>
  <c r="K95" i="16"/>
  <c r="K96" i="16" s="1"/>
  <c r="L95" i="16" l="1"/>
  <c r="L96" i="16" s="1"/>
  <c r="I22" i="13" l="1"/>
  <c r="J16" i="13"/>
  <c r="I16" i="13"/>
  <c r="A23" i="13"/>
  <c r="J18" i="13"/>
  <c r="I18" i="13"/>
  <c r="N261" i="4"/>
  <c r="N262" i="4" s="1"/>
  <c r="N400" i="4" s="1"/>
  <c r="L22" i="13" l="1"/>
  <c r="L16" i="13"/>
  <c r="M16" i="13" s="1"/>
  <c r="L18" i="13"/>
  <c r="M22" i="13" l="1"/>
  <c r="M18" i="13"/>
  <c r="Q16" i="13"/>
  <c r="R16" i="13" s="1"/>
  <c r="G201" i="4"/>
  <c r="H201" i="4"/>
  <c r="N18" i="13" l="1"/>
  <c r="Q18" i="13" s="1"/>
  <c r="N22" i="13"/>
  <c r="J201" i="4"/>
  <c r="K201" i="4" s="1"/>
  <c r="Q22" i="13" l="1"/>
  <c r="R18" i="13"/>
  <c r="L201" i="4"/>
  <c r="O201" i="4" s="1"/>
  <c r="P201" i="4" s="1"/>
  <c r="J103" i="13"/>
  <c r="J104" i="13" s="1"/>
  <c r="I103" i="13"/>
  <c r="I104" i="13" s="1"/>
  <c r="I197" i="13"/>
  <c r="J197" i="13"/>
  <c r="I183" i="13"/>
  <c r="J183" i="13"/>
  <c r="I119" i="13"/>
  <c r="J119" i="13"/>
  <c r="L197" i="13" l="1"/>
  <c r="M197" i="13" s="1"/>
  <c r="L119" i="13"/>
  <c r="L183" i="13"/>
  <c r="M183" i="13" s="1"/>
  <c r="L103" i="13"/>
  <c r="L104" i="13" s="1"/>
  <c r="M119" i="13" l="1"/>
  <c r="Q119" i="13"/>
  <c r="R119" i="13" s="1"/>
  <c r="Q197" i="13"/>
  <c r="R197" i="13" s="1"/>
  <c r="N183" i="13"/>
  <c r="Q183" i="13" s="1"/>
  <c r="R183" i="13" s="1"/>
  <c r="M103" i="13"/>
  <c r="M104" i="13" s="1"/>
  <c r="Q103" i="13" l="1"/>
  <c r="Q104" i="13" s="1"/>
  <c r="L111" i="16"/>
  <c r="L112" i="16" s="1"/>
  <c r="R103" i="13" l="1"/>
  <c r="R104" i="13" s="1"/>
  <c r="J235" i="13"/>
  <c r="I235" i="13"/>
  <c r="J24" i="13"/>
  <c r="I24" i="13"/>
  <c r="J10" i="13"/>
  <c r="I10" i="13"/>
  <c r="I9" i="13"/>
  <c r="I12" i="13" l="1"/>
  <c r="L10" i="13"/>
  <c r="M10" i="13" s="1"/>
  <c r="N10" i="13" s="1"/>
  <c r="L24" i="13"/>
  <c r="M24" i="13" s="1"/>
  <c r="L235" i="13"/>
  <c r="M235" i="13" s="1"/>
  <c r="N235" i="13" s="1"/>
  <c r="Q235" i="13" s="1"/>
  <c r="R235" i="13" s="1"/>
  <c r="N24" i="13" l="1"/>
  <c r="Q24" i="13" s="1"/>
  <c r="R24" i="13" s="1"/>
  <c r="Q10" i="13"/>
  <c r="G342" i="4"/>
  <c r="H342" i="4"/>
  <c r="R10" i="13" l="1"/>
  <c r="J342" i="4"/>
  <c r="K342" i="4" s="1"/>
  <c r="H185" i="4"/>
  <c r="G185" i="4"/>
  <c r="H111" i="4"/>
  <c r="G111" i="4"/>
  <c r="H84" i="4"/>
  <c r="G84" i="4"/>
  <c r="H58" i="4"/>
  <c r="G58" i="4"/>
  <c r="G63" i="4"/>
  <c r="H63" i="4"/>
  <c r="G64" i="4"/>
  <c r="H64" i="4"/>
  <c r="P42" i="4"/>
  <c r="P95" i="4"/>
  <c r="L342" i="4" l="1"/>
  <c r="O342" i="4" s="1"/>
  <c r="P342" i="4" s="1"/>
  <c r="J58" i="4"/>
  <c r="K58" i="4" s="1"/>
  <c r="L58" i="4" s="1"/>
  <c r="J185" i="4"/>
  <c r="K185" i="4" s="1"/>
  <c r="J84" i="4"/>
  <c r="K84" i="4" s="1"/>
  <c r="J63" i="4"/>
  <c r="J64" i="4"/>
  <c r="K64" i="4" s="1"/>
  <c r="J111" i="4"/>
  <c r="K111" i="4" s="1"/>
  <c r="K63" i="4" l="1"/>
  <c r="L185" i="4"/>
  <c r="O185" i="4" s="1"/>
  <c r="P185" i="4" s="1"/>
  <c r="L111" i="4"/>
  <c r="O111" i="4" s="1"/>
  <c r="P111" i="4" s="1"/>
  <c r="L64" i="4"/>
  <c r="O64" i="4" s="1"/>
  <c r="P64" i="4" s="1"/>
  <c r="L84" i="4"/>
  <c r="O84" i="4" s="1"/>
  <c r="P84" i="4" s="1"/>
  <c r="O58" i="4"/>
  <c r="P58" i="4" s="1"/>
  <c r="J79" i="13"/>
  <c r="I79" i="13"/>
  <c r="J32" i="13"/>
  <c r="I32" i="13"/>
  <c r="J120" i="16"/>
  <c r="I120" i="16"/>
  <c r="H120" i="16"/>
  <c r="G120" i="16"/>
  <c r="K120" i="16"/>
  <c r="L63" i="4" l="1"/>
  <c r="O63" i="4" s="1"/>
  <c r="L32" i="13"/>
  <c r="L79" i="13"/>
  <c r="L120" i="16"/>
  <c r="K81" i="16"/>
  <c r="K83" i="16" s="1"/>
  <c r="J61" i="16"/>
  <c r="I61" i="16"/>
  <c r="H61" i="16"/>
  <c r="G61" i="16"/>
  <c r="K61" i="16"/>
  <c r="K64" i="16"/>
  <c r="L64" i="16" s="1"/>
  <c r="L65" i="16" s="1"/>
  <c r="G65" i="16"/>
  <c r="H65" i="16"/>
  <c r="I65" i="16"/>
  <c r="J65" i="16"/>
  <c r="K68" i="16"/>
  <c r="K69" i="16" s="1"/>
  <c r="G69" i="16"/>
  <c r="H69" i="16"/>
  <c r="I69" i="16"/>
  <c r="J69" i="16"/>
  <c r="H190" i="4"/>
  <c r="G190" i="4"/>
  <c r="H189" i="4"/>
  <c r="G189" i="4"/>
  <c r="H136" i="4"/>
  <c r="G136" i="4"/>
  <c r="H90" i="4"/>
  <c r="G90" i="4"/>
  <c r="H39" i="4"/>
  <c r="G39" i="4"/>
  <c r="M79" i="13" l="1"/>
  <c r="J39" i="4"/>
  <c r="K39" i="4" s="1"/>
  <c r="J190" i="4"/>
  <c r="K190" i="4" s="1"/>
  <c r="M32" i="13"/>
  <c r="N32" i="13" s="1"/>
  <c r="J136" i="4"/>
  <c r="J90" i="4"/>
  <c r="K90" i="4" s="1"/>
  <c r="J189" i="4"/>
  <c r="P63" i="4"/>
  <c r="L68" i="16"/>
  <c r="L69" i="16" s="1"/>
  <c r="L81" i="16"/>
  <c r="L83" i="16" s="1"/>
  <c r="K65" i="16"/>
  <c r="L60" i="16"/>
  <c r="L61" i="16" s="1"/>
  <c r="K136" i="4" l="1"/>
  <c r="L136" i="4" s="1"/>
  <c r="N79" i="13"/>
  <c r="L39" i="4"/>
  <c r="O39" i="4" s="1"/>
  <c r="P39" i="4" s="1"/>
  <c r="L190" i="4"/>
  <c r="O190" i="4" s="1"/>
  <c r="P190" i="4" s="1"/>
  <c r="L90" i="4"/>
  <c r="O90" i="4" s="1"/>
  <c r="P90" i="4" s="1"/>
  <c r="K189" i="4"/>
  <c r="L189" i="4" l="1"/>
  <c r="Q79" i="13"/>
  <c r="Q32" i="13"/>
  <c r="R32" i="13" s="1"/>
  <c r="O136" i="4"/>
  <c r="J149" i="13"/>
  <c r="J150" i="13" s="1"/>
  <c r="I149" i="13"/>
  <c r="I148" i="13"/>
  <c r="I150" i="13" l="1"/>
  <c r="L148" i="13"/>
  <c r="R79" i="13"/>
  <c r="L149" i="13"/>
  <c r="M149" i="13" s="1"/>
  <c r="O189" i="4"/>
  <c r="P136" i="4"/>
  <c r="L150" i="13" l="1"/>
  <c r="N149" i="13"/>
  <c r="Q149" i="13" s="1"/>
  <c r="R149" i="13" s="1"/>
  <c r="M148" i="13"/>
  <c r="P189" i="4"/>
  <c r="G323" i="4"/>
  <c r="H323" i="4"/>
  <c r="N148" i="13" l="1"/>
  <c r="N150" i="13" s="1"/>
  <c r="M150" i="13"/>
  <c r="J323" i="4"/>
  <c r="K323" i="4" s="1"/>
  <c r="L323" i="4" s="1"/>
  <c r="O323" i="4" s="1"/>
  <c r="P323" i="4" s="1"/>
  <c r="K77" i="16"/>
  <c r="Q148" i="13" l="1"/>
  <c r="Q150" i="13" s="1"/>
  <c r="J19" i="16"/>
  <c r="G19" i="16"/>
  <c r="I18" i="16"/>
  <c r="I19" i="16" s="1"/>
  <c r="H18" i="16"/>
  <c r="H19" i="16" s="1"/>
  <c r="K18" i="16" l="1"/>
  <c r="K19" i="16" s="1"/>
  <c r="L18" i="16" l="1"/>
  <c r="L19" i="16" s="1"/>
  <c r="J163" i="13" l="1"/>
  <c r="I163" i="13"/>
  <c r="J218" i="13"/>
  <c r="I218" i="13"/>
  <c r="L163" i="13" l="1"/>
  <c r="L218" i="13"/>
  <c r="K53" i="16"/>
  <c r="H78" i="16"/>
  <c r="I78" i="16"/>
  <c r="J78" i="16"/>
  <c r="K57" i="16"/>
  <c r="L57" i="16" s="1"/>
  <c r="M163" i="13" l="1"/>
  <c r="M218" i="13"/>
  <c r="J124" i="13"/>
  <c r="J126" i="13" s="1"/>
  <c r="I124" i="13"/>
  <c r="I126" i="13" s="1"/>
  <c r="I133" i="13"/>
  <c r="I134" i="13" s="1"/>
  <c r="J133" i="13"/>
  <c r="J134" i="13" s="1"/>
  <c r="I206" i="13"/>
  <c r="J206" i="13"/>
  <c r="G246" i="4"/>
  <c r="H246" i="4"/>
  <c r="Q163" i="13" l="1"/>
  <c r="L206" i="13"/>
  <c r="M206" i="13" s="1"/>
  <c r="L124" i="13"/>
  <c r="L126" i="13" s="1"/>
  <c r="L133" i="13"/>
  <c r="L134" i="13" s="1"/>
  <c r="J246" i="4"/>
  <c r="K246" i="4" s="1"/>
  <c r="R163" i="13" l="1"/>
  <c r="Q218" i="13"/>
  <c r="N206" i="13"/>
  <c r="Q206" i="13" s="1"/>
  <c r="R206" i="13" s="1"/>
  <c r="M133" i="13"/>
  <c r="M124" i="13"/>
  <c r="M126" i="13" s="1"/>
  <c r="L246" i="4"/>
  <c r="O246" i="4" s="1"/>
  <c r="P246" i="4" s="1"/>
  <c r="J239" i="13"/>
  <c r="I239" i="13"/>
  <c r="J86" i="13"/>
  <c r="J87" i="13" s="1"/>
  <c r="I86" i="13"/>
  <c r="I87" i="13" s="1"/>
  <c r="J240" i="13"/>
  <c r="I240" i="13"/>
  <c r="J249" i="13"/>
  <c r="J251" i="13" s="1"/>
  <c r="I249" i="13"/>
  <c r="I251" i="13" s="1"/>
  <c r="I244" i="13"/>
  <c r="I246" i="13" s="1"/>
  <c r="J230" i="13"/>
  <c r="J231" i="13" s="1"/>
  <c r="I230" i="13"/>
  <c r="I231" i="13" s="1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77" i="4"/>
  <c r="H398" i="4" s="1"/>
  <c r="G367" i="4"/>
  <c r="H367" i="4"/>
  <c r="G368" i="4"/>
  <c r="H368" i="4"/>
  <c r="I198" i="13"/>
  <c r="J198" i="13"/>
  <c r="J40" i="13"/>
  <c r="I40" i="13"/>
  <c r="I81" i="13"/>
  <c r="J81" i="13"/>
  <c r="J69" i="13"/>
  <c r="J70" i="13" s="1"/>
  <c r="I69" i="13"/>
  <c r="I70" i="13" s="1"/>
  <c r="J28" i="13"/>
  <c r="J29" i="13" s="1"/>
  <c r="I28" i="13"/>
  <c r="I29" i="13" s="1"/>
  <c r="J9" i="13"/>
  <c r="J12" i="13" s="1"/>
  <c r="J92" i="16"/>
  <c r="I92" i="16"/>
  <c r="H92" i="16"/>
  <c r="G92" i="16"/>
  <c r="K91" i="16"/>
  <c r="K92" i="16" s="1"/>
  <c r="L137" i="16"/>
  <c r="L139" i="16" s="1"/>
  <c r="K100" i="16"/>
  <c r="K29" i="16"/>
  <c r="K30" i="16" s="1"/>
  <c r="J30" i="16"/>
  <c r="I30" i="16"/>
  <c r="H30" i="16"/>
  <c r="G30" i="16"/>
  <c r="J15" i="16"/>
  <c r="G15" i="16"/>
  <c r="I14" i="16"/>
  <c r="I15" i="16" s="1"/>
  <c r="H14" i="16"/>
  <c r="G11" i="16"/>
  <c r="K11" i="16"/>
  <c r="J11" i="16"/>
  <c r="I11" i="16"/>
  <c r="G289" i="4"/>
  <c r="H28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288" i="4"/>
  <c r="G286" i="4"/>
  <c r="G284" i="4"/>
  <c r="G315" i="4" s="1"/>
  <c r="H284" i="4"/>
  <c r="G285" i="4"/>
  <c r="H285" i="4"/>
  <c r="H286" i="4"/>
  <c r="G287" i="4"/>
  <c r="H287" i="4"/>
  <c r="H288" i="4"/>
  <c r="H118" i="4"/>
  <c r="H120" i="4" s="1"/>
  <c r="H113" i="4"/>
  <c r="G110" i="4"/>
  <c r="H315" i="4" l="1"/>
  <c r="O286" i="4"/>
  <c r="I241" i="13"/>
  <c r="N133" i="13"/>
  <c r="N134" i="13" s="1"/>
  <c r="M134" i="13"/>
  <c r="J241" i="13"/>
  <c r="J285" i="4"/>
  <c r="L240" i="13"/>
  <c r="M240" i="13" s="1"/>
  <c r="R218" i="13"/>
  <c r="L86" i="13"/>
  <c r="L81" i="13"/>
  <c r="M81" i="13" s="1"/>
  <c r="N124" i="13"/>
  <c r="N126" i="13" s="1"/>
  <c r="L198" i="13"/>
  <c r="L230" i="13"/>
  <c r="L231" i="13" s="1"/>
  <c r="L28" i="13"/>
  <c r="L29" i="13" s="1"/>
  <c r="L239" i="13"/>
  <c r="L241" i="13" s="1"/>
  <c r="L40" i="13"/>
  <c r="L69" i="13"/>
  <c r="L70" i="13" s="1"/>
  <c r="L249" i="13"/>
  <c r="L251" i="13" s="1"/>
  <c r="L9" i="13"/>
  <c r="J291" i="4"/>
  <c r="J295" i="4"/>
  <c r="J306" i="4"/>
  <c r="J303" i="4"/>
  <c r="J299" i="4"/>
  <c r="J284" i="4"/>
  <c r="J305" i="4"/>
  <c r="J302" i="4"/>
  <c r="J298" i="4"/>
  <c r="J294" i="4"/>
  <c r="J290" i="4"/>
  <c r="J301" i="4"/>
  <c r="J297" i="4"/>
  <c r="J293" i="4"/>
  <c r="J289" i="4"/>
  <c r="J307" i="4"/>
  <c r="J304" i="4"/>
  <c r="J300" i="4"/>
  <c r="J296" i="4"/>
  <c r="J292" i="4"/>
  <c r="J288" i="4"/>
  <c r="K288" i="4" s="1"/>
  <c r="J287" i="4"/>
  <c r="J368" i="4"/>
  <c r="K368" i="4" s="1"/>
  <c r="L368" i="4" s="1"/>
  <c r="O368" i="4" s="1"/>
  <c r="P368" i="4" s="1"/>
  <c r="J286" i="4"/>
  <c r="K286" i="4" s="1"/>
  <c r="J367" i="4"/>
  <c r="K367" i="4" s="1"/>
  <c r="L367" i="4" s="1"/>
  <c r="O367" i="4" s="1"/>
  <c r="P367" i="4" s="1"/>
  <c r="R148" i="13"/>
  <c r="R150" i="13" s="1"/>
  <c r="L91" i="16"/>
  <c r="L92" i="16" s="1"/>
  <c r="K14" i="16"/>
  <c r="K15" i="16" s="1"/>
  <c r="L29" i="16"/>
  <c r="L30" i="16" s="1"/>
  <c r="H15" i="16"/>
  <c r="L10" i="16"/>
  <c r="L11" i="16" s="1"/>
  <c r="H11" i="16"/>
  <c r="G8" i="4"/>
  <c r="G9" i="4"/>
  <c r="H9" i="4"/>
  <c r="H11" i="4"/>
  <c r="G11" i="4"/>
  <c r="G12" i="4"/>
  <c r="H12" i="4"/>
  <c r="G10" i="4"/>
  <c r="J315" i="4" l="1"/>
  <c r="M9" i="13"/>
  <c r="M12" i="13" s="1"/>
  <c r="L12" i="13"/>
  <c r="M86" i="13"/>
  <c r="M87" i="13" s="1"/>
  <c r="L87" i="13"/>
  <c r="K287" i="4"/>
  <c r="L287" i="4" s="1"/>
  <c r="O287" i="4" s="1"/>
  <c r="K292" i="4"/>
  <c r="L292" i="4" s="1"/>
  <c r="O292" i="4" s="1"/>
  <c r="K299" i="4"/>
  <c r="L299" i="4" s="1"/>
  <c r="O299" i="4" s="1"/>
  <c r="K303" i="4"/>
  <c r="L303" i="4" s="1"/>
  <c r="O303" i="4" s="1"/>
  <c r="K293" i="4"/>
  <c r="L293" i="4" s="1"/>
  <c r="O293" i="4" s="1"/>
  <c r="K297" i="4"/>
  <c r="L297" i="4" s="1"/>
  <c r="O297" i="4" s="1"/>
  <c r="K300" i="4"/>
  <c r="L300" i="4" s="1"/>
  <c r="O300" i="4" s="1"/>
  <c r="K306" i="4"/>
  <c r="L306" i="4" s="1"/>
  <c r="O306" i="4" s="1"/>
  <c r="K285" i="4"/>
  <c r="L285" i="4" s="1"/>
  <c r="O285" i="4" s="1"/>
  <c r="K304" i="4"/>
  <c r="L304" i="4" s="1"/>
  <c r="O304" i="4" s="1"/>
  <c r="K295" i="4"/>
  <c r="L295" i="4" s="1"/>
  <c r="O295" i="4" s="1"/>
  <c r="K305" i="4"/>
  <c r="L305" i="4" s="1"/>
  <c r="O305" i="4" s="1"/>
  <c r="K290" i="4"/>
  <c r="L290" i="4" s="1"/>
  <c r="O290" i="4" s="1"/>
  <c r="K298" i="4"/>
  <c r="L298" i="4" s="1"/>
  <c r="O298" i="4" s="1"/>
  <c r="K301" i="4"/>
  <c r="L301" i="4" s="1"/>
  <c r="O301" i="4" s="1"/>
  <c r="K296" i="4"/>
  <c r="L296" i="4" s="1"/>
  <c r="O296" i="4" s="1"/>
  <c r="K294" i="4"/>
  <c r="L294" i="4" s="1"/>
  <c r="O294" i="4" s="1"/>
  <c r="K307" i="4"/>
  <c r="L307" i="4" s="1"/>
  <c r="O307" i="4" s="1"/>
  <c r="K291" i="4"/>
  <c r="L291" i="4" s="1"/>
  <c r="O291" i="4" s="1"/>
  <c r="K289" i="4"/>
  <c r="L289" i="4" s="1"/>
  <c r="O289" i="4" s="1"/>
  <c r="K302" i="4"/>
  <c r="L302" i="4" s="1"/>
  <c r="O302" i="4" s="1"/>
  <c r="N240" i="13"/>
  <c r="N81" i="13"/>
  <c r="Q81" i="13" s="1"/>
  <c r="R81" i="13" s="1"/>
  <c r="N9" i="13"/>
  <c r="N12" i="13" s="1"/>
  <c r="M40" i="13"/>
  <c r="N40" i="13" s="1"/>
  <c r="Q124" i="13"/>
  <c r="Q126" i="13" s="1"/>
  <c r="M69" i="13"/>
  <c r="M239" i="13"/>
  <c r="M241" i="13" s="1"/>
  <c r="Q133" i="13"/>
  <c r="Q134" i="13" s="1"/>
  <c r="M230" i="13"/>
  <c r="K284" i="4"/>
  <c r="M249" i="13"/>
  <c r="M251" i="13" s="1"/>
  <c r="M198" i="13"/>
  <c r="N198" i="13" s="1"/>
  <c r="M28" i="13"/>
  <c r="M29" i="13" s="1"/>
  <c r="L288" i="4"/>
  <c r="O288" i="4" s="1"/>
  <c r="J8" i="4"/>
  <c r="J11" i="4"/>
  <c r="K11" i="4" s="1"/>
  <c r="L11" i="4" s="1"/>
  <c r="J9" i="4"/>
  <c r="K9" i="4" s="1"/>
  <c r="L9" i="4" s="1"/>
  <c r="J12" i="4"/>
  <c r="K12" i="4" s="1"/>
  <c r="L12" i="4" s="1"/>
  <c r="L14" i="16"/>
  <c r="L15" i="16" s="1"/>
  <c r="K315" i="4" l="1"/>
  <c r="N86" i="13"/>
  <c r="N87" i="13" s="1"/>
  <c r="N69" i="13"/>
  <c r="N70" i="13" s="1"/>
  <c r="M70" i="13"/>
  <c r="N230" i="13"/>
  <c r="N231" i="13" s="1"/>
  <c r="M231" i="13"/>
  <c r="L284" i="4"/>
  <c r="L315" i="4" s="1"/>
  <c r="N239" i="13"/>
  <c r="N241" i="13" s="1"/>
  <c r="Q240" i="13"/>
  <c r="N249" i="13"/>
  <c r="N251" i="13" s="1"/>
  <c r="R133" i="13"/>
  <c r="R134" i="13" s="1"/>
  <c r="R124" i="13"/>
  <c r="R126" i="13" s="1"/>
  <c r="O11" i="4"/>
  <c r="P11" i="4" s="1"/>
  <c r="O12" i="4"/>
  <c r="O9" i="4"/>
  <c r="P9" i="4" s="1"/>
  <c r="N28" i="13"/>
  <c r="N29" i="13" s="1"/>
  <c r="K8" i="4"/>
  <c r="J181" i="13"/>
  <c r="I181" i="13"/>
  <c r="I117" i="13"/>
  <c r="Q86" i="13" l="1"/>
  <c r="Q87" i="13" s="1"/>
  <c r="O284" i="4"/>
  <c r="O315" i="4" s="1"/>
  <c r="L8" i="4"/>
  <c r="L117" i="13"/>
  <c r="Q69" i="13"/>
  <c r="Q70" i="13" s="1"/>
  <c r="Q40" i="13"/>
  <c r="Q239" i="13"/>
  <c r="Q241" i="13" s="1"/>
  <c r="Q230" i="13"/>
  <c r="Q231" i="13" s="1"/>
  <c r="P12" i="4"/>
  <c r="Q249" i="13"/>
  <c r="Q251" i="13" s="1"/>
  <c r="Q198" i="13"/>
  <c r="R198" i="13" s="1"/>
  <c r="L181" i="13"/>
  <c r="Q9" i="13"/>
  <c r="Q12" i="13" s="1"/>
  <c r="Q28" i="13"/>
  <c r="Q29" i="13" s="1"/>
  <c r="H125" i="16"/>
  <c r="I125" i="16"/>
  <c r="L123" i="16"/>
  <c r="R239" i="13" l="1"/>
  <c r="R69" i="13"/>
  <c r="R70" i="13" s="1"/>
  <c r="R40" i="13"/>
  <c r="M181" i="13"/>
  <c r="R230" i="13"/>
  <c r="R231" i="13" s="1"/>
  <c r="M117" i="13"/>
  <c r="R9" i="13"/>
  <c r="R12" i="13" s="1"/>
  <c r="O8" i="4"/>
  <c r="K76" i="16"/>
  <c r="K125" i="16"/>
  <c r="J234" i="13"/>
  <c r="J236" i="13" s="1"/>
  <c r="J118" i="13"/>
  <c r="J121" i="13" s="1"/>
  <c r="K86" i="16"/>
  <c r="K88" i="16" s="1"/>
  <c r="J108" i="16"/>
  <c r="I108" i="16"/>
  <c r="H108" i="16"/>
  <c r="G108" i="16"/>
  <c r="K108" i="16"/>
  <c r="J54" i="16"/>
  <c r="I54" i="16"/>
  <c r="H54" i="16"/>
  <c r="G54" i="16"/>
  <c r="K54" i="16"/>
  <c r="N181" i="13" l="1"/>
  <c r="N117" i="13"/>
  <c r="P8" i="4"/>
  <c r="L76" i="16"/>
  <c r="K78" i="16"/>
  <c r="L86" i="16"/>
  <c r="L88" i="16" s="1"/>
  <c r="L77" i="16"/>
  <c r="L107" i="16"/>
  <c r="L108" i="16" s="1"/>
  <c r="L53" i="16"/>
  <c r="L54" i="16" s="1"/>
  <c r="Q117" i="13" l="1"/>
  <c r="Q181" i="13"/>
  <c r="L78" i="16"/>
  <c r="G373" i="4"/>
  <c r="H373" i="4"/>
  <c r="P286" i="4"/>
  <c r="G340" i="4"/>
  <c r="H340" i="4"/>
  <c r="J137" i="13"/>
  <c r="J139" i="13" s="1"/>
  <c r="I137" i="13"/>
  <c r="I139" i="13" s="1"/>
  <c r="H349" i="4"/>
  <c r="H351" i="4" s="1"/>
  <c r="G349" i="4"/>
  <c r="G351" i="4" s="1"/>
  <c r="H199" i="4"/>
  <c r="G199" i="4"/>
  <c r="I177" i="13"/>
  <c r="I178" i="13" s="1"/>
  <c r="R117" i="13" l="1"/>
  <c r="R181" i="13"/>
  <c r="L137" i="13"/>
  <c r="L139" i="13" s="1"/>
  <c r="L177" i="13"/>
  <c r="L178" i="13" s="1"/>
  <c r="J349" i="4"/>
  <c r="J351" i="4" s="1"/>
  <c r="J340" i="4"/>
  <c r="K340" i="4" s="1"/>
  <c r="J373" i="4"/>
  <c r="K373" i="4" s="1"/>
  <c r="L373" i="4" s="1"/>
  <c r="O373" i="4" s="1"/>
  <c r="P373" i="4" s="1"/>
  <c r="J199" i="4"/>
  <c r="K199" i="4" s="1"/>
  <c r="P305" i="4"/>
  <c r="P307" i="4"/>
  <c r="P306" i="4"/>
  <c r="M177" i="13" l="1"/>
  <c r="M178" i="13" s="1"/>
  <c r="L340" i="4"/>
  <c r="O340" i="4" s="1"/>
  <c r="P340" i="4" s="1"/>
  <c r="L199" i="4"/>
  <c r="O199" i="4" s="1"/>
  <c r="P199" i="4" s="1"/>
  <c r="M137" i="13"/>
  <c r="M139" i="13" s="1"/>
  <c r="K349" i="4"/>
  <c r="K351" i="4" s="1"/>
  <c r="L349" i="4" l="1"/>
  <c r="L351" i="4" s="1"/>
  <c r="N137" i="13"/>
  <c r="N139" i="13" s="1"/>
  <c r="N177" i="13"/>
  <c r="N178" i="13" s="1"/>
  <c r="J42" i="16"/>
  <c r="I42" i="16"/>
  <c r="H42" i="16"/>
  <c r="G42" i="16"/>
  <c r="K41" i="16"/>
  <c r="L41" i="16" s="1"/>
  <c r="L42" i="16" s="1"/>
  <c r="J65" i="13"/>
  <c r="J66" i="13" s="1"/>
  <c r="I65" i="13"/>
  <c r="I66" i="13" s="1"/>
  <c r="G154" i="4"/>
  <c r="O349" i="4" l="1"/>
  <c r="O351" i="4" s="1"/>
  <c r="Q177" i="13"/>
  <c r="Q178" i="13" s="1"/>
  <c r="Q137" i="13"/>
  <c r="Q139" i="13" s="1"/>
  <c r="L65" i="13"/>
  <c r="L66" i="13" s="1"/>
  <c r="B14" i="16"/>
  <c r="P159" i="4"/>
  <c r="K42" i="16"/>
  <c r="P349" i="4" l="1"/>
  <c r="P351" i="4" s="1"/>
  <c r="M65" i="13"/>
  <c r="M66" i="13" s="1"/>
  <c r="R177" i="13"/>
  <c r="R178" i="13" s="1"/>
  <c r="R137" i="13"/>
  <c r="R139" i="13" s="1"/>
  <c r="B18" i="16"/>
  <c r="B22" i="16" s="1"/>
  <c r="B26" i="16" l="1"/>
  <c r="B29" i="16" s="1"/>
  <c r="B33" i="16" s="1"/>
  <c r="N65" i="13"/>
  <c r="N66" i="13" s="1"/>
  <c r="I216" i="13"/>
  <c r="I205" i="13"/>
  <c r="J205" i="13"/>
  <c r="G72" i="4"/>
  <c r="H72" i="4"/>
  <c r="H11" i="14"/>
  <c r="G11" i="14"/>
  <c r="H10" i="14"/>
  <c r="G10" i="14"/>
  <c r="K10" i="14" s="1"/>
  <c r="H8" i="14"/>
  <c r="G8" i="14"/>
  <c r="J216" i="13"/>
  <c r="J94" i="13"/>
  <c r="J95" i="13" s="1"/>
  <c r="I94" i="13"/>
  <c r="I95" i="13" s="1"/>
  <c r="I99" i="13"/>
  <c r="J99" i="13"/>
  <c r="I98" i="13"/>
  <c r="I101" i="13" s="1"/>
  <c r="G322" i="4"/>
  <c r="H322" i="4"/>
  <c r="L99" i="13" l="1"/>
  <c r="M99" i="13" s="1"/>
  <c r="L216" i="13"/>
  <c r="L205" i="13"/>
  <c r="Q65" i="13"/>
  <c r="Q66" i="13" s="1"/>
  <c r="L94" i="13"/>
  <c r="L95" i="13" s="1"/>
  <c r="J72" i="4"/>
  <c r="K72" i="4" s="1"/>
  <c r="J322" i="4"/>
  <c r="K322" i="4" s="1"/>
  <c r="L322" i="4" s="1"/>
  <c r="O322" i="4" s="1"/>
  <c r="P322" i="4" s="1"/>
  <c r="K8" i="14"/>
  <c r="L8" i="14" s="1"/>
  <c r="K11" i="14"/>
  <c r="L11" i="14" s="1"/>
  <c r="P223" i="4"/>
  <c r="P224" i="4" s="1"/>
  <c r="L10" i="14"/>
  <c r="N99" i="13" l="1"/>
  <c r="Q99" i="13" s="1"/>
  <c r="R99" i="13" s="1"/>
  <c r="M216" i="13"/>
  <c r="M205" i="13"/>
  <c r="M94" i="13"/>
  <c r="M95" i="13" s="1"/>
  <c r="R65" i="13"/>
  <c r="R66" i="13" s="1"/>
  <c r="L72" i="4"/>
  <c r="O72" i="4" s="1"/>
  <c r="L14" i="14"/>
  <c r="K14" i="14"/>
  <c r="A31" i="4"/>
  <c r="A32" i="4" s="1"/>
  <c r="A36" i="4" s="1"/>
  <c r="P284" i="4"/>
  <c r="N216" i="13" l="1"/>
  <c r="N205" i="13"/>
  <c r="N94" i="13"/>
  <c r="N95" i="13" s="1"/>
  <c r="J217" i="13"/>
  <c r="J219" i="13" s="1"/>
  <c r="I217" i="13"/>
  <c r="I219" i="13" s="1"/>
  <c r="I199" i="13"/>
  <c r="I207" i="13"/>
  <c r="I209" i="13" s="1"/>
  <c r="J207" i="13"/>
  <c r="J209" i="13" s="1"/>
  <c r="J199" i="13"/>
  <c r="J196" i="13"/>
  <c r="I196" i="13"/>
  <c r="I192" i="13"/>
  <c r="J187" i="13"/>
  <c r="I187" i="13"/>
  <c r="I55" i="13"/>
  <c r="J55" i="13"/>
  <c r="J39" i="13"/>
  <c r="I39" i="13"/>
  <c r="I33" i="13"/>
  <c r="J33" i="13"/>
  <c r="H327" i="4"/>
  <c r="H328" i="4"/>
  <c r="H329" i="4"/>
  <c r="H330" i="4"/>
  <c r="H331" i="4"/>
  <c r="H332" i="4"/>
  <c r="H337" i="4"/>
  <c r="H333" i="4"/>
  <c r="H336" i="4"/>
  <c r="H339" i="4"/>
  <c r="H334" i="4"/>
  <c r="H335" i="4"/>
  <c r="H338" i="4"/>
  <c r="H341" i="4"/>
  <c r="G327" i="4"/>
  <c r="G328" i="4"/>
  <c r="G329" i="4"/>
  <c r="G330" i="4"/>
  <c r="G331" i="4"/>
  <c r="G332" i="4"/>
  <c r="G337" i="4"/>
  <c r="G333" i="4"/>
  <c r="G336" i="4"/>
  <c r="G339" i="4"/>
  <c r="G334" i="4"/>
  <c r="G335" i="4"/>
  <c r="G338" i="4"/>
  <c r="G341" i="4"/>
  <c r="G326" i="4"/>
  <c r="H326" i="4"/>
  <c r="G321" i="4"/>
  <c r="H321" i="4"/>
  <c r="G77" i="4"/>
  <c r="H77" i="4"/>
  <c r="H69" i="4"/>
  <c r="G69" i="4"/>
  <c r="B37" i="16"/>
  <c r="B41" i="16" s="1"/>
  <c r="B45" i="16" s="1"/>
  <c r="K999990" i="16"/>
  <c r="C16665" i="16"/>
  <c r="C16667" i="16" s="1"/>
  <c r="J100" i="16"/>
  <c r="G100" i="16"/>
  <c r="I100" i="16"/>
  <c r="J58" i="16"/>
  <c r="G58" i="16"/>
  <c r="J50" i="16"/>
  <c r="G50" i="16"/>
  <c r="I50" i="16"/>
  <c r="H50" i="16"/>
  <c r="K49" i="16"/>
  <c r="L49" i="16" s="1"/>
  <c r="J46" i="16"/>
  <c r="G46" i="16"/>
  <c r="K45" i="16"/>
  <c r="L45" i="16" s="1"/>
  <c r="J38" i="16"/>
  <c r="G38" i="16"/>
  <c r="I38" i="16"/>
  <c r="K37" i="16"/>
  <c r="J34" i="16"/>
  <c r="G34" i="16"/>
  <c r="K33" i="16"/>
  <c r="L33" i="16" s="1"/>
  <c r="J23" i="16"/>
  <c r="G23" i="16"/>
  <c r="I23" i="16"/>
  <c r="H23" i="16"/>
  <c r="L22" i="16"/>
  <c r="H346" i="4" l="1"/>
  <c r="G346" i="4"/>
  <c r="J202" i="13"/>
  <c r="Q205" i="13"/>
  <c r="L192" i="13"/>
  <c r="L193" i="13" s="1"/>
  <c r="I193" i="13"/>
  <c r="I202" i="13"/>
  <c r="G141" i="16"/>
  <c r="J141" i="16"/>
  <c r="Q216" i="13"/>
  <c r="R205" i="13"/>
  <c r="L55" i="13"/>
  <c r="M55" i="13" s="1"/>
  <c r="L217" i="13"/>
  <c r="L219" i="13" s="1"/>
  <c r="Q94" i="13"/>
  <c r="Q95" i="13" s="1"/>
  <c r="L33" i="13"/>
  <c r="L39" i="13"/>
  <c r="M39" i="13" s="1"/>
  <c r="L199" i="13"/>
  <c r="L196" i="13"/>
  <c r="L187" i="13"/>
  <c r="L207" i="13"/>
  <c r="L209" i="13" s="1"/>
  <c r="J335" i="4"/>
  <c r="K335" i="4" s="1"/>
  <c r="J339" i="4"/>
  <c r="K339" i="4" s="1"/>
  <c r="J333" i="4"/>
  <c r="K333" i="4" s="1"/>
  <c r="J327" i="4"/>
  <c r="K327" i="4" s="1"/>
  <c r="J330" i="4"/>
  <c r="K330" i="4" s="1"/>
  <c r="J341" i="4"/>
  <c r="K341" i="4" s="1"/>
  <c r="J77" i="4"/>
  <c r="J332" i="4"/>
  <c r="J334" i="4"/>
  <c r="K334" i="4" s="1"/>
  <c r="J338" i="4"/>
  <c r="K338" i="4" s="1"/>
  <c r="J331" i="4"/>
  <c r="K331" i="4" s="1"/>
  <c r="J329" i="4"/>
  <c r="K329" i="4" s="1"/>
  <c r="J69" i="4"/>
  <c r="J336" i="4"/>
  <c r="K336" i="4" s="1"/>
  <c r="J328" i="4"/>
  <c r="K328" i="4" s="1"/>
  <c r="J326" i="4"/>
  <c r="J346" i="4" s="1"/>
  <c r="J337" i="4"/>
  <c r="K337" i="4" s="1"/>
  <c r="J321" i="4"/>
  <c r="K321" i="4" s="1"/>
  <c r="L321" i="4" s="1"/>
  <c r="O321" i="4" s="1"/>
  <c r="P321" i="4" s="1"/>
  <c r="R28" i="13"/>
  <c r="R29" i="13" s="1"/>
  <c r="I46" i="16"/>
  <c r="H46" i="16"/>
  <c r="I58" i="16"/>
  <c r="I34" i="16"/>
  <c r="I141" i="16" s="1"/>
  <c r="H38" i="16"/>
  <c r="H58" i="16"/>
  <c r="H100" i="16"/>
  <c r="L37" i="16"/>
  <c r="H34" i="16"/>
  <c r="L124" i="16"/>
  <c r="L125" i="16" s="1"/>
  <c r="K77" i="4" l="1"/>
  <c r="M192" i="13"/>
  <c r="M193" i="13" s="1"/>
  <c r="L202" i="13"/>
  <c r="H141" i="16"/>
  <c r="R216" i="13"/>
  <c r="M217" i="13"/>
  <c r="M219" i="13" s="1"/>
  <c r="M207" i="13"/>
  <c r="M209" i="13" s="1"/>
  <c r="N39" i="13"/>
  <c r="N55" i="13"/>
  <c r="Q55" i="13" s="1"/>
  <c r="R55" i="13" s="1"/>
  <c r="R94" i="13"/>
  <c r="R95" i="13" s="1"/>
  <c r="M187" i="13"/>
  <c r="M196" i="13"/>
  <c r="N192" i="13"/>
  <c r="N193" i="13" s="1"/>
  <c r="L336" i="4"/>
  <c r="O336" i="4" s="1"/>
  <c r="P336" i="4" s="1"/>
  <c r="L341" i="4"/>
  <c r="O341" i="4" s="1"/>
  <c r="P341" i="4" s="1"/>
  <c r="L329" i="4"/>
  <c r="O329" i="4" s="1"/>
  <c r="P329" i="4" s="1"/>
  <c r="L334" i="4"/>
  <c r="O334" i="4" s="1"/>
  <c r="P334" i="4" s="1"/>
  <c r="L327" i="4"/>
  <c r="O327" i="4" s="1"/>
  <c r="P327" i="4" s="1"/>
  <c r="L331" i="4"/>
  <c r="O331" i="4" s="1"/>
  <c r="P331" i="4" s="1"/>
  <c r="L333" i="4"/>
  <c r="O333" i="4" s="1"/>
  <c r="L339" i="4"/>
  <c r="O339" i="4" s="1"/>
  <c r="P339" i="4" s="1"/>
  <c r="L335" i="4"/>
  <c r="O335" i="4" s="1"/>
  <c r="P335" i="4" s="1"/>
  <c r="L330" i="4"/>
  <c r="O330" i="4" s="1"/>
  <c r="P330" i="4" s="1"/>
  <c r="L338" i="4"/>
  <c r="O338" i="4" s="1"/>
  <c r="P338" i="4" s="1"/>
  <c r="L337" i="4"/>
  <c r="O337" i="4" s="1"/>
  <c r="P337" i="4" s="1"/>
  <c r="K326" i="4"/>
  <c r="K346" i="4" s="1"/>
  <c r="L328" i="4"/>
  <c r="O328" i="4" s="1"/>
  <c r="P328" i="4" s="1"/>
  <c r="M199" i="13"/>
  <c r="M33" i="13"/>
  <c r="K332" i="4"/>
  <c r="L332" i="4" s="1"/>
  <c r="L77" i="4"/>
  <c r="K69" i="4"/>
  <c r="L38" i="16"/>
  <c r="K50" i="16"/>
  <c r="K23" i="16"/>
  <c r="K38" i="16"/>
  <c r="L100" i="16"/>
  <c r="L23" i="16"/>
  <c r="K46" i="16"/>
  <c r="L46" i="16"/>
  <c r="L50" i="16"/>
  <c r="K58" i="16"/>
  <c r="L34" i="16"/>
  <c r="K34" i="16"/>
  <c r="L58" i="16"/>
  <c r="L141" i="16" s="1"/>
  <c r="L69" i="4" l="1"/>
  <c r="M202" i="13"/>
  <c r="N187" i="13"/>
  <c r="K141" i="16"/>
  <c r="N33" i="13"/>
  <c r="N196" i="13"/>
  <c r="N207" i="13"/>
  <c r="N217" i="13"/>
  <c r="N219" i="13" s="1"/>
  <c r="N199" i="13"/>
  <c r="Q39" i="13"/>
  <c r="P333" i="4"/>
  <c r="Q192" i="13"/>
  <c r="Q193" i="13" s="1"/>
  <c r="L326" i="4"/>
  <c r="O77" i="4"/>
  <c r="G88" i="4"/>
  <c r="H88" i="4"/>
  <c r="G366" i="4"/>
  <c r="G369" i="4" s="1"/>
  <c r="H366" i="4"/>
  <c r="H369" i="4" s="1"/>
  <c r="G256" i="4"/>
  <c r="G257" i="4" s="1"/>
  <c r="H256" i="4"/>
  <c r="H257" i="4" s="1"/>
  <c r="J129" i="13"/>
  <c r="J130" i="13" s="1"/>
  <c r="I129" i="13"/>
  <c r="I130" i="13" s="1"/>
  <c r="N202" i="13" l="1"/>
  <c r="Q207" i="13"/>
  <c r="Q209" i="13" s="1"/>
  <c r="N209" i="13"/>
  <c r="Q217" i="13"/>
  <c r="Q219" i="13" s="1"/>
  <c r="R39" i="13"/>
  <c r="Q196" i="13"/>
  <c r="Q187" i="13"/>
  <c r="O326" i="4"/>
  <c r="Q199" i="13"/>
  <c r="Q33" i="13"/>
  <c r="L129" i="13"/>
  <c r="L130" i="13" s="1"/>
  <c r="O332" i="4"/>
  <c r="J88" i="4"/>
  <c r="O69" i="4"/>
  <c r="J366" i="4"/>
  <c r="J369" i="4" s="1"/>
  <c r="J256" i="4"/>
  <c r="J257" i="4" s="1"/>
  <c r="J80" i="13"/>
  <c r="J82" i="13" s="1"/>
  <c r="I80" i="13"/>
  <c r="I82" i="13" s="1"/>
  <c r="J244" i="13"/>
  <c r="J246" i="13" s="1"/>
  <c r="I182" i="13"/>
  <c r="I184" i="13" s="1"/>
  <c r="J182" i="13"/>
  <c r="J184" i="13" s="1"/>
  <c r="H272" i="4"/>
  <c r="G272" i="4"/>
  <c r="H271" i="4"/>
  <c r="G271" i="4"/>
  <c r="H270" i="4"/>
  <c r="G270" i="4"/>
  <c r="G273" i="4" s="1"/>
  <c r="G252" i="4"/>
  <c r="H252" i="4"/>
  <c r="J170" i="13"/>
  <c r="I170" i="13"/>
  <c r="H273" i="4" l="1"/>
  <c r="Q202" i="13"/>
  <c r="R217" i="13"/>
  <c r="R219" i="13" s="1"/>
  <c r="M129" i="13"/>
  <c r="R187" i="13"/>
  <c r="P326" i="4"/>
  <c r="J271" i="4"/>
  <c r="K271" i="4" s="1"/>
  <c r="L271" i="4" s="1"/>
  <c r="O271" i="4" s="1"/>
  <c r="P271" i="4" s="1"/>
  <c r="R199" i="13"/>
  <c r="L182" i="13"/>
  <c r="L184" i="13" s="1"/>
  <c r="L80" i="13"/>
  <c r="L82" i="13" s="1"/>
  <c r="L244" i="13"/>
  <c r="L246" i="13" s="1"/>
  <c r="L170" i="13"/>
  <c r="M170" i="13" s="1"/>
  <c r="R33" i="13"/>
  <c r="K366" i="4"/>
  <c r="K369" i="4" s="1"/>
  <c r="P332" i="4"/>
  <c r="K256" i="4"/>
  <c r="K257" i="4" s="1"/>
  <c r="J270" i="4"/>
  <c r="J272" i="4"/>
  <c r="K272" i="4" s="1"/>
  <c r="K88" i="4"/>
  <c r="J252" i="4"/>
  <c r="K252" i="4" s="1"/>
  <c r="P301" i="4"/>
  <c r="R240" i="13"/>
  <c r="R241" i="13" s="1"/>
  <c r="J15" i="13"/>
  <c r="J19" i="13" s="1"/>
  <c r="I15" i="13"/>
  <c r="I19" i="13" s="1"/>
  <c r="I234" i="13"/>
  <c r="I236" i="13" s="1"/>
  <c r="R207" i="13"/>
  <c r="R209" i="13" s="1"/>
  <c r="J273" i="4" l="1"/>
  <c r="L88" i="4"/>
  <c r="N129" i="13"/>
  <c r="N130" i="13" s="1"/>
  <c r="M130" i="13"/>
  <c r="N170" i="13"/>
  <c r="Q170" i="13" s="1"/>
  <c r="M182" i="13"/>
  <c r="M244" i="13"/>
  <c r="M246" i="13" s="1"/>
  <c r="M80" i="13"/>
  <c r="L272" i="4"/>
  <c r="O272" i="4" s="1"/>
  <c r="P272" i="4" s="1"/>
  <c r="L252" i="4"/>
  <c r="O252" i="4" s="1"/>
  <c r="P252" i="4" s="1"/>
  <c r="L234" i="13"/>
  <c r="L236" i="13" s="1"/>
  <c r="L15" i="13"/>
  <c r="L19" i="13" s="1"/>
  <c r="L366" i="4"/>
  <c r="L369" i="4" s="1"/>
  <c r="K270" i="4"/>
  <c r="L256" i="4"/>
  <c r="L257" i="4" s="1"/>
  <c r="R86" i="13"/>
  <c r="R87" i="13" s="1"/>
  <c r="L270" i="4" l="1"/>
  <c r="L273" i="4" s="1"/>
  <c r="K273" i="4"/>
  <c r="N182" i="13"/>
  <c r="M184" i="13"/>
  <c r="N80" i="13"/>
  <c r="N82" i="13" s="1"/>
  <c r="M82" i="13"/>
  <c r="N244" i="13"/>
  <c r="N246" i="13" s="1"/>
  <c r="M234" i="13"/>
  <c r="M236" i="13" s="1"/>
  <c r="Q129" i="13"/>
  <c r="Q130" i="13" s="1"/>
  <c r="M15" i="13"/>
  <c r="O366" i="4"/>
  <c r="O369" i="4" s="1"/>
  <c r="O256" i="4"/>
  <c r="O257" i="4" s="1"/>
  <c r="O88" i="4"/>
  <c r="N15" i="13" l="1"/>
  <c r="N19" i="13" s="1"/>
  <c r="M19" i="13"/>
  <c r="Q182" i="13"/>
  <c r="Q184" i="13" s="1"/>
  <c r="N184" i="13"/>
  <c r="Q244" i="13"/>
  <c r="Q246" i="13" s="1"/>
  <c r="R129" i="13"/>
  <c r="R130" i="13" s="1"/>
  <c r="Q80" i="13"/>
  <c r="Q82" i="13" s="1"/>
  <c r="N234" i="13"/>
  <c r="N236" i="13" s="1"/>
  <c r="P366" i="4"/>
  <c r="P369" i="4" s="1"/>
  <c r="O270" i="4"/>
  <c r="O273" i="4" s="1"/>
  <c r="P256" i="4"/>
  <c r="P257" i="4" s="1"/>
  <c r="P88" i="4"/>
  <c r="J188" i="13"/>
  <c r="J189" i="13" s="1"/>
  <c r="I188" i="13"/>
  <c r="I189" i="13" s="1"/>
  <c r="J167" i="13"/>
  <c r="I167" i="13"/>
  <c r="I108" i="13"/>
  <c r="J108" i="13"/>
  <c r="J98" i="13"/>
  <c r="J101" i="13" s="1"/>
  <c r="J54" i="13"/>
  <c r="J56" i="13" s="1"/>
  <c r="I54" i="13"/>
  <c r="I56" i="13" s="1"/>
  <c r="I23" i="13"/>
  <c r="I25" i="13" s="1"/>
  <c r="J23" i="13"/>
  <c r="J25" i="13" s="1"/>
  <c r="L108" i="13" l="1"/>
  <c r="M108" i="13" s="1"/>
  <c r="R182" i="13"/>
  <c r="R184" i="13" s="1"/>
  <c r="R80" i="13"/>
  <c r="R82" i="13" s="1"/>
  <c r="L54" i="13"/>
  <c r="Q234" i="13"/>
  <c r="Q236" i="13" s="1"/>
  <c r="R244" i="13"/>
  <c r="R246" i="13" s="1"/>
  <c r="L23" i="13"/>
  <c r="L25" i="13" s="1"/>
  <c r="L167" i="13"/>
  <c r="Q15" i="13"/>
  <c r="Q19" i="13" s="1"/>
  <c r="L98" i="13"/>
  <c r="L101" i="13" s="1"/>
  <c r="L188" i="13"/>
  <c r="L189" i="13" s="1"/>
  <c r="P270" i="4"/>
  <c r="P273" i="4" s="1"/>
  <c r="M54" i="13" l="1"/>
  <c r="M56" i="13" s="1"/>
  <c r="L56" i="13"/>
  <c r="M167" i="13"/>
  <c r="N108" i="13"/>
  <c r="Q108" i="13" s="1"/>
  <c r="R108" i="13" s="1"/>
  <c r="R234" i="13"/>
  <c r="R236" i="13" s="1"/>
  <c r="M188" i="13"/>
  <c r="M98" i="13"/>
  <c r="M101" i="13" s="1"/>
  <c r="R15" i="13"/>
  <c r="R19" i="13" s="1"/>
  <c r="M23" i="13"/>
  <c r="R170" i="13"/>
  <c r="N54" i="13" l="1"/>
  <c r="N56" i="13" s="1"/>
  <c r="N188" i="13"/>
  <c r="N189" i="13" s="1"/>
  <c r="M189" i="13"/>
  <c r="N23" i="13"/>
  <c r="N25" i="13" s="1"/>
  <c r="M25" i="13"/>
  <c r="N167" i="13"/>
  <c r="Q167" i="13" s="1"/>
  <c r="N98" i="13"/>
  <c r="N101" i="13" s="1"/>
  <c r="Q54" i="13"/>
  <c r="Q56" i="13" s="1"/>
  <c r="H9" i="14"/>
  <c r="G393" i="4"/>
  <c r="J393" i="4" s="1"/>
  <c r="K393" i="4" s="1"/>
  <c r="L393" i="4" s="1"/>
  <c r="G396" i="4"/>
  <c r="G395" i="4"/>
  <c r="J395" i="4" s="1"/>
  <c r="K395" i="4" s="1"/>
  <c r="L395" i="4" s="1"/>
  <c r="G394" i="4"/>
  <c r="G390" i="4"/>
  <c r="G389" i="4"/>
  <c r="G384" i="4"/>
  <c r="G392" i="4"/>
  <c r="G388" i="4"/>
  <c r="G387" i="4"/>
  <c r="J387" i="4" s="1"/>
  <c r="K387" i="4" s="1"/>
  <c r="G386" i="4"/>
  <c r="G383" i="4"/>
  <c r="G391" i="4"/>
  <c r="G385" i="4"/>
  <c r="J385" i="4" s="1"/>
  <c r="K385" i="4" s="1"/>
  <c r="L385" i="4" s="1"/>
  <c r="G382" i="4"/>
  <c r="G381" i="4"/>
  <c r="G380" i="4"/>
  <c r="G215" i="4"/>
  <c r="G379" i="4"/>
  <c r="J379" i="4" s="1"/>
  <c r="G377" i="4"/>
  <c r="G14" i="4"/>
  <c r="G19" i="4" s="1"/>
  <c r="G398" i="4" l="1"/>
  <c r="R167" i="13"/>
  <c r="Q188" i="13"/>
  <c r="Q189" i="13" s="1"/>
  <c r="Q98" i="13"/>
  <c r="Q101" i="13" s="1"/>
  <c r="O387" i="4"/>
  <c r="P387" i="4" s="1"/>
  <c r="O395" i="4"/>
  <c r="P395" i="4" s="1"/>
  <c r="O393" i="4"/>
  <c r="P393" i="4" s="1"/>
  <c r="O385" i="4"/>
  <c r="P385" i="4" s="1"/>
  <c r="Q23" i="13"/>
  <c r="Q25" i="13" s="1"/>
  <c r="R54" i="13"/>
  <c r="R56" i="13" s="1"/>
  <c r="K379" i="4"/>
  <c r="J383" i="4"/>
  <c r="J394" i="4"/>
  <c r="K394" i="4" s="1"/>
  <c r="L394" i="4" s="1"/>
  <c r="J389" i="4"/>
  <c r="K389" i="4" s="1"/>
  <c r="J391" i="4"/>
  <c r="K391" i="4" s="1"/>
  <c r="L391" i="4" s="1"/>
  <c r="J377" i="4"/>
  <c r="J388" i="4"/>
  <c r="K388" i="4" s="1"/>
  <c r="J386" i="4"/>
  <c r="K386" i="4" s="1"/>
  <c r="J380" i="4"/>
  <c r="J390" i="4"/>
  <c r="K390" i="4" s="1"/>
  <c r="L390" i="4" s="1"/>
  <c r="J396" i="4"/>
  <c r="K396" i="4" s="1"/>
  <c r="L396" i="4" s="1"/>
  <c r="J381" i="4"/>
  <c r="J392" i="4"/>
  <c r="K392" i="4" s="1"/>
  <c r="J382" i="4"/>
  <c r="J384" i="4"/>
  <c r="K384" i="4" s="1"/>
  <c r="P285" i="4"/>
  <c r="P303" i="4"/>
  <c r="P300" i="4"/>
  <c r="P304" i="4"/>
  <c r="J398" i="4" l="1"/>
  <c r="R98" i="13"/>
  <c r="R101" i="13" s="1"/>
  <c r="R188" i="13"/>
  <c r="R189" i="13" s="1"/>
  <c r="O396" i="4"/>
  <c r="P396" i="4" s="1"/>
  <c r="O390" i="4"/>
  <c r="P390" i="4" s="1"/>
  <c r="O388" i="4"/>
  <c r="P388" i="4" s="1"/>
  <c r="O384" i="4"/>
  <c r="P384" i="4" s="1"/>
  <c r="O394" i="4"/>
  <c r="P394" i="4" s="1"/>
  <c r="O391" i="4"/>
  <c r="P391" i="4" s="1"/>
  <c r="L379" i="4"/>
  <c r="O379" i="4" s="1"/>
  <c r="O386" i="4"/>
  <c r="P386" i="4" s="1"/>
  <c r="O389" i="4"/>
  <c r="P389" i="4" s="1"/>
  <c r="R23" i="13"/>
  <c r="K377" i="4"/>
  <c r="K383" i="4"/>
  <c r="L383" i="4" s="1"/>
  <c r="K382" i="4"/>
  <c r="L382" i="4" s="1"/>
  <c r="K381" i="4"/>
  <c r="L381" i="4" s="1"/>
  <c r="K380" i="4"/>
  <c r="L380" i="4" s="1"/>
  <c r="G232" i="4"/>
  <c r="G233" i="4" s="1"/>
  <c r="H372" i="4"/>
  <c r="H374" i="4" s="1"/>
  <c r="G372" i="4"/>
  <c r="G374" i="4" s="1"/>
  <c r="H362" i="4"/>
  <c r="H363" i="4" s="1"/>
  <c r="G362" i="4"/>
  <c r="G363" i="4" s="1"/>
  <c r="H358" i="4"/>
  <c r="H359" i="4" s="1"/>
  <c r="G358" i="4"/>
  <c r="G359" i="4" s="1"/>
  <c r="H320" i="4"/>
  <c r="G320" i="4"/>
  <c r="H319" i="4"/>
  <c r="G319" i="4"/>
  <c r="H236" i="4"/>
  <c r="G236" i="4"/>
  <c r="K398" i="4" l="1"/>
  <c r="G324" i="4"/>
  <c r="H324" i="4"/>
  <c r="O380" i="4"/>
  <c r="O383" i="4"/>
  <c r="L377" i="4"/>
  <c r="L398" i="4" s="1"/>
  <c r="O381" i="4"/>
  <c r="O382" i="4"/>
  <c r="O392" i="4"/>
  <c r="P392" i="4" s="1"/>
  <c r="J236" i="4"/>
  <c r="J319" i="4"/>
  <c r="J362" i="4"/>
  <c r="J358" i="4"/>
  <c r="J359" i="4" s="1"/>
  <c r="J372" i="4"/>
  <c r="J374" i="4" s="1"/>
  <c r="J320" i="4"/>
  <c r="J324" i="4" l="1"/>
  <c r="K362" i="4"/>
  <c r="J363" i="4"/>
  <c r="K319" i="4"/>
  <c r="K324" i="4" s="1"/>
  <c r="K236" i="4"/>
  <c r="O377" i="4"/>
  <c r="O398" i="4" s="1"/>
  <c r="K372" i="4"/>
  <c r="K374" i="4" s="1"/>
  <c r="K358" i="4"/>
  <c r="K320" i="4"/>
  <c r="L358" i="4" l="1"/>
  <c r="L359" i="4" s="1"/>
  <c r="K359" i="4"/>
  <c r="L362" i="4"/>
  <c r="L363" i="4" s="1"/>
  <c r="K363" i="4"/>
  <c r="L236" i="4"/>
  <c r="L319" i="4"/>
  <c r="L372" i="4"/>
  <c r="L374" i="4" s="1"/>
  <c r="O362" i="4"/>
  <c r="O363" i="4" s="1"/>
  <c r="L320" i="4"/>
  <c r="H36" i="4"/>
  <c r="H105" i="4"/>
  <c r="H106" i="4" s="1"/>
  <c r="G105" i="4"/>
  <c r="G106" i="4" s="1"/>
  <c r="H138" i="4"/>
  <c r="G138" i="4"/>
  <c r="L324" i="4" l="1"/>
  <c r="O236" i="4"/>
  <c r="O319" i="4"/>
  <c r="J105" i="4"/>
  <c r="J106" i="4" s="1"/>
  <c r="O372" i="4"/>
  <c r="O374" i="4" s="1"/>
  <c r="P362" i="4"/>
  <c r="P363" i="4" s="1"/>
  <c r="O358" i="4"/>
  <c r="O359" i="4" s="1"/>
  <c r="O320" i="4"/>
  <c r="J138" i="4"/>
  <c r="K138" i="4" s="1"/>
  <c r="P236" i="4"/>
  <c r="O324" i="4" l="1"/>
  <c r="P319" i="4"/>
  <c r="K105" i="4"/>
  <c r="L138" i="4"/>
  <c r="O138" i="4" s="1"/>
  <c r="P138" i="4" s="1"/>
  <c r="P372" i="4"/>
  <c r="P374" i="4" s="1"/>
  <c r="P358" i="4"/>
  <c r="P359" i="4" s="1"/>
  <c r="P320" i="4"/>
  <c r="J107" i="13"/>
  <c r="J109" i="13" s="1"/>
  <c r="I107" i="13"/>
  <c r="I109" i="13" s="1"/>
  <c r="I75" i="13"/>
  <c r="J75" i="13"/>
  <c r="P51" i="4"/>
  <c r="P52" i="4" s="1"/>
  <c r="L105" i="4" l="1"/>
  <c r="L106" i="4" s="1"/>
  <c r="K106" i="4"/>
  <c r="P324" i="4"/>
  <c r="L75" i="13"/>
  <c r="M75" i="13" s="1"/>
  <c r="L107" i="13"/>
  <c r="L109" i="13" s="1"/>
  <c r="O105" i="4" l="1"/>
  <c r="O106" i="4" s="1"/>
  <c r="N75" i="13"/>
  <c r="Q75" i="13" s="1"/>
  <c r="R75" i="13" s="1"/>
  <c r="M107" i="13"/>
  <c r="M109" i="13" s="1"/>
  <c r="P105" i="4" l="1"/>
  <c r="N107" i="13"/>
  <c r="N109" i="13" s="1"/>
  <c r="P131" i="4"/>
  <c r="Q107" i="13" l="1"/>
  <c r="Q109" i="13" s="1"/>
  <c r="G153" i="4"/>
  <c r="H153" i="4"/>
  <c r="G200" i="4"/>
  <c r="H200" i="4"/>
  <c r="G191" i="4"/>
  <c r="H191" i="4"/>
  <c r="R107" i="13" l="1"/>
  <c r="R109" i="13" s="1"/>
  <c r="J191" i="4"/>
  <c r="J200" i="4"/>
  <c r="K200" i="4" s="1"/>
  <c r="J153" i="4"/>
  <c r="K153" i="4" s="1"/>
  <c r="P297" i="4"/>
  <c r="G126" i="4"/>
  <c r="H126" i="4"/>
  <c r="G146" i="4"/>
  <c r="H146" i="4"/>
  <c r="K191" i="4" l="1"/>
  <c r="L200" i="4"/>
  <c r="O200" i="4" s="1"/>
  <c r="P200" i="4" s="1"/>
  <c r="L153" i="4"/>
  <c r="O153" i="4" s="1"/>
  <c r="P153" i="4" s="1"/>
  <c r="J146" i="4"/>
  <c r="K146" i="4" s="1"/>
  <c r="J126" i="4"/>
  <c r="K126" i="4" s="1"/>
  <c r="G130" i="4"/>
  <c r="G59" i="4"/>
  <c r="L191" i="4" l="1"/>
  <c r="L126" i="4"/>
  <c r="O126" i="4" s="1"/>
  <c r="P126" i="4" s="1"/>
  <c r="L146" i="4"/>
  <c r="O146" i="4" s="1"/>
  <c r="P146" i="4" s="1"/>
  <c r="I169" i="13"/>
  <c r="J169" i="13"/>
  <c r="O191" i="4" l="1"/>
  <c r="P191" i="4" s="1"/>
  <c r="L169" i="13"/>
  <c r="M169" i="13" s="1"/>
  <c r="N169" i="13" s="1"/>
  <c r="R192" i="13"/>
  <c r="R193" i="13" s="1"/>
  <c r="H168" i="4"/>
  <c r="H169" i="4" l="1"/>
  <c r="Q169" i="13" l="1"/>
  <c r="G129" i="4"/>
  <c r="G133" i="4" s="1"/>
  <c r="H129" i="4"/>
  <c r="G124" i="4"/>
  <c r="H124" i="4"/>
  <c r="J124" i="4" l="1"/>
  <c r="K124" i="4" s="1"/>
  <c r="J129" i="4"/>
  <c r="K129" i="4" l="1"/>
  <c r="L124" i="4"/>
  <c r="O124" i="4" s="1"/>
  <c r="P124" i="4" s="1"/>
  <c r="J171" i="13"/>
  <c r="I171" i="13"/>
  <c r="J172" i="13"/>
  <c r="I172" i="13"/>
  <c r="H110" i="4"/>
  <c r="J110" i="4" s="1"/>
  <c r="K110" i="4" s="1"/>
  <c r="H109" i="4"/>
  <c r="G109" i="4"/>
  <c r="G112" i="4"/>
  <c r="H137" i="4"/>
  <c r="G169" i="4"/>
  <c r="G137" i="4"/>
  <c r="G71" i="4"/>
  <c r="H71" i="4"/>
  <c r="G170" i="4"/>
  <c r="G37" i="4"/>
  <c r="H37" i="4"/>
  <c r="G36" i="4"/>
  <c r="G205" i="4"/>
  <c r="G206" i="4" s="1"/>
  <c r="H205" i="4"/>
  <c r="H206" i="4" s="1"/>
  <c r="H59" i="4"/>
  <c r="J59" i="4" s="1"/>
  <c r="H170" i="4"/>
  <c r="G32" i="4"/>
  <c r="H32" i="4"/>
  <c r="G43" i="4"/>
  <c r="H43" i="4"/>
  <c r="G46" i="4"/>
  <c r="H46" i="4"/>
  <c r="G97" i="4"/>
  <c r="H97" i="4"/>
  <c r="L129" i="4" l="1"/>
  <c r="L172" i="13"/>
  <c r="M172" i="13" s="1"/>
  <c r="L110" i="4"/>
  <c r="O110" i="4" s="1"/>
  <c r="P110" i="4" s="1"/>
  <c r="L171" i="13"/>
  <c r="M171" i="13" s="1"/>
  <c r="J109" i="4"/>
  <c r="J137" i="4"/>
  <c r="J71" i="4"/>
  <c r="K71" i="4" s="1"/>
  <c r="J169" i="4"/>
  <c r="K169" i="4" s="1"/>
  <c r="J32" i="4"/>
  <c r="K32" i="4" s="1"/>
  <c r="L32" i="4" s="1"/>
  <c r="J43" i="4"/>
  <c r="J36" i="4"/>
  <c r="J97" i="4"/>
  <c r="K97" i="4" s="1"/>
  <c r="J37" i="4"/>
  <c r="K59" i="4"/>
  <c r="L59" i="4" s="1"/>
  <c r="J170" i="4"/>
  <c r="K170" i="4" s="1"/>
  <c r="J46" i="4"/>
  <c r="K46" i="4" s="1"/>
  <c r="L46" i="4" s="1"/>
  <c r="J205" i="4"/>
  <c r="J206" i="4" s="1"/>
  <c r="R249" i="13"/>
  <c r="R251" i="13" s="1"/>
  <c r="K109" i="4" l="1"/>
  <c r="K137" i="4"/>
  <c r="L137" i="4" s="1"/>
  <c r="O129" i="4"/>
  <c r="K37" i="4"/>
  <c r="L37" i="4" s="1"/>
  <c r="O37" i="4" s="1"/>
  <c r="N172" i="13"/>
  <c r="Q172" i="13" s="1"/>
  <c r="R172" i="13" s="1"/>
  <c r="N171" i="13"/>
  <c r="Q171" i="13" s="1"/>
  <c r="L170" i="4"/>
  <c r="O170" i="4" s="1"/>
  <c r="L169" i="4"/>
  <c r="O169" i="4" s="1"/>
  <c r="L109" i="4"/>
  <c r="L97" i="4"/>
  <c r="O97" i="4" s="1"/>
  <c r="L71" i="4"/>
  <c r="O71" i="4" s="1"/>
  <c r="O46" i="4"/>
  <c r="P46" i="4" s="1"/>
  <c r="O32" i="4"/>
  <c r="K205" i="4"/>
  <c r="K206" i="4" s="1"/>
  <c r="K43" i="4"/>
  <c r="K36" i="4"/>
  <c r="O109" i="4" l="1"/>
  <c r="P129" i="4"/>
  <c r="L43" i="4"/>
  <c r="L36" i="4"/>
  <c r="R171" i="13"/>
  <c r="L205" i="4"/>
  <c r="L206" i="4" s="1"/>
  <c r="O137" i="4"/>
  <c r="O59" i="4"/>
  <c r="J74" i="13"/>
  <c r="J76" i="13" s="1"/>
  <c r="I74" i="13"/>
  <c r="I76" i="13" s="1"/>
  <c r="P109" i="4" l="1"/>
  <c r="L74" i="13"/>
  <c r="L76" i="13" s="1"/>
  <c r="O205" i="4"/>
  <c r="O206" i="4" s="1"/>
  <c r="O36" i="4"/>
  <c r="O43" i="4"/>
  <c r="M74" i="13" l="1"/>
  <c r="P205" i="4"/>
  <c r="P206" i="4" s="1"/>
  <c r="P183" i="4"/>
  <c r="N74" i="13" l="1"/>
  <c r="N76" i="13" s="1"/>
  <c r="M76" i="13"/>
  <c r="R196" i="13"/>
  <c r="R202" i="13" s="1"/>
  <c r="Q74" i="13" l="1"/>
  <c r="Q76" i="13" s="1"/>
  <c r="P71" i="4"/>
  <c r="P72" i="4"/>
  <c r="P37" i="4"/>
  <c r="R74" i="13" l="1"/>
  <c r="R76" i="13" s="1"/>
  <c r="P36" i="4"/>
  <c r="A24" i="13"/>
  <c r="A28" i="13" s="1"/>
  <c r="I34" i="13"/>
  <c r="I35" i="13" s="1"/>
  <c r="J34" i="13"/>
  <c r="J35" i="13" s="1"/>
  <c r="I162" i="13"/>
  <c r="I164" i="13" s="1"/>
  <c r="J162" i="13"/>
  <c r="J164" i="13" s="1"/>
  <c r="L162" i="13" l="1"/>
  <c r="L164" i="13" s="1"/>
  <c r="L34" i="13"/>
  <c r="L35" i="13" s="1"/>
  <c r="J258" i="13"/>
  <c r="J259" i="13" s="1"/>
  <c r="I258" i="13"/>
  <c r="I259" i="13" s="1"/>
  <c r="M162" i="13" l="1"/>
  <c r="M164" i="13" s="1"/>
  <c r="L258" i="13"/>
  <c r="L259" i="13" s="1"/>
  <c r="M34" i="13"/>
  <c r="R22" i="13"/>
  <c r="R25" i="13" s="1"/>
  <c r="H65" i="4"/>
  <c r="H66" i="4" s="1"/>
  <c r="H196" i="4"/>
  <c r="H197" i="4"/>
  <c r="H198" i="4"/>
  <c r="G65" i="4"/>
  <c r="G66" i="4" s="1"/>
  <c r="G196" i="4"/>
  <c r="G197" i="4"/>
  <c r="G198" i="4"/>
  <c r="G202" i="4" l="1"/>
  <c r="H202" i="4"/>
  <c r="N34" i="13"/>
  <c r="N35" i="13" s="1"/>
  <c r="M35" i="13"/>
  <c r="N162" i="13"/>
  <c r="N164" i="13" s="1"/>
  <c r="J65" i="4"/>
  <c r="M258" i="13"/>
  <c r="J198" i="4"/>
  <c r="K198" i="4" s="1"/>
  <c r="J197" i="4"/>
  <c r="J196" i="4"/>
  <c r="H180" i="4"/>
  <c r="H181" i="4" s="1"/>
  <c r="G180" i="4"/>
  <c r="G181" i="4" s="1"/>
  <c r="J202" i="4" l="1"/>
  <c r="K196" i="4"/>
  <c r="K65" i="4"/>
  <c r="J66" i="4"/>
  <c r="N258" i="13"/>
  <c r="N259" i="13" s="1"/>
  <c r="M259" i="13"/>
  <c r="L198" i="4"/>
  <c r="O198" i="4" s="1"/>
  <c r="P198" i="4" s="1"/>
  <c r="Q162" i="13"/>
  <c r="Q164" i="13" s="1"/>
  <c r="Q34" i="13"/>
  <c r="Q35" i="13" s="1"/>
  <c r="K197" i="4"/>
  <c r="L197" i="4" s="1"/>
  <c r="J180" i="4"/>
  <c r="J181" i="4" s="1"/>
  <c r="P97" i="4"/>
  <c r="L196" i="4" l="1"/>
  <c r="L202" i="4" s="1"/>
  <c r="K202" i="4"/>
  <c r="L65" i="4"/>
  <c r="L66" i="4" s="1"/>
  <c r="K66" i="4"/>
  <c r="O196" i="4"/>
  <c r="Q258" i="13"/>
  <c r="Q259" i="13" s="1"/>
  <c r="R162" i="13"/>
  <c r="R164" i="13" s="1"/>
  <c r="R34" i="13"/>
  <c r="R35" i="13" s="1"/>
  <c r="K180" i="4"/>
  <c r="O65" i="4" l="1"/>
  <c r="O66" i="4" s="1"/>
  <c r="L180" i="4"/>
  <c r="L181" i="4" s="1"/>
  <c r="K181" i="4"/>
  <c r="P196" i="4"/>
  <c r="R258" i="13"/>
  <c r="R259" i="13" s="1"/>
  <c r="O197" i="4"/>
  <c r="O202" i="4" s="1"/>
  <c r="P65" i="4"/>
  <c r="P66" i="4" s="1"/>
  <c r="J226" i="13"/>
  <c r="J227" i="13" s="1"/>
  <c r="I226" i="13"/>
  <c r="I227" i="13" s="1"/>
  <c r="J159" i="13"/>
  <c r="I159" i="13"/>
  <c r="J168" i="13"/>
  <c r="J174" i="13" s="1"/>
  <c r="I168" i="13"/>
  <c r="I174" i="13" s="1"/>
  <c r="I142" i="13"/>
  <c r="I145" i="13" s="1"/>
  <c r="J50" i="13"/>
  <c r="J51" i="13" s="1"/>
  <c r="I50" i="13"/>
  <c r="I51" i="13" s="1"/>
  <c r="J38" i="13"/>
  <c r="J43" i="13" s="1"/>
  <c r="I38" i="13"/>
  <c r="I43" i="13" s="1"/>
  <c r="H14" i="4"/>
  <c r="J14" i="4" s="1"/>
  <c r="K14" i="4" s="1"/>
  <c r="H354" i="4"/>
  <c r="H355" i="4" s="1"/>
  <c r="G354" i="4"/>
  <c r="G355" i="4" s="1"/>
  <c r="L14" i="4" l="1"/>
  <c r="O14" i="4" s="1"/>
  <c r="L142" i="13"/>
  <c r="L145" i="13" s="1"/>
  <c r="L226" i="13"/>
  <c r="L227" i="13" s="1"/>
  <c r="L50" i="13"/>
  <c r="L51" i="13" s="1"/>
  <c r="L168" i="13"/>
  <c r="L174" i="13" s="1"/>
  <c r="L38" i="13"/>
  <c r="L43" i="13" s="1"/>
  <c r="L159" i="13"/>
  <c r="J354" i="4"/>
  <c r="J355" i="4" s="1"/>
  <c r="O180" i="4"/>
  <c r="O181" i="4" s="1"/>
  <c r="P197" i="4"/>
  <c r="P202" i="4" s="1"/>
  <c r="P381" i="4"/>
  <c r="P379" i="4"/>
  <c r="P377" i="4"/>
  <c r="G280" i="4"/>
  <c r="H280" i="4"/>
  <c r="H282" i="4" s="1"/>
  <c r="G281" i="4"/>
  <c r="H210" i="4"/>
  <c r="H211" i="4" s="1"/>
  <c r="G210" i="4"/>
  <c r="G260" i="4"/>
  <c r="H260" i="4"/>
  <c r="G265" i="4"/>
  <c r="H265" i="4"/>
  <c r="G266" i="4"/>
  <c r="H266" i="4"/>
  <c r="G261" i="4"/>
  <c r="H261" i="4"/>
  <c r="H10" i="4"/>
  <c r="H19" i="4" s="1"/>
  <c r="G251" i="4"/>
  <c r="G253" i="4" s="1"/>
  <c r="H251" i="4"/>
  <c r="H253" i="4" s="1"/>
  <c r="H247" i="4"/>
  <c r="G247" i="4"/>
  <c r="H245" i="4"/>
  <c r="H248" i="4" s="1"/>
  <c r="G245" i="4"/>
  <c r="H232" i="4"/>
  <c r="H233" i="4" s="1"/>
  <c r="H228" i="4"/>
  <c r="G228" i="4"/>
  <c r="H227" i="4"/>
  <c r="G227" i="4"/>
  <c r="H219" i="4"/>
  <c r="H220" i="4" s="1"/>
  <c r="G219" i="4"/>
  <c r="G220" i="4" s="1"/>
  <c r="H184" i="4"/>
  <c r="H186" i="4" s="1"/>
  <c r="G184" i="4"/>
  <c r="G186" i="4" s="1"/>
  <c r="H214" i="4"/>
  <c r="G214" i="4"/>
  <c r="H213" i="4"/>
  <c r="G213" i="4"/>
  <c r="H215" i="4"/>
  <c r="G209" i="4"/>
  <c r="G211" i="4" s="1"/>
  <c r="H192" i="4"/>
  <c r="H193" i="4" s="1"/>
  <c r="G192" i="4"/>
  <c r="G193" i="4" s="1"/>
  <c r="H175" i="4"/>
  <c r="H177" i="4" s="1"/>
  <c r="G175" i="4"/>
  <c r="G177" i="4" s="1"/>
  <c r="H140" i="4"/>
  <c r="G140" i="4"/>
  <c r="H151" i="4"/>
  <c r="G151" i="4"/>
  <c r="H125" i="4"/>
  <c r="G125" i="4"/>
  <c r="H141" i="4"/>
  <c r="G141" i="4"/>
  <c r="H154" i="4"/>
  <c r="H139" i="4"/>
  <c r="G139" i="4"/>
  <c r="H123" i="4"/>
  <c r="H127" i="4" s="1"/>
  <c r="G123" i="4"/>
  <c r="H130" i="4"/>
  <c r="H133" i="4" s="1"/>
  <c r="H145" i="4"/>
  <c r="H147" i="4" s="1"/>
  <c r="G145" i="4"/>
  <c r="G147" i="4" s="1"/>
  <c r="G113" i="4"/>
  <c r="H94" i="4"/>
  <c r="G94" i="4"/>
  <c r="H45" i="4"/>
  <c r="G45" i="4"/>
  <c r="H112" i="4"/>
  <c r="H73" i="4"/>
  <c r="G73" i="4"/>
  <c r="H152" i="4"/>
  <c r="G152" i="4"/>
  <c r="H167" i="4"/>
  <c r="H171" i="4" s="1"/>
  <c r="G167" i="4"/>
  <c r="G118" i="4"/>
  <c r="G120" i="4" s="1"/>
  <c r="G31" i="4"/>
  <c r="G33" i="4" s="1"/>
  <c r="H31" i="4"/>
  <c r="H33" i="4" s="1"/>
  <c r="G55" i="4"/>
  <c r="H55" i="4"/>
  <c r="G89" i="4"/>
  <c r="G91" i="4" s="1"/>
  <c r="H89" i="4"/>
  <c r="H91" i="4" s="1"/>
  <c r="G44" i="4"/>
  <c r="H44" i="4"/>
  <c r="G22" i="4"/>
  <c r="G24" i="4" s="1"/>
  <c r="G27" i="4"/>
  <c r="G28" i="4" s="1"/>
  <c r="G82" i="4"/>
  <c r="G85" i="4" s="1"/>
  <c r="H82" i="4"/>
  <c r="H85" i="4" s="1"/>
  <c r="G78" i="4"/>
  <c r="G79" i="4" s="1"/>
  <c r="H78" i="4"/>
  <c r="H79" i="4" s="1"/>
  <c r="G47" i="4"/>
  <c r="H47" i="4"/>
  <c r="G38" i="4"/>
  <c r="G40" i="4" s="1"/>
  <c r="H38" i="4"/>
  <c r="H40" i="4" s="1"/>
  <c r="G70" i="4"/>
  <c r="H70" i="4"/>
  <c r="G101" i="4"/>
  <c r="G102" i="4" s="1"/>
  <c r="H101" i="4"/>
  <c r="H102" i="4" s="1"/>
  <c r="G168" i="4"/>
  <c r="H96" i="4"/>
  <c r="G96" i="4"/>
  <c r="H74" i="4"/>
  <c r="G74" i="4"/>
  <c r="H57" i="4"/>
  <c r="G57" i="4"/>
  <c r="H56" i="4"/>
  <c r="G56" i="4"/>
  <c r="G216" i="4" l="1"/>
  <c r="G127" i="4"/>
  <c r="H216" i="4"/>
  <c r="H229" i="4"/>
  <c r="G248" i="4"/>
  <c r="G267" i="4"/>
  <c r="G155" i="4"/>
  <c r="H262" i="4"/>
  <c r="G171" i="4"/>
  <c r="G98" i="4"/>
  <c r="G142" i="4"/>
  <c r="H155" i="4"/>
  <c r="G262" i="4"/>
  <c r="G60" i="4"/>
  <c r="J112" i="4"/>
  <c r="H114" i="4"/>
  <c r="H98" i="4"/>
  <c r="H142" i="4"/>
  <c r="G229" i="4"/>
  <c r="H267" i="4"/>
  <c r="G282" i="4"/>
  <c r="G75" i="4"/>
  <c r="G48" i="4"/>
  <c r="H75" i="4"/>
  <c r="H48" i="4"/>
  <c r="H60" i="4"/>
  <c r="J113" i="4"/>
  <c r="K113" i="4" s="1"/>
  <c r="L113" i="4" s="1"/>
  <c r="O113" i="4" s="1"/>
  <c r="P113" i="4" s="1"/>
  <c r="G114" i="4"/>
  <c r="J130" i="4"/>
  <c r="J133" i="4" s="1"/>
  <c r="J118" i="4"/>
  <c r="J120" i="4" s="1"/>
  <c r="J27" i="4"/>
  <c r="J28" i="4" s="1"/>
  <c r="M159" i="13"/>
  <c r="M226" i="13"/>
  <c r="M227" i="13" s="1"/>
  <c r="M142" i="13"/>
  <c r="M145" i="13" s="1"/>
  <c r="M168" i="13"/>
  <c r="M174" i="13" s="1"/>
  <c r="M50" i="13"/>
  <c r="M38" i="13"/>
  <c r="M43" i="13" s="1"/>
  <c r="K354" i="4"/>
  <c r="J245" i="4"/>
  <c r="J45" i="4"/>
  <c r="K45" i="4" s="1"/>
  <c r="L45" i="4" s="1"/>
  <c r="J247" i="4"/>
  <c r="K247" i="4" s="1"/>
  <c r="J261" i="4"/>
  <c r="K261" i="4" s="1"/>
  <c r="J57" i="4"/>
  <c r="K57" i="4" s="1"/>
  <c r="L57" i="4" s="1"/>
  <c r="J94" i="4"/>
  <c r="J139" i="4"/>
  <c r="J266" i="4"/>
  <c r="K266" i="4" s="1"/>
  <c r="J74" i="4"/>
  <c r="K74" i="4" s="1"/>
  <c r="P180" i="4"/>
  <c r="P181" i="4" s="1"/>
  <c r="J152" i="4"/>
  <c r="K152" i="4" s="1"/>
  <c r="J151" i="4"/>
  <c r="J219" i="4"/>
  <c r="J220" i="4" s="1"/>
  <c r="J123" i="4"/>
  <c r="K112" i="4"/>
  <c r="J101" i="4"/>
  <c r="J102" i="4" s="1"/>
  <c r="J47" i="4"/>
  <c r="K47" i="4" s="1"/>
  <c r="L47" i="4" s="1"/>
  <c r="J44" i="4"/>
  <c r="J167" i="4"/>
  <c r="J125" i="4"/>
  <c r="K125" i="4" s="1"/>
  <c r="J192" i="4"/>
  <c r="J193" i="4" s="1"/>
  <c r="J184" i="4"/>
  <c r="J186" i="4" s="1"/>
  <c r="J228" i="4"/>
  <c r="K228" i="4" s="1"/>
  <c r="J281" i="4"/>
  <c r="J209" i="4"/>
  <c r="J232" i="4"/>
  <c r="J233" i="4" s="1"/>
  <c r="J251" i="4"/>
  <c r="J253" i="4" s="1"/>
  <c r="J280" i="4"/>
  <c r="J70" i="4"/>
  <c r="J89" i="4"/>
  <c r="J91" i="4" s="1"/>
  <c r="J215" i="4"/>
  <c r="K215" i="4" s="1"/>
  <c r="J265" i="4"/>
  <c r="J267" i="4" s="1"/>
  <c r="J78" i="4"/>
  <c r="J79" i="4" s="1"/>
  <c r="J96" i="4"/>
  <c r="K96" i="4" s="1"/>
  <c r="J82" i="4"/>
  <c r="J85" i="4" s="1"/>
  <c r="J55" i="4"/>
  <c r="J73" i="4"/>
  <c r="K73" i="4" s="1"/>
  <c r="J140" i="4"/>
  <c r="K140" i="4" s="1"/>
  <c r="J213" i="4"/>
  <c r="J154" i="4"/>
  <c r="J260" i="4"/>
  <c r="J56" i="4"/>
  <c r="K56" i="4" s="1"/>
  <c r="L56" i="4" s="1"/>
  <c r="J168" i="4"/>
  <c r="K168" i="4" s="1"/>
  <c r="J38" i="4"/>
  <c r="J40" i="4" s="1"/>
  <c r="J22" i="4"/>
  <c r="J24" i="4" s="1"/>
  <c r="J31" i="4"/>
  <c r="J33" i="4" s="1"/>
  <c r="J145" i="4"/>
  <c r="J147" i="4" s="1"/>
  <c r="J141" i="4"/>
  <c r="K141" i="4" s="1"/>
  <c r="J175" i="4"/>
  <c r="J177" i="4" s="1"/>
  <c r="J214" i="4"/>
  <c r="K214" i="4" s="1"/>
  <c r="J227" i="4"/>
  <c r="J229" i="4" s="1"/>
  <c r="J210" i="4"/>
  <c r="J10" i="4"/>
  <c r="J19" i="4" s="1"/>
  <c r="P14" i="4"/>
  <c r="P288" i="4"/>
  <c r="P298" i="4"/>
  <c r="P299" i="4"/>
  <c r="P295" i="4"/>
  <c r="P289" i="4"/>
  <c r="P296" i="4"/>
  <c r="P294" i="4"/>
  <c r="P292" i="4"/>
  <c r="P293" i="4"/>
  <c r="P291" i="4"/>
  <c r="P290" i="4"/>
  <c r="P169" i="4"/>
  <c r="P380" i="4"/>
  <c r="P170" i="4"/>
  <c r="P104" i="4"/>
  <c r="P106" i="4" s="1"/>
  <c r="P382" i="4"/>
  <c r="P383" i="4"/>
  <c r="G12" i="14"/>
  <c r="H12" i="14"/>
  <c r="G9" i="14"/>
  <c r="K9" i="14" s="1"/>
  <c r="J216" i="4" l="1"/>
  <c r="J262" i="4"/>
  <c r="P398" i="4"/>
  <c r="J211" i="4"/>
  <c r="J114" i="4"/>
  <c r="K219" i="4"/>
  <c r="K220" i="4" s="1"/>
  <c r="J60" i="4"/>
  <c r="K280" i="4"/>
  <c r="L280" i="4" s="1"/>
  <c r="J282" i="4"/>
  <c r="K151" i="4"/>
  <c r="L151" i="4" s="1"/>
  <c r="J155" i="4"/>
  <c r="L354" i="4"/>
  <c r="L355" i="4" s="1"/>
  <c r="K355" i="4"/>
  <c r="K245" i="4"/>
  <c r="K248" i="4" s="1"/>
  <c r="J248" i="4"/>
  <c r="K167" i="4"/>
  <c r="K171" i="4" s="1"/>
  <c r="J171" i="4"/>
  <c r="L112" i="4"/>
  <c r="L114" i="4" s="1"/>
  <c r="K114" i="4"/>
  <c r="K139" i="4"/>
  <c r="L139" i="4" s="1"/>
  <c r="J142" i="4"/>
  <c r="J75" i="4"/>
  <c r="K232" i="4"/>
  <c r="K233" i="4" s="1"/>
  <c r="J48" i="4"/>
  <c r="J127" i="4"/>
  <c r="K94" i="4"/>
  <c r="J98" i="4"/>
  <c r="N50" i="13"/>
  <c r="N51" i="13" s="1"/>
  <c r="M51" i="13"/>
  <c r="K130" i="4"/>
  <c r="K133" i="4" s="1"/>
  <c r="N159" i="13"/>
  <c r="K118" i="4"/>
  <c r="K27" i="4"/>
  <c r="N168" i="13"/>
  <c r="N174" i="13" s="1"/>
  <c r="N38" i="13"/>
  <c r="N43" i="13" s="1"/>
  <c r="K22" i="4"/>
  <c r="K24" i="4" s="1"/>
  <c r="N142" i="13"/>
  <c r="N145" i="13" s="1"/>
  <c r="N226" i="13"/>
  <c r="N227" i="13" s="1"/>
  <c r="L266" i="4"/>
  <c r="O266" i="4" s="1"/>
  <c r="P266" i="4" s="1"/>
  <c r="L247" i="4"/>
  <c r="O247" i="4" s="1"/>
  <c r="P247" i="4" s="1"/>
  <c r="L168" i="4"/>
  <c r="L215" i="4"/>
  <c r="O215" i="4" s="1"/>
  <c r="P215" i="4" s="1"/>
  <c r="L214" i="4"/>
  <c r="O214" i="4" s="1"/>
  <c r="P214" i="4" s="1"/>
  <c r="L228" i="4"/>
  <c r="O228" i="4" s="1"/>
  <c r="P228" i="4" s="1"/>
  <c r="L261" i="4"/>
  <c r="O261" i="4" s="1"/>
  <c r="P261" i="4" s="1"/>
  <c r="L140" i="4"/>
  <c r="L152" i="4"/>
  <c r="O152" i="4" s="1"/>
  <c r="P152" i="4" s="1"/>
  <c r="L141" i="4"/>
  <c r="O141" i="4" s="1"/>
  <c r="P141" i="4" s="1"/>
  <c r="L125" i="4"/>
  <c r="O125" i="4" s="1"/>
  <c r="P125" i="4" s="1"/>
  <c r="L73" i="4"/>
  <c r="O73" i="4" s="1"/>
  <c r="P73" i="4" s="1"/>
  <c r="O57" i="4"/>
  <c r="L96" i="4"/>
  <c r="O96" i="4" s="1"/>
  <c r="P96" i="4" s="1"/>
  <c r="L74" i="4"/>
  <c r="O74" i="4" s="1"/>
  <c r="P74" i="4" s="1"/>
  <c r="O56" i="4"/>
  <c r="P56" i="4" s="1"/>
  <c r="O45" i="4"/>
  <c r="P45" i="4" s="1"/>
  <c r="O47" i="4"/>
  <c r="P47" i="4" s="1"/>
  <c r="K210" i="4"/>
  <c r="K281" i="4"/>
  <c r="L281" i="4" s="1"/>
  <c r="K260" i="4"/>
  <c r="K251" i="4"/>
  <c r="K265" i="4"/>
  <c r="K175" i="4"/>
  <c r="K177" i="4" s="1"/>
  <c r="K184" i="4"/>
  <c r="K186" i="4" s="1"/>
  <c r="K227" i="4"/>
  <c r="K213" i="4"/>
  <c r="K216" i="4" s="1"/>
  <c r="L232" i="4"/>
  <c r="L233" i="4" s="1"/>
  <c r="K209" i="4"/>
  <c r="K211" i="4" s="1"/>
  <c r="K192" i="4"/>
  <c r="K193" i="4" s="1"/>
  <c r="K154" i="4"/>
  <c r="L154" i="4" s="1"/>
  <c r="K145" i="4"/>
  <c r="K123" i="4"/>
  <c r="K70" i="4"/>
  <c r="K31" i="4"/>
  <c r="K33" i="4" s="1"/>
  <c r="K38" i="4"/>
  <c r="K40" i="4" s="1"/>
  <c r="K55" i="4"/>
  <c r="K60" i="4" s="1"/>
  <c r="K82" i="4"/>
  <c r="K44" i="4"/>
  <c r="K48" i="4" s="1"/>
  <c r="K78" i="4"/>
  <c r="K89" i="4"/>
  <c r="K10" i="4"/>
  <c r="K19" i="4" s="1"/>
  <c r="K101" i="4"/>
  <c r="K12" i="14"/>
  <c r="P77" i="4"/>
  <c r="P158" i="4"/>
  <c r="P160" i="4" s="1"/>
  <c r="P302" i="4"/>
  <c r="P287" i="4"/>
  <c r="L12" i="14"/>
  <c r="P59" i="4"/>
  <c r="P32" i="4"/>
  <c r="P137" i="4"/>
  <c r="P43" i="4"/>
  <c r="P150" i="4"/>
  <c r="P69" i="4"/>
  <c r="L245" i="4" l="1"/>
  <c r="L82" i="4"/>
  <c r="L85" i="4" s="1"/>
  <c r="K85" i="4"/>
  <c r="L70" i="4"/>
  <c r="L75" i="4" s="1"/>
  <c r="K75" i="4"/>
  <c r="L167" i="4"/>
  <c r="L213" i="4"/>
  <c r="L216" i="4" s="1"/>
  <c r="L265" i="4"/>
  <c r="L267" i="4" s="1"/>
  <c r="K267" i="4"/>
  <c r="L118" i="4"/>
  <c r="L120" i="4" s="1"/>
  <c r="K120" i="4"/>
  <c r="K142" i="4"/>
  <c r="L27" i="4"/>
  <c r="K28" i="4"/>
  <c r="L89" i="4"/>
  <c r="L91" i="4" s="1"/>
  <c r="K91" i="4"/>
  <c r="L123" i="4"/>
  <c r="L127" i="4" s="1"/>
  <c r="K127" i="4"/>
  <c r="L227" i="4"/>
  <c r="L229" i="4" s="1"/>
  <c r="K229" i="4"/>
  <c r="L251" i="4"/>
  <c r="L253" i="4" s="1"/>
  <c r="K253" i="4"/>
  <c r="O280" i="4"/>
  <c r="L282" i="4"/>
  <c r="K282" i="4"/>
  <c r="L101" i="4"/>
  <c r="L102" i="4" s="1"/>
  <c r="K102" i="4"/>
  <c r="O245" i="4"/>
  <c r="L248" i="4"/>
  <c r="P315" i="4"/>
  <c r="L78" i="4"/>
  <c r="L79" i="4" s="1"/>
  <c r="K79" i="4"/>
  <c r="L260" i="4"/>
  <c r="L262" i="4" s="1"/>
  <c r="K262" i="4"/>
  <c r="L94" i="4"/>
  <c r="L98" i="4" s="1"/>
  <c r="K98" i="4"/>
  <c r="O151" i="4"/>
  <c r="L155" i="4"/>
  <c r="O168" i="4"/>
  <c r="L171" i="4"/>
  <c r="O140" i="4"/>
  <c r="L142" i="4"/>
  <c r="L145" i="4"/>
  <c r="L147" i="4" s="1"/>
  <c r="K147" i="4"/>
  <c r="K155" i="4"/>
  <c r="L130" i="4"/>
  <c r="L133" i="4" s="1"/>
  <c r="L55" i="4"/>
  <c r="L60" i="4" s="1"/>
  <c r="P57" i="4"/>
  <c r="L31" i="4"/>
  <c r="L33" i="4" s="1"/>
  <c r="L44" i="4"/>
  <c r="L48" i="4" s="1"/>
  <c r="L192" i="4"/>
  <c r="L193" i="4" s="1"/>
  <c r="L38" i="4"/>
  <c r="L40" i="4" s="1"/>
  <c r="L175" i="4"/>
  <c r="L177" i="4" s="1"/>
  <c r="Q397" i="4"/>
  <c r="L184" i="4"/>
  <c r="L186" i="4" s="1"/>
  <c r="L22" i="4"/>
  <c r="L24" i="4" s="1"/>
  <c r="L10" i="4"/>
  <c r="L19" i="4" s="1"/>
  <c r="Q142" i="13"/>
  <c r="Q145" i="13" s="1"/>
  <c r="Q159" i="13"/>
  <c r="Q168" i="13"/>
  <c r="Q174" i="13" s="1"/>
  <c r="Q226" i="13"/>
  <c r="Q227" i="13" s="1"/>
  <c r="L210" i="4"/>
  <c r="Q50" i="13"/>
  <c r="Q51" i="13" s="1"/>
  <c r="Q38" i="13"/>
  <c r="Q43" i="13" s="1"/>
  <c r="O354" i="4"/>
  <c r="O355" i="4" s="1"/>
  <c r="L219" i="4"/>
  <c r="L220" i="4" s="1"/>
  <c r="L209" i="4"/>
  <c r="L211" i="4" s="1"/>
  <c r="O139" i="4"/>
  <c r="O112" i="4"/>
  <c r="O114" i="4" s="1"/>
  <c r="L9" i="14"/>
  <c r="O94" i="4" l="1"/>
  <c r="O98" i="4" s="1"/>
  <c r="P280" i="4"/>
  <c r="P245" i="4"/>
  <c r="P248" i="4" s="1"/>
  <c r="O248" i="4"/>
  <c r="O27" i="4"/>
  <c r="L28" i="4"/>
  <c r="O118" i="4"/>
  <c r="O120" i="4" s="1"/>
  <c r="P168" i="4"/>
  <c r="P140" i="4"/>
  <c r="O142" i="4"/>
  <c r="P151" i="4"/>
  <c r="O130" i="4"/>
  <c r="O133" i="4" s="1"/>
  <c r="R168" i="13"/>
  <c r="R226" i="13"/>
  <c r="R227" i="13" s="1"/>
  <c r="R142" i="13"/>
  <c r="R145" i="13" s="1"/>
  <c r="R38" i="13"/>
  <c r="R43" i="13" s="1"/>
  <c r="R50" i="13"/>
  <c r="R51" i="13" s="1"/>
  <c r="P354" i="4"/>
  <c r="P355" i="4" s="1"/>
  <c r="O210" i="4"/>
  <c r="O281" i="4"/>
  <c r="O282" i="4" s="1"/>
  <c r="O260" i="4"/>
  <c r="O262" i="4" s="1"/>
  <c r="O251" i="4"/>
  <c r="O253" i="4" s="1"/>
  <c r="O265" i="4"/>
  <c r="O267" i="4" s="1"/>
  <c r="O175" i="4"/>
  <c r="O177" i="4" s="1"/>
  <c r="O184" i="4"/>
  <c r="O186" i="4" s="1"/>
  <c r="O209" i="4"/>
  <c r="O213" i="4"/>
  <c r="O216" i="4" s="1"/>
  <c r="O219" i="4"/>
  <c r="O220" i="4" s="1"/>
  <c r="O227" i="4"/>
  <c r="O229" i="4" s="1"/>
  <c r="O232" i="4"/>
  <c r="O233" i="4" s="1"/>
  <c r="O192" i="4"/>
  <c r="O193" i="4" s="1"/>
  <c r="O167" i="4"/>
  <c r="O171" i="4" s="1"/>
  <c r="O154" i="4"/>
  <c r="O155" i="4" s="1"/>
  <c r="O145" i="4"/>
  <c r="O147" i="4" s="1"/>
  <c r="O123" i="4"/>
  <c r="O127" i="4" s="1"/>
  <c r="P139" i="4"/>
  <c r="P112" i="4"/>
  <c r="P114" i="4" s="1"/>
  <c r="O55" i="4"/>
  <c r="O60" i="4" s="1"/>
  <c r="O101" i="4"/>
  <c r="O102" i="4" s="1"/>
  <c r="O44" i="4"/>
  <c r="O48" i="4" s="1"/>
  <c r="O31" i="4"/>
  <c r="O33" i="4" s="1"/>
  <c r="O89" i="4"/>
  <c r="O91" i="4" s="1"/>
  <c r="O78" i="4"/>
  <c r="O79" i="4" s="1"/>
  <c r="O10" i="4"/>
  <c r="O19" i="4" s="1"/>
  <c r="O82" i="4"/>
  <c r="O85" i="4" s="1"/>
  <c r="O70" i="4"/>
  <c r="O75" i="4" s="1"/>
  <c r="P94" i="4"/>
  <c r="P98" i="4" s="1"/>
  <c r="O38" i="4"/>
  <c r="O40" i="4" s="1"/>
  <c r="O22" i="4"/>
  <c r="O24" i="4" s="1"/>
  <c r="I118" i="13"/>
  <c r="I121" i="13" s="1"/>
  <c r="O211" i="4" l="1"/>
  <c r="P118" i="4"/>
  <c r="P120" i="4" s="1"/>
  <c r="P142" i="4"/>
  <c r="P27" i="4"/>
  <c r="P28" i="4" s="1"/>
  <c r="O28" i="4"/>
  <c r="P130" i="4"/>
  <c r="P133" i="4" s="1"/>
  <c r="L118" i="13"/>
  <c r="L121" i="13" s="1"/>
  <c r="P210" i="4"/>
  <c r="P281" i="4"/>
  <c r="P282" i="4" s="1"/>
  <c r="P251" i="4"/>
  <c r="P253" i="4" s="1"/>
  <c r="P260" i="4"/>
  <c r="P262" i="4" s="1"/>
  <c r="P265" i="4"/>
  <c r="P267" i="4" s="1"/>
  <c r="P184" i="4"/>
  <c r="P186" i="4" s="1"/>
  <c r="P175" i="4"/>
  <c r="P177" i="4" s="1"/>
  <c r="P219" i="4"/>
  <c r="P220" i="4" s="1"/>
  <c r="P227" i="4"/>
  <c r="P229" i="4" s="1"/>
  <c r="P213" i="4"/>
  <c r="P216" i="4" s="1"/>
  <c r="P232" i="4"/>
  <c r="P233" i="4" s="1"/>
  <c r="P209" i="4"/>
  <c r="P192" i="4"/>
  <c r="P193" i="4" s="1"/>
  <c r="P167" i="4"/>
  <c r="P171" i="4" s="1"/>
  <c r="P154" i="4"/>
  <c r="P155" i="4" s="1"/>
  <c r="P145" i="4"/>
  <c r="P147" i="4" s="1"/>
  <c r="P123" i="4"/>
  <c r="P127" i="4" s="1"/>
  <c r="P31" i="4"/>
  <c r="P33" i="4" s="1"/>
  <c r="P38" i="4"/>
  <c r="P40" i="4" s="1"/>
  <c r="P78" i="4"/>
  <c r="P79" i="4" s="1"/>
  <c r="P82" i="4"/>
  <c r="P85" i="4" s="1"/>
  <c r="P10" i="4"/>
  <c r="P19" i="4" s="1"/>
  <c r="P22" i="4"/>
  <c r="P24" i="4" s="1"/>
  <c r="P44" i="4"/>
  <c r="P48" i="4" s="1"/>
  <c r="P101" i="4"/>
  <c r="P102" i="4" s="1"/>
  <c r="P70" i="4"/>
  <c r="P75" i="4" s="1"/>
  <c r="P55" i="4"/>
  <c r="P60" i="4" s="1"/>
  <c r="P89" i="4"/>
  <c r="P91" i="4" s="1"/>
  <c r="P211" i="4" l="1"/>
  <c r="M118" i="13"/>
  <c r="M121" i="13" s="1"/>
  <c r="N118" i="13" l="1"/>
  <c r="N121" i="13" s="1"/>
  <c r="Q1048211" i="13"/>
  <c r="B64883" i="13"/>
  <c r="B64885" i="13" s="1"/>
  <c r="Q118" i="13" l="1"/>
  <c r="Q121" i="13" s="1"/>
  <c r="R118" i="13" l="1"/>
  <c r="R121" i="13" s="1"/>
  <c r="R169" i="13"/>
  <c r="R174" i="13" s="1"/>
  <c r="B16923" i="4"/>
  <c r="B16925" i="4" s="1"/>
  <c r="H241" i="4"/>
  <c r="H242" i="4" s="1"/>
  <c r="H400" i="4" s="1"/>
  <c r="G241" i="4"/>
  <c r="G242" i="4" s="1"/>
  <c r="G400" i="4" s="1"/>
  <c r="J241" i="4" l="1"/>
  <c r="A32" i="13"/>
  <c r="A33" i="13" s="1"/>
  <c r="K241" i="4" l="1"/>
  <c r="J242" i="4"/>
  <c r="J400" i="4" s="1"/>
  <c r="A34" i="13"/>
  <c r="A38" i="13" s="1"/>
  <c r="A39" i="13" s="1"/>
  <c r="L241" i="4" l="1"/>
  <c r="K242" i="4"/>
  <c r="K400" i="4" s="1"/>
  <c r="A40" i="13"/>
  <c r="A41" i="13" s="1"/>
  <c r="K877141" i="14"/>
  <c r="O241" i="4" l="1"/>
  <c r="L242" i="4"/>
  <c r="A42" i="13"/>
  <c r="P241" i="4" l="1"/>
  <c r="P242" i="4" s="1"/>
  <c r="O242" i="4"/>
  <c r="A46" i="13"/>
  <c r="A50" i="13" s="1"/>
  <c r="A54" i="13" s="1"/>
  <c r="A55" i="13" s="1"/>
  <c r="A60" i="13" s="1"/>
  <c r="A65" i="13" s="1"/>
  <c r="A69" i="13" s="1"/>
  <c r="A74" i="13" s="1"/>
  <c r="A75" i="13" s="1"/>
  <c r="A79" i="13" s="1"/>
  <c r="A80" i="13" s="1"/>
  <c r="A81" i="13" s="1"/>
  <c r="A86" i="13" l="1"/>
  <c r="A98" i="13" l="1"/>
  <c r="A99" i="13" s="1"/>
  <c r="A100" i="13" s="1"/>
  <c r="A103" i="13" s="1"/>
  <c r="A107" i="13" s="1"/>
  <c r="A89" i="13"/>
  <c r="A108" i="13" l="1"/>
  <c r="A112" i="13" s="1"/>
  <c r="A117" i="13" s="1"/>
  <c r="A118" i="13" s="1"/>
  <c r="A119" i="13" s="1"/>
  <c r="A120" i="13" s="1"/>
  <c r="A124" i="13" s="1"/>
  <c r="A125" i="13" l="1"/>
  <c r="A129" i="13" s="1"/>
  <c r="A133" i="13" s="1"/>
  <c r="A137" i="13" s="1"/>
  <c r="A138" i="13" l="1"/>
  <c r="A142" i="13" s="1"/>
  <c r="A143" i="13" s="1"/>
  <c r="A144" i="13" s="1"/>
  <c r="A148" i="13" l="1"/>
  <c r="A149" i="13" s="1"/>
  <c r="A153" i="13" s="1"/>
  <c r="A154" i="13" l="1"/>
  <c r="A162" i="13" l="1"/>
  <c r="A163" i="13" s="1"/>
  <c r="A167" i="13" s="1"/>
  <c r="B49" i="16"/>
  <c r="B53" i="16" l="1"/>
  <c r="B57" i="16" s="1"/>
  <c r="B60" i="16" l="1"/>
  <c r="B64" i="16" s="1"/>
  <c r="B68" i="16" s="1"/>
  <c r="B72" i="16" s="1"/>
  <c r="B76" i="16" s="1"/>
  <c r="B77" i="16" l="1"/>
  <c r="B81" i="16" s="1"/>
  <c r="B82" i="16" s="1"/>
  <c r="B86" i="16" s="1"/>
  <c r="B87" i="16" s="1"/>
  <c r="B91" i="16" s="1"/>
  <c r="B95" i="16" s="1"/>
  <c r="B99" i="16" s="1"/>
  <c r="B115" i="16" l="1"/>
  <c r="B119" i="16" s="1"/>
  <c r="B123" i="16" s="1"/>
  <c r="B124" i="16" s="1"/>
  <c r="B128" i="16" s="1"/>
  <c r="B132" i="16" l="1"/>
  <c r="B137" i="16" s="1"/>
  <c r="B138" i="16" s="1"/>
  <c r="A168" i="13" l="1"/>
  <c r="A169" i="13" s="1"/>
  <c r="A170" i="13" s="1"/>
  <c r="A171" i="13" s="1"/>
  <c r="A172" i="13" s="1"/>
  <c r="A173" i="13" l="1"/>
  <c r="A177" i="13" l="1"/>
  <c r="A182" i="13" s="1"/>
  <c r="A183" i="13" s="1"/>
  <c r="A187" i="13" s="1"/>
  <c r="A188" i="13" s="1"/>
  <c r="A192" i="13" s="1"/>
  <c r="A196" i="13" s="1"/>
  <c r="A197" i="13" s="1"/>
  <c r="A198" i="13" s="1"/>
  <c r="A199" i="13" s="1"/>
  <c r="A200" i="13" l="1"/>
  <c r="A201" i="13" s="1"/>
  <c r="A205" i="13" s="1"/>
  <c r="A206" i="13" s="1"/>
  <c r="A207" i="13" s="1"/>
  <c r="A208" i="13" s="1"/>
  <c r="A212" i="13" s="1"/>
  <c r="A216" i="13" s="1"/>
  <c r="A217" i="13" s="1"/>
  <c r="A218" i="13" s="1"/>
  <c r="A222" i="13" s="1"/>
  <c r="A226" i="13" s="1"/>
  <c r="A230" i="13" s="1"/>
  <c r="A234" i="13" s="1"/>
  <c r="A235" i="13" l="1"/>
  <c r="A239" i="13" s="1"/>
  <c r="A240" i="13" s="1"/>
  <c r="A244" i="13" s="1"/>
  <c r="A245" i="13" s="1"/>
  <c r="A249" i="13" s="1"/>
  <c r="A250" i="13" s="1"/>
  <c r="A254" i="13" l="1"/>
  <c r="A258" i="13" s="1"/>
  <c r="A262" i="13" l="1"/>
  <c r="A263" i="13" s="1"/>
  <c r="A267" i="13" s="1"/>
  <c r="A37" i="4"/>
  <c r="A38" i="4" s="1"/>
  <c r="A39" i="4" s="1"/>
  <c r="A42" i="4" s="1"/>
  <c r="A43" i="4" s="1"/>
  <c r="A44" i="4" s="1"/>
  <c r="A45" i="4" s="1"/>
  <c r="A46" i="4" s="1"/>
  <c r="A47" i="4" l="1"/>
  <c r="A51" i="4" s="1"/>
  <c r="A55" i="4" s="1"/>
  <c r="A56" i="4" s="1"/>
  <c r="A57" i="4" s="1"/>
  <c r="A58" i="4" s="1"/>
  <c r="A59" i="4" l="1"/>
  <c r="A63" i="4" s="1"/>
  <c r="A64" i="4" s="1"/>
  <c r="A65" i="4" s="1"/>
  <c r="A69" i="4" s="1"/>
  <c r="A70" i="4" s="1"/>
  <c r="A71" i="4" s="1"/>
  <c r="A72" i="4" s="1"/>
  <c r="A73" i="4" s="1"/>
  <c r="A74" i="4" s="1"/>
  <c r="A77" i="4" s="1"/>
  <c r="A78" i="4" s="1"/>
  <c r="A82" i="4" s="1"/>
  <c r="A83" i="4" s="1"/>
  <c r="A84" i="4" s="1"/>
  <c r="A88" i="4" s="1"/>
  <c r="A89" i="4" s="1"/>
  <c r="A90" i="4" s="1"/>
  <c r="A94" i="4" s="1"/>
  <c r="A95" i="4" s="1"/>
  <c r="A96" i="4" s="1"/>
  <c r="A97" i="4" s="1"/>
  <c r="A101" i="4" s="1"/>
  <c r="A104" i="4" s="1"/>
  <c r="A105" i="4" s="1"/>
  <c r="A109" i="4" s="1"/>
  <c r="A110" i="4" s="1"/>
  <c r="A111" i="4" s="1"/>
  <c r="A112" i="4" s="1"/>
  <c r="A113" i="4" s="1"/>
  <c r="A117" i="4" l="1"/>
  <c r="A118" i="4" s="1"/>
  <c r="A119" i="4" s="1"/>
  <c r="A123" i="4" s="1"/>
  <c r="A124" i="4" s="1"/>
  <c r="A125" i="4" s="1"/>
  <c r="A126" i="4" s="1"/>
  <c r="A129" i="4" l="1"/>
  <c r="A130" i="4" s="1"/>
  <c r="A131" i="4" s="1"/>
  <c r="A132" i="4" l="1"/>
  <c r="A136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7" i="4" s="1"/>
  <c r="A168" i="4" s="1"/>
  <c r="A169" i="4" s="1"/>
  <c r="A170" i="4" s="1"/>
  <c r="A175" i="4" s="1"/>
  <c r="A176" i="4" s="1"/>
  <c r="A180" i="4" s="1"/>
  <c r="A183" i="4" s="1"/>
  <c r="A184" i="4" s="1"/>
  <c r="A185" i="4" s="1"/>
  <c r="A189" i="4" s="1"/>
  <c r="A190" i="4" s="1"/>
  <c r="A191" i="4" s="1"/>
  <c r="A192" i="4" s="1"/>
  <c r="A196" i="4" s="1"/>
  <c r="A197" i="4" s="1"/>
  <c r="A198" i="4" s="1"/>
  <c r="A199" i="4" s="1"/>
  <c r="A200" i="4" s="1"/>
  <c r="A201" i="4" l="1"/>
  <c r="A205" i="4" s="1"/>
  <c r="A209" i="4" s="1"/>
  <c r="A210" i="4" s="1"/>
  <c r="A213" i="4" s="1"/>
  <c r="A214" i="4" s="1"/>
  <c r="A215" i="4" s="1"/>
  <c r="A219" i="4" s="1"/>
  <c r="A223" i="4" s="1"/>
  <c r="A227" i="4" s="1"/>
  <c r="A228" i="4" s="1"/>
  <c r="A232" i="4" s="1"/>
  <c r="A236" i="4" s="1"/>
  <c r="A241" i="4" l="1"/>
  <c r="A245" i="4" s="1"/>
  <c r="A246" i="4" s="1"/>
  <c r="A247" i="4" s="1"/>
  <c r="A251" i="4" s="1"/>
  <c r="A252" i="4" s="1"/>
  <c r="A256" i="4" s="1"/>
  <c r="A260" i="4" s="1"/>
  <c r="A261" i="4" s="1"/>
  <c r="A265" i="4" s="1"/>
  <c r="A266" i="4" s="1"/>
  <c r="A270" i="4" s="1"/>
  <c r="A271" i="4" s="1"/>
  <c r="A272" i="4" s="1"/>
  <c r="A276" i="4" s="1"/>
  <c r="A280" i="4" s="1"/>
  <c r="A281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8" i="4" s="1"/>
  <c r="A319" i="4" s="1"/>
  <c r="A320" i="4" s="1"/>
  <c r="A321" i="4" s="1"/>
  <c r="A322" i="4" s="1"/>
  <c r="A323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l="1"/>
  <c r="O158" i="13"/>
  <c r="O159" i="13" s="1"/>
  <c r="O263" i="13"/>
  <c r="A349" i="4" l="1"/>
  <c r="A350" i="4" s="1"/>
  <c r="A354" i="4" s="1"/>
  <c r="A358" i="4" s="1"/>
  <c r="A362" i="4" s="1"/>
  <c r="A366" i="4" s="1"/>
  <c r="A367" i="4" s="1"/>
  <c r="A368" i="4" s="1"/>
  <c r="A372" i="4" s="1"/>
  <c r="A373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O264" i="13"/>
  <c r="P264" i="13" l="1"/>
  <c r="R264" i="13" l="1"/>
  <c r="Q264" i="13"/>
  <c r="L345" i="4"/>
  <c r="L346" i="4" s="1"/>
  <c r="O345" i="4" l="1"/>
  <c r="O346" i="4" s="1"/>
  <c r="L400" i="4"/>
  <c r="P345" i="4" l="1"/>
  <c r="O400" i="4"/>
  <c r="P400" i="4" l="1"/>
  <c r="P346" i="4"/>
</calcChain>
</file>

<file path=xl/sharedStrings.xml><?xml version="1.0" encoding="utf-8"?>
<sst xmlns="http://schemas.openxmlformats.org/spreadsheetml/2006/main" count="2073" uniqueCount="728">
  <si>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</si>
  <si>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</si>
  <si>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</si>
  <si>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</si>
  <si>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</si>
  <si>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</si>
  <si>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</si>
  <si>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</si>
  <si>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</si>
  <si>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</si>
  <si>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</si>
  <si>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</si>
  <si>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</si>
  <si>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</si>
  <si>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</si>
  <si>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</si>
  <si>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</si>
  <si>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</si>
  <si>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</si>
  <si>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</si>
  <si>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</si>
  <si>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</si>
  <si>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</si>
  <si>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</si>
  <si>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</si>
  <si>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</si>
  <si>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</si>
  <si>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</si>
  <si>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</si>
  <si>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</si>
  <si>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</si>
  <si>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</si>
  <si>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</si>
  <si>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</si>
  <si>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</si>
  <si>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</si>
  <si>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</si>
  <si>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</si>
  <si>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</si>
  <si>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</si>
  <si>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</si>
  <si>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</si>
  <si>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</si>
  <si>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</si>
  <si>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</si>
  <si>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</si>
  <si>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</si>
  <si>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</si>
  <si>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</si>
  <si>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</si>
  <si>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</si>
  <si>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</si>
  <si>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</si>
  <si>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</si>
  <si>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</si>
  <si>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</si>
  <si>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</si>
  <si>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</si>
  <si>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</si>
  <si>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</si>
  <si>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</si>
  <si>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</si>
  <si>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</si>
  <si>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</si>
  <si>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</si>
  <si>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</si>
  <si>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</si>
  <si>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</si>
  <si>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</si>
  <si>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</si>
  <si>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</si>
  <si>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</si>
  <si>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</si>
  <si>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</si>
  <si>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</si>
  <si>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</si>
  <si>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</si>
  <si>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</si>
  <si>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</si>
  <si>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</si>
  <si>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</si>
  <si>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</si>
  <si>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</si>
  <si>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</si>
  <si>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</si>
  <si>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</si>
  <si>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</si>
  <si>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</si>
  <si>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</si>
  <si>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</si>
  <si>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</si>
  <si>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</si>
  <si>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</si>
  <si>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</si>
  <si>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</si>
  <si>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</si>
  <si>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</si>
  <si>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</si>
  <si>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</si>
  <si>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</si>
  <si>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</si>
  <si>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</si>
  <si>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</si>
  <si>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</si>
  <si>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</si>
  <si>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</si>
  <si>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</si>
  <si>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</si>
  <si>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</si>
  <si>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</si>
  <si>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</si>
  <si>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</si>
  <si>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</si>
  <si>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</si>
  <si>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</si>
  <si>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</si>
  <si>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</si>
  <si>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</si>
  <si>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</si>
  <si>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</si>
  <si>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</si>
  <si>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</si>
  <si>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</si>
  <si>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</si>
  <si>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</si>
  <si>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</si>
  <si>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</si>
  <si>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</si>
  <si>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</si>
  <si>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</si>
  <si>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</si>
  <si>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</si>
  <si>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</si>
  <si>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</si>
  <si>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</si>
  <si>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</si>
  <si>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</si>
  <si>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</si>
  <si>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</si>
  <si>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</si>
  <si>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</si>
  <si>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</si>
  <si>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</si>
  <si>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</si>
  <si>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</si>
  <si>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</si>
  <si>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</si>
  <si>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</si>
  <si>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</si>
  <si>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</si>
  <si>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</si>
  <si>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</si>
  <si>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</si>
  <si>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</si>
  <si>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</si>
  <si>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</si>
  <si>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</si>
  <si>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</si>
  <si>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</si>
  <si>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</si>
  <si>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</si>
  <si>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</si>
  <si>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</si>
  <si>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</si>
  <si>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</si>
  <si>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</si>
  <si>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</si>
  <si>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</si>
  <si>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</si>
  <si>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</si>
  <si>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</si>
  <si>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</si>
  <si>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</si>
  <si>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</si>
  <si>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</si>
  <si>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</si>
  <si>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</si>
  <si>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</si>
  <si>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</si>
  <si>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</si>
  <si>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</si>
  <si>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</si>
  <si>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</si>
  <si>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</si>
  <si>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</si>
  <si>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</si>
  <si>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</si>
  <si>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</si>
  <si>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</si>
  <si>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</si>
  <si>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</si>
  <si>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</si>
  <si>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</si>
  <si>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</si>
  <si>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</si>
  <si>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</si>
  <si>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</si>
  <si>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</si>
  <si>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</si>
  <si>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</si>
  <si>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</si>
  <si>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</si>
  <si>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</si>
  <si>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</si>
  <si>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</si>
  <si>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</si>
  <si>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</si>
  <si>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</si>
  <si>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</si>
  <si>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</si>
  <si>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</si>
  <si>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</si>
  <si>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</si>
  <si>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</si>
  <si>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</si>
  <si>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</si>
  <si>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</si>
  <si>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</si>
  <si>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</si>
  <si>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</si>
  <si>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</si>
  <si>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</si>
  <si>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</si>
  <si>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</si>
  <si>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</si>
  <si>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</si>
  <si>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</si>
  <si>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</si>
  <si>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</si>
  <si>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</si>
  <si>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</si>
  <si>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</si>
  <si>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</si>
  <si>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</si>
  <si>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</si>
  <si>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</si>
  <si>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</si>
  <si>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</si>
  <si>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</si>
  <si>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</si>
  <si>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</si>
  <si>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</si>
  <si>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</si>
  <si>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</si>
  <si>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</si>
  <si>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</si>
  <si>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</si>
  <si>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</si>
  <si>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</si>
  <si>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</si>
  <si>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</si>
  <si>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</si>
  <si>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</si>
  <si>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</si>
  <si>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</si>
  <si>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</si>
  <si>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</si>
  <si>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</si>
  <si>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</si>
  <si>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</si>
  <si>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</si>
  <si>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</si>
  <si>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</si>
  <si>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</si>
  <si>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</si>
  <si>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</si>
  <si>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</si>
  <si>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</si>
  <si>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</si>
  <si>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</si>
  <si>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</si>
  <si>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</si>
  <si>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</si>
  <si>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</si>
  <si>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</si>
  <si>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</si>
  <si>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</si>
  <si>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</si>
  <si>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</si>
  <si>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</si>
  <si>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</si>
  <si>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</si>
  <si>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</si>
  <si>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</si>
  <si>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</si>
  <si>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</si>
  <si>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</si>
  <si>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</si>
  <si>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</si>
  <si>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</si>
  <si>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</si>
  <si>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</si>
  <si>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</si>
  <si>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</si>
  <si>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</si>
  <si>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</si>
  <si>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</si>
  <si>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</si>
  <si>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</si>
  <si>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</si>
  <si>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</si>
  <si>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</si>
  <si>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</si>
  <si>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</si>
  <si>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</si>
  <si>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</si>
  <si>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</si>
  <si>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</si>
  <si>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</si>
  <si>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</si>
  <si>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</si>
  <si>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</si>
  <si>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</si>
  <si>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</si>
  <si>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</si>
  <si>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</si>
  <si>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</si>
  <si>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</si>
  <si>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</si>
  <si>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</si>
  <si>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</si>
  <si>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</si>
  <si>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</si>
  <si>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</si>
  <si>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</si>
  <si>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</si>
  <si>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</si>
  <si>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</si>
  <si>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</si>
  <si>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</si>
  <si>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</si>
  <si>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</si>
  <si>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</si>
  <si>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</si>
  <si>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</si>
  <si>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</si>
  <si>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</si>
  <si>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</si>
  <si>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</si>
  <si>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</si>
  <si>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</si>
  <si>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</si>
  <si>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</si>
  <si>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</si>
  <si>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</si>
  <si>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</si>
  <si>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</si>
  <si>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</si>
  <si>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</si>
  <si>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</si>
  <si>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</si>
  <si>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</si>
  <si>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</si>
  <si>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</si>
  <si>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</si>
  <si>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</si>
  <si>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</si>
  <si>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</si>
  <si>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</si>
  <si>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</si>
  <si>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</si>
  <si>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</si>
  <si>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</si>
  <si>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</si>
  <si>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</si>
  <si>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</si>
  <si>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</si>
  <si>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</si>
  <si>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</si>
  <si>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</si>
  <si>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</si>
  <si>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</si>
  <si>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</si>
  <si>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</si>
  <si>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</si>
  <si>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</si>
  <si>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</si>
  <si>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</si>
  <si>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</si>
  <si>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</si>
  <si>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</si>
  <si>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</si>
  <si>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</si>
  <si>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</si>
  <si>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</si>
  <si>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</si>
  <si>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</si>
  <si>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</si>
  <si>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</si>
  <si>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</si>
  <si>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</si>
  <si>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</si>
  <si>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</si>
  <si>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</si>
  <si>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</si>
  <si>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</si>
  <si>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</si>
  <si>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</si>
  <si>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</si>
  <si>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</si>
  <si>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</si>
  <si>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</si>
  <si>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</si>
  <si>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</si>
  <si>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</si>
  <si>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</si>
  <si>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</si>
  <si>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</si>
  <si>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</si>
  <si>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</si>
  <si>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</si>
  <si>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</si>
  <si>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</si>
  <si>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</si>
  <si>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</si>
  <si>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</si>
  <si>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</si>
  <si>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</si>
  <si>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</si>
  <si>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</si>
  <si>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</si>
  <si>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</si>
  <si>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</si>
  <si>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</si>
  <si>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</si>
  <si>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</si>
  <si>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</si>
  <si>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</si>
  <si>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</si>
  <si>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</si>
  <si>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</si>
  <si>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</si>
  <si>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</si>
  <si>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</si>
  <si>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</si>
  <si>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</si>
  <si>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</si>
  <si>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</si>
  <si>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</si>
  <si>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</si>
  <si>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</si>
  <si>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</si>
  <si>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</si>
  <si>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</si>
  <si>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</si>
  <si>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</si>
  <si>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</si>
  <si>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</si>
  <si>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</si>
  <si>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</si>
  <si>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</si>
  <si>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</si>
  <si>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</si>
  <si>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</si>
  <si>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</si>
  <si>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</si>
  <si>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</si>
  <si>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</si>
  <si>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</si>
  <si>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</si>
  <si>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</si>
  <si>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</si>
  <si>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</si>
  <si>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</si>
  <si>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</si>
  <si>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</si>
  <si>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</si>
  <si>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</si>
  <si>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</si>
  <si>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</si>
  <si>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</si>
  <si>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</si>
  <si>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</si>
  <si>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</si>
  <si>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</si>
  <si>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</si>
  <si>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</si>
  <si>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</si>
  <si>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</si>
  <si>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</si>
  <si>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</si>
  <si>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</si>
  <si>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</si>
  <si>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</si>
  <si>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</si>
  <si>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</si>
  <si>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</si>
  <si>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</si>
  <si>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</si>
  <si>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</si>
  <si>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</si>
  <si>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</si>
  <si>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</si>
  <si>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</si>
  <si>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</si>
  <si>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</si>
  <si>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</si>
  <si>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</si>
  <si>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</si>
  <si>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</si>
  <si>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</si>
  <si>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</si>
  <si>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</si>
  <si>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</si>
  <si>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</si>
  <si>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</si>
  <si>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</si>
  <si>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</si>
  <si>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</si>
  <si>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</si>
  <si>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</si>
  <si>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</si>
  <si>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</si>
  <si>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</si>
  <si>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</si>
  <si>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</si>
  <si>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</si>
  <si>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</si>
  <si>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</si>
  <si>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</si>
  <si>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</si>
  <si>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</si>
  <si>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</si>
  <si>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</si>
  <si>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</si>
  <si>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</si>
  <si>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</si>
  <si>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</si>
  <si>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</si>
  <si>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</si>
  <si>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</si>
  <si>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</si>
  <si>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</si>
  <si>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</si>
  <si>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</si>
  <si>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</si>
  <si>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</si>
  <si>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</si>
  <si>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</si>
  <si>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</si>
  <si>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</si>
  <si>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</si>
  <si>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KEVIN JOSÉ RODRÍGUEZ ACOSTA</t>
  </si>
  <si>
    <t>FERNANDO LUIS SAN MIGUEL ÁLVAREZ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</si>
  <si>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</si>
  <si>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</si>
  <si>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</si>
  <si>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</si>
  <si>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</si>
  <si>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</si>
  <si>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>18 DE ABRIL DEL 2023</t>
  </si>
  <si>
    <t>01 DE ABRIL DEL 2023</t>
  </si>
  <si>
    <t>5 DE ABRIL DEL 2023</t>
  </si>
  <si>
    <t xml:space="preserve">JUAN ALFONSO PAULINO RODRIGUEZ </t>
  </si>
  <si>
    <t>15 DE ABRIL DEL 2023</t>
  </si>
  <si>
    <t>ANALISTA DE ANÁLISIS DE ESTUDIOS ECONÓMICOS I</t>
  </si>
  <si>
    <t>01 DE MAYO DE 2023</t>
  </si>
  <si>
    <t xml:space="preserve">JEREMY ELIAM BISONO SENA 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</si>
  <si>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</si>
  <si>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</si>
  <si>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</si>
  <si>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</si>
  <si>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</si>
  <si>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</si>
  <si>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</si>
  <si>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</si>
  <si>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</si>
  <si>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</si>
  <si>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</si>
  <si>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</si>
  <si>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</si>
  <si>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 01 DE JUNIO DEL 2023</t>
  </si>
  <si>
    <t xml:space="preserve">PATRICIA CAROLINA DILONE GIL </t>
  </si>
  <si>
    <t xml:space="preserve">SORANGEL GONZALEZ DIAZ </t>
  </si>
  <si>
    <t>NICKOL RODRÍGUEZ FERNÁNDEZ</t>
  </si>
  <si>
    <t>01 DE JUNIO DE 2023</t>
  </si>
  <si>
    <t xml:space="preserve">EUSEBIA PEREZ AGRAMONTE </t>
  </si>
  <si>
    <t xml:space="preserve">EMPRESAS PUBLICAS NO FINANCIERAS </t>
  </si>
  <si>
    <t xml:space="preserve">RAYDAN DE JESUS DIA DE LA ROSA </t>
  </si>
  <si>
    <t xml:space="preserve">ENCARGADO ADMINISTRATIVO Y FINANCIERO </t>
  </si>
  <si>
    <t>04 DE JUNIO DE 2023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</si>
  <si>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</si>
  <si>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</si>
  <si>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</si>
  <si>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</si>
  <si>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</si>
  <si>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</si>
  <si>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</si>
  <si>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</si>
  <si>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</si>
  <si>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</si>
  <si>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</si>
  <si>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CARMEN MILAGROS CUEVAS GUZMAN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</si>
  <si>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</si>
  <si>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</si>
  <si>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</si>
  <si>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</si>
  <si>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</si>
  <si>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</si>
  <si>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02 DE JULIO DEL 2023</t>
  </si>
  <si>
    <t>15 DE OCTUBRDE DEL 2023</t>
  </si>
  <si>
    <t>26 DE JULIO DEL 2023</t>
  </si>
  <si>
    <t>15 DE OCTUBRE DEL 2023</t>
  </si>
  <si>
    <t>01 DE SEPTIEMBRE DEL 2023</t>
  </si>
  <si>
    <t>26 DE JULIO DE 2023</t>
  </si>
  <si>
    <t>01 DE JULIO DEL 2023</t>
  </si>
  <si>
    <t>15 DE SEPTIEMBRE DEL 2023</t>
  </si>
  <si>
    <t>02 DE AGOSTO DEL 2023</t>
  </si>
  <si>
    <t>01 DE AGOSTO DEL 2023</t>
  </si>
  <si>
    <t>02 DE SEPTIEMBRE DEL 2023</t>
  </si>
  <si>
    <t>5  DE OCTUBRE DEL 2023</t>
  </si>
  <si>
    <t>01 DE NOVIEMBRE DE 2023</t>
  </si>
  <si>
    <t>18 DE OCTUBRE DEL 2023</t>
  </si>
  <si>
    <t>25 DE AGOSTO DEL 2023</t>
  </si>
  <si>
    <t>01 DE OCTUBRE DEL 2023</t>
  </si>
  <si>
    <t>18 DE AGOSTO DEL 2023</t>
  </si>
  <si>
    <t>21 DE AGOSTO DEL 2023</t>
  </si>
  <si>
    <t>14 DE AGOSTO DEL 2023</t>
  </si>
  <si>
    <t>10 DE AGOSTO DEL 2023</t>
  </si>
  <si>
    <t>22 DE AGOSTO DEL 2023</t>
  </si>
  <si>
    <t>03 DE SEPTIEMBRE DEL 2023</t>
  </si>
  <si>
    <t xml:space="preserve">Saldo a Fvaor 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</si>
  <si>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</si>
  <si>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</si>
  <si>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</si>
  <si>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</si>
  <si>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</si>
  <si>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</si>
  <si>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</si>
  <si>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</si>
  <si>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</si>
  <si>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</si>
  <si>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</si>
  <si>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</si>
  <si>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</si>
  <si>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</si>
  <si>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</si>
  <si>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</si>
  <si>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</si>
  <si>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</si>
  <si>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</si>
  <si>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</si>
  <si>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DIVISIÓN ADMINISTRATIV</t>
  </si>
  <si>
    <t>ALCY LOPEZ SEGURA</t>
  </si>
  <si>
    <t>ENCARGADO ADMINISTRATIVO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</si>
  <si>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</si>
  <si>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</si>
  <si>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</si>
  <si>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</si>
  <si>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</si>
  <si>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</si>
  <si>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</si>
  <si>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>SECCIÓN DE ALMACEN Y SUMINISTRO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</si>
  <si>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</si>
  <si>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</si>
  <si>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</si>
  <si>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</si>
  <si>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01 DE JUNIO DEL 2023</t>
  </si>
  <si>
    <t>01 DE DICIEMBRE DEL 2023</t>
  </si>
  <si>
    <t xml:space="preserve"> 01 DE DICIEMBRE DEL 2023</t>
  </si>
  <si>
    <t>04 DE DICIEMBRE DEL 2023</t>
  </si>
  <si>
    <t>01 DE DICIEMBRE DE 2023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</si>
  <si>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</si>
  <si>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</si>
  <si>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</si>
  <si>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</si>
  <si>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</si>
  <si>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</si>
  <si>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</si>
  <si>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</si>
  <si>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</si>
  <si>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</si>
  <si>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</si>
  <si>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</si>
  <si>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01 DE JULIO DE 2023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</si>
  <si>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</si>
  <si>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</si>
  <si>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</si>
  <si>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</si>
  <si>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</si>
  <si>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</si>
  <si>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</si>
  <si>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</si>
  <si>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</si>
  <si>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>ENCARGADO DIVISIÓN DE ORGANIZACIÓN DEL TRABAJO Y COMPENSACIÓN</t>
  </si>
  <si>
    <t xml:space="preserve">ANALISTA DE NORMAS Y METODOLOGÍAS </t>
  </si>
  <si>
    <t xml:space="preserve"> TÉCNICO DE PRESUPUESTO </t>
  </si>
  <si>
    <t xml:space="preserve">ENCARGADA DE DOCUMENTACIÓN </t>
  </si>
  <si>
    <t xml:space="preserve">RESPONSABLE DE OFICINA DE LIBRE ACCESO A LA INFORMACIÓN </t>
  </si>
  <si>
    <t>02 DE FEBRERO DEL 2024</t>
  </si>
  <si>
    <t>02 DE ENERO DEL 2024</t>
  </si>
  <si>
    <t>03 DE JULIO DEL 2023</t>
  </si>
  <si>
    <t>03 DE ENERO DEL 2024</t>
  </si>
  <si>
    <t>TÉCNICO DE TESORERIA</t>
  </si>
  <si>
    <t xml:space="preserve">TÉCNICO EN PRESUPUESTO Y TESORERIA </t>
  </si>
  <si>
    <t xml:space="preserve">AUXILIAR DE ALMACÉN Y SUMINISTRO </t>
  </si>
  <si>
    <t>26 DE ENERO DEL 2024</t>
  </si>
  <si>
    <t xml:space="preserve">ENCARGADA DE ANÁLISIS Y ESTUDIOS ECONOMICOS </t>
  </si>
  <si>
    <t>26 DE ENERO DE 2024</t>
  </si>
  <si>
    <t>01 DE ENERO  DEL 2024</t>
  </si>
  <si>
    <t>01 DE ENERO DEL 2024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</si>
  <si>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</si>
  <si>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</si>
  <si>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</si>
  <si>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</si>
  <si>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</si>
  <si>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</si>
  <si>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</si>
  <si>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21 DE SEPTIEMBRE DEL 2023</t>
  </si>
  <si>
    <t>DESARROLLADOR DE SISTEMA</t>
  </si>
  <si>
    <t xml:space="preserve">ANALISTA DE CLASIFICACIÓN, VALORACIÓN Y REMUNERACIÓN DE CARGOS </t>
  </si>
  <si>
    <t>Correspondiente al mes de septiembre del año 2023</t>
  </si>
  <si>
    <t xml:space="preserve">ENC. DIV. DE CALIDAD EN LA GESTION </t>
  </si>
  <si>
    <t>SANDRA CAROLINA REYES CRUZ</t>
  </si>
  <si>
    <t>04 DE SEPTIEMBRE DEL 2023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</si>
  <si>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</si>
  <si>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</si>
  <si>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</si>
  <si>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</si>
  <si>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</si>
  <si>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01 DE MAYO DEL 2023</t>
  </si>
  <si>
    <t>LUDOVINO CEBALLOS JIMÉNEZ</t>
  </si>
  <si>
    <t>15 DE MARZO DEL 2024</t>
  </si>
  <si>
    <t>02 DE MARZO DEL 2024</t>
  </si>
  <si>
    <t>01 DE  MARZO DEL 2024</t>
  </si>
  <si>
    <t>02 DE  MARZO DEL 2024</t>
  </si>
  <si>
    <t>21 DE MARZO DEL 2024</t>
  </si>
  <si>
    <t>03 DE MARZO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</si>
</sst>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</cellStyleXfs>
  <cellXfs count="326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43" fontId="10" fillId="0" borderId="1" xfId="1" applyFont="1" applyFill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19" xfId="1" applyFont="1" applyFill="1" applyBorder="1"/>
    <xf numFmtId="0" fontId="3" fillId="2" borderId="2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43" fontId="6" fillId="4" borderId="22" xfId="1" applyFont="1" applyFill="1" applyBorder="1"/>
    <xf numFmtId="0" fontId="3" fillId="0" borderId="20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3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19" xfId="1" applyFont="1" applyFill="1" applyBorder="1"/>
    <xf numFmtId="0" fontId="4" fillId="0" borderId="0" xfId="0" applyFont="1"/>
    <xf numFmtId="0" fontId="4" fillId="2" borderId="0" xfId="0" applyFont="1" applyFill="1"/>
    <xf numFmtId="0" fontId="0" fillId="2" borderId="0" xfId="0" applyFill="1"/>
    <xf numFmtId="165" fontId="12" fillId="2" borderId="12" xfId="0" applyNumberFormat="1" applyFont="1" applyFill="1" applyBorder="1" applyAlignment="1">
      <alignment horizontal="left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0" fontId="14" fillId="3" borderId="16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6" fillId="2" borderId="10" xfId="0" applyFont="1" applyFill="1" applyBorder="1"/>
    <xf numFmtId="0" fontId="16" fillId="2" borderId="12" xfId="0" applyFont="1" applyFill="1" applyBorder="1"/>
    <xf numFmtId="0" fontId="16" fillId="2" borderId="11" xfId="0" applyFont="1" applyFill="1" applyBorder="1"/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2" borderId="3" xfId="0" applyFont="1" applyFill="1" applyBorder="1" applyAlignment="1">
      <alignment wrapText="1"/>
    </xf>
    <xf numFmtId="0" fontId="14" fillId="2" borderId="5" xfId="0" applyFont="1" applyFill="1" applyBorder="1" applyAlignment="1">
      <alignment wrapText="1"/>
    </xf>
    <xf numFmtId="0" fontId="16" fillId="2" borderId="4" xfId="0" applyFont="1" applyFill="1" applyBorder="1"/>
    <xf numFmtId="0" fontId="16" fillId="2" borderId="3" xfId="0" applyFont="1" applyFill="1" applyBorder="1"/>
    <xf numFmtId="0" fontId="16" fillId="2" borderId="5" xfId="0" applyFont="1" applyFill="1" applyBorder="1"/>
    <xf numFmtId="0" fontId="16" fillId="2" borderId="19" xfId="0" applyFont="1" applyFill="1" applyBorder="1"/>
    <xf numFmtId="0" fontId="14" fillId="2" borderId="17" xfId="0" applyFont="1" applyFill="1" applyBorder="1"/>
    <xf numFmtId="0" fontId="14" fillId="2" borderId="18" xfId="0" applyFont="1" applyFill="1" applyBorder="1"/>
    <xf numFmtId="0" fontId="16" fillId="2" borderId="0" xfId="0" applyFont="1" applyFill="1"/>
    <xf numFmtId="0" fontId="6" fillId="2" borderId="4" xfId="0" applyFont="1" applyFill="1" applyBorder="1"/>
    <xf numFmtId="0" fontId="6" fillId="2" borderId="3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6" fillId="2" borderId="12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6" fillId="2" borderId="20" xfId="0" applyFont="1" applyFill="1" applyBorder="1" applyAlignment="1">
      <alignment wrapText="1"/>
    </xf>
    <xf numFmtId="0" fontId="7" fillId="2" borderId="4" xfId="0" applyFont="1" applyFill="1" applyBorder="1"/>
    <xf numFmtId="0" fontId="7" fillId="2" borderId="3" xfId="0" applyFont="1" applyFill="1" applyBorder="1"/>
    <xf numFmtId="0" fontId="6" fillId="2" borderId="16" xfId="0" applyFont="1" applyFill="1" applyBorder="1"/>
    <xf numFmtId="0" fontId="6" fillId="2" borderId="21" xfId="0" applyFont="1" applyFill="1" applyBorder="1"/>
    <xf numFmtId="0" fontId="6" fillId="2" borderId="0" xfId="0" applyFont="1" applyFill="1" applyAlignment="1">
      <alignment wrapText="1"/>
    </xf>
    <xf numFmtId="0" fontId="14" fillId="3" borderId="5" xfId="0" applyFont="1" applyFill="1" applyBorder="1" applyAlignment="1">
      <alignment horizontal="center" vertical="center"/>
    </xf>
    <xf numFmtId="43" fontId="10" fillId="2" borderId="0" xfId="0" applyNumberFormat="1" applyFont="1" applyFill="1"/>
    <xf numFmtId="0" fontId="14" fillId="3" borderId="26" xfId="0" applyFont="1" applyFill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/>
    </xf>
    <xf numFmtId="0" fontId="3" fillId="2" borderId="1" xfId="3" applyFont="1" applyFill="1" applyBorder="1" applyAlignment="1">
      <alignment wrapText="1"/>
    </xf>
    <xf numFmtId="0" fontId="23" fillId="2" borderId="0" xfId="0" applyFont="1" applyFill="1"/>
    <xf numFmtId="43" fontId="15" fillId="2" borderId="0" xfId="1" applyFont="1" applyFill="1" applyBorder="1" applyAlignment="1"/>
    <xf numFmtId="43" fontId="16" fillId="2" borderId="0" xfId="1" applyFont="1" applyFill="1" applyBorder="1" applyAlignment="1">
      <alignment horizontal="left"/>
    </xf>
    <xf numFmtId="0" fontId="3" fillId="0" borderId="10" xfId="0" applyFont="1" applyBorder="1" applyAlignment="1">
      <alignment horizontal="center"/>
    </xf>
    <xf numFmtId="43" fontId="15" fillId="2" borderId="1" xfId="0" applyNumberFormat="1" applyFont="1" applyFill="1" applyBorder="1"/>
    <xf numFmtId="0" fontId="12" fillId="2" borderId="12" xfId="0" applyFont="1" applyFill="1" applyBorder="1" applyAlignment="1">
      <alignment horizontal="left"/>
    </xf>
    <xf numFmtId="0" fontId="14" fillId="0" borderId="3" xfId="0" applyFont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43" fontId="10" fillId="0" borderId="1" xfId="0" applyNumberFormat="1" applyFont="1" applyBorder="1"/>
    <xf numFmtId="43" fontId="5" fillId="0" borderId="2" xfId="1" applyFont="1" applyFill="1" applyBorder="1"/>
    <xf numFmtId="0" fontId="16" fillId="0" borderId="2" xfId="0" applyFont="1" applyBorder="1"/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0" fontId="10" fillId="0" borderId="30" xfId="0" applyFont="1" applyBorder="1" applyAlignment="1">
      <alignment horizontal="center"/>
    </xf>
    <xf numFmtId="43" fontId="15" fillId="0" borderId="31" xfId="0" applyNumberFormat="1" applyFont="1" applyBorder="1"/>
    <xf numFmtId="43" fontId="10" fillId="0" borderId="32" xfId="0" applyNumberFormat="1" applyFont="1" applyBorder="1"/>
    <xf numFmtId="43" fontId="15" fillId="0" borderId="32" xfId="0" applyNumberFormat="1" applyFont="1" applyBorder="1"/>
    <xf numFmtId="0" fontId="10" fillId="0" borderId="24" xfId="0" applyFont="1" applyBorder="1" applyAlignment="1">
      <alignment horizontal="center"/>
    </xf>
    <xf numFmtId="0" fontId="15" fillId="2" borderId="25" xfId="0" applyFont="1" applyFill="1" applyBorder="1" applyAlignment="1">
      <alignment horizontal="left"/>
    </xf>
    <xf numFmtId="0" fontId="15" fillId="2" borderId="25" xfId="0" applyFont="1" applyFill="1" applyBorder="1" applyAlignment="1">
      <alignment horizontal="center"/>
    </xf>
    <xf numFmtId="165" fontId="12" fillId="2" borderId="25" xfId="0" applyNumberFormat="1" applyFont="1" applyFill="1" applyBorder="1" applyAlignment="1">
      <alignment horizontal="left" wrapText="1"/>
    </xf>
    <xf numFmtId="43" fontId="10" fillId="0" borderId="25" xfId="1" applyFont="1" applyFill="1" applyBorder="1"/>
    <xf numFmtId="43" fontId="10" fillId="0" borderId="25" xfId="0" applyNumberFormat="1" applyFont="1" applyBorder="1"/>
    <xf numFmtId="43" fontId="10" fillId="2" borderId="25" xfId="1" applyFont="1" applyFill="1" applyBorder="1"/>
    <xf numFmtId="43" fontId="10" fillId="0" borderId="33" xfId="0" applyNumberFormat="1" applyFont="1" applyBorder="1"/>
    <xf numFmtId="0" fontId="5" fillId="0" borderId="20" xfId="0" applyFont="1" applyBorder="1" applyAlignment="1">
      <alignment horizontal="center"/>
    </xf>
    <xf numFmtId="43" fontId="5" fillId="3" borderId="6" xfId="0" applyNumberFormat="1" applyFont="1" applyFill="1" applyBorder="1"/>
    <xf numFmtId="43" fontId="5" fillId="3" borderId="34" xfId="0" applyNumberFormat="1" applyFont="1" applyFill="1" applyBorder="1"/>
    <xf numFmtId="43" fontId="5" fillId="3" borderId="35" xfId="0" applyNumberFormat="1" applyFont="1" applyFill="1" applyBorder="1"/>
    <xf numFmtId="0" fontId="10" fillId="0" borderId="36" xfId="0" applyFont="1" applyBorder="1" applyAlignment="1">
      <alignment horizontal="center"/>
    </xf>
    <xf numFmtId="0" fontId="7" fillId="3" borderId="28" xfId="0" applyFont="1" applyFill="1" applyBorder="1" applyAlignment="1">
      <alignment horizontal="center" vertical="center" wrapText="1"/>
    </xf>
    <xf numFmtId="43" fontId="15" fillId="0" borderId="2" xfId="0" applyNumberFormat="1" applyFont="1" applyBorder="1" applyAlignment="1">
      <alignment vertical="center"/>
    </xf>
    <xf numFmtId="0" fontId="3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3" fillId="0" borderId="0" xfId="0" applyFont="1" applyAlignment="1">
      <alignment horizontal="left" wrapText="1"/>
    </xf>
    <xf numFmtId="0" fontId="15" fillId="2" borderId="0" xfId="0" applyFont="1" applyFill="1" applyAlignment="1">
      <alignment horizontal="left" wrapText="1"/>
    </xf>
    <xf numFmtId="0" fontId="15" fillId="2" borderId="1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wrapText="1"/>
    </xf>
    <xf numFmtId="0" fontId="16" fillId="0" borderId="5" xfId="0" applyFont="1" applyBorder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14" fillId="3" borderId="8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left" wrapText="1"/>
    </xf>
    <xf numFmtId="0" fontId="11" fillId="0" borderId="0" xfId="0" applyFont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14" fillId="0" borderId="0" xfId="0" applyFont="1" applyAlignment="1">
      <alignment horizontal="center" vertical="center"/>
    </xf>
    <xf numFmtId="43" fontId="16" fillId="2" borderId="0" xfId="0" applyNumberFormat="1" applyFont="1" applyFill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43" fontId="15" fillId="0" borderId="0" xfId="0" applyNumberFormat="1" applyFont="1"/>
    <xf numFmtId="0" fontId="24" fillId="0" borderId="0" xfId="0" applyFont="1"/>
    <xf numFmtId="0" fontId="24" fillId="0" borderId="0" xfId="0" applyFont="1" applyAlignment="1">
      <alignment horizontal="center"/>
    </xf>
    <xf numFmtId="0" fontId="8" fillId="0" borderId="0" xfId="0" applyFont="1"/>
    <xf numFmtId="0" fontId="3" fillId="2" borderId="11" xfId="0" applyFont="1" applyFill="1" applyBorder="1" applyAlignment="1">
      <alignment horizontal="left" wrapText="1"/>
    </xf>
    <xf numFmtId="0" fontId="14" fillId="2" borderId="4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4" fillId="3" borderId="17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2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26" xfId="0" applyFont="1" applyFill="1" applyBorder="1" applyAlignment="1">
      <alignment horizontal="center" wrapText="1"/>
    </xf>
    <xf numFmtId="0" fontId="6" fillId="2" borderId="27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4" xfId="3" xr:uid="{49F575B4-BF73-497E-8529-01B56A6E4F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4</xdr:row>
      <xdr:rowOff>314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4</xdr:row>
      <xdr:rowOff>79768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48"/>
  <sheetViews>
    <sheetView showGridLines="0" zoomScale="70" zoomScaleNormal="70" zoomScaleSheetLayoutView="40" workbookViewId="0">
      <pane xSplit="2" ySplit="7" topLeftCell="C353" activePane="bottomRight" state="frozen"/>
      <selection pane="topRight" activeCell="C1" sqref="C1"/>
      <selection pane="bottomLeft" activeCell="A9" sqref="A9"/>
      <selection pane="bottomRight" activeCell="G404" sqref="G404"/>
    </sheetView>
  </sheetViews>
  <sheetFormatPr baseColWidth="10" defaultColWidth="11.42578125" defaultRowHeight="12.75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1" style="2" customWidth="1"/>
    <col min="7" max="7" width="20.28515625" style="1" customWidth="1"/>
    <col min="8" max="8" width="24" style="1" customWidth="1"/>
    <col min="9" max="9" width="13.42578125" style="1" customWidth="1"/>
    <col min="10" max="10" width="16" style="1" customWidth="1"/>
    <col min="11" max="11" width="24" style="1" customWidth="1"/>
    <col min="12" max="13" width="22.28515625" style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60" ht="23.25" x14ac:dyDescent="0.35">
      <c r="A1" s="294" t="s">
        <v>409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</row>
    <row r="2" spans="1:60" ht="21" customHeight="1" x14ac:dyDescent="0.35">
      <c r="A2" s="295" t="s">
        <v>413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</row>
    <row r="3" spans="1:60" ht="18.75" customHeight="1" x14ac:dyDescent="0.3">
      <c r="A3" s="296" t="s">
        <v>711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</row>
    <row r="4" spans="1:60" ht="19.5" customHeight="1" thickBot="1" x14ac:dyDescent="0.35">
      <c r="A4" s="198"/>
      <c r="B4" s="198"/>
      <c r="C4" s="15"/>
      <c r="D4" s="22"/>
      <c r="E4" s="22"/>
      <c r="F4" s="15"/>
    </row>
    <row r="5" spans="1:60" ht="25.5" customHeight="1" thickBot="1" x14ac:dyDescent="0.3">
      <c r="A5" s="29" t="s">
        <v>569</v>
      </c>
      <c r="B5" s="30"/>
      <c r="C5" s="29"/>
      <c r="D5" s="30"/>
      <c r="E5" s="30"/>
      <c r="F5" s="31"/>
      <c r="G5" s="297" t="s">
        <v>120</v>
      </c>
      <c r="H5" s="298"/>
      <c r="I5" s="298"/>
      <c r="J5" s="299"/>
      <c r="K5" s="283"/>
      <c r="L5" s="32"/>
      <c r="M5" s="32"/>
      <c r="N5" s="32"/>
      <c r="O5" s="32"/>
      <c r="P5" s="32"/>
    </row>
    <row r="6" spans="1:60" s="16" customFormat="1" ht="30" customHeight="1" thickBot="1" x14ac:dyDescent="0.3">
      <c r="A6" s="33" t="s">
        <v>0</v>
      </c>
      <c r="B6" s="33" t="s">
        <v>361</v>
      </c>
      <c r="C6" s="33" t="s">
        <v>422</v>
      </c>
      <c r="D6" s="33" t="s">
        <v>442</v>
      </c>
      <c r="E6" s="33" t="s">
        <v>114</v>
      </c>
      <c r="F6" s="203" t="s">
        <v>124</v>
      </c>
      <c r="G6" s="204" t="s">
        <v>1</v>
      </c>
      <c r="H6" s="205" t="s">
        <v>2</v>
      </c>
      <c r="I6" s="236" t="s">
        <v>581</v>
      </c>
      <c r="J6" s="237" t="s">
        <v>582</v>
      </c>
      <c r="K6" s="234" t="s">
        <v>583</v>
      </c>
      <c r="L6" s="35" t="s">
        <v>115</v>
      </c>
      <c r="M6" s="35" t="s">
        <v>586</v>
      </c>
      <c r="N6" s="35" t="s">
        <v>117</v>
      </c>
      <c r="O6" s="35" t="s">
        <v>3</v>
      </c>
      <c r="P6" s="35" t="s">
        <v>116</v>
      </c>
    </row>
    <row r="7" spans="1:60" s="30" customFormat="1" ht="30" customHeight="1" thickBot="1" x14ac:dyDescent="0.3">
      <c r="A7" s="214" t="s">
        <v>237</v>
      </c>
      <c r="B7" s="215"/>
      <c r="C7" s="215"/>
      <c r="D7" s="215"/>
      <c r="E7" s="215"/>
      <c r="F7" s="215"/>
      <c r="G7" s="217"/>
      <c r="H7" s="217"/>
      <c r="I7" s="217"/>
      <c r="J7" s="217"/>
      <c r="K7" s="215"/>
      <c r="L7" s="215"/>
      <c r="M7" s="215"/>
      <c r="N7" s="215"/>
      <c r="O7" s="215"/>
      <c r="P7" s="216"/>
      <c r="Q7" s="42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5"/>
      <c r="AS7" s="285"/>
      <c r="AT7" s="285"/>
      <c r="AU7" s="285"/>
      <c r="AV7" s="285"/>
      <c r="AW7" s="285"/>
      <c r="AX7" s="285"/>
      <c r="AY7" s="285"/>
      <c r="AZ7" s="285"/>
      <c r="BA7" s="285"/>
      <c r="BB7" s="285"/>
      <c r="BC7" s="285"/>
      <c r="BD7" s="285"/>
      <c r="BE7" s="285"/>
      <c r="BF7" s="285"/>
      <c r="BG7" s="285"/>
      <c r="BH7" s="285"/>
    </row>
    <row r="8" spans="1:60" s="32" customFormat="1" ht="30" customHeight="1" x14ac:dyDescent="0.25">
      <c r="A8" s="122">
        <v>1</v>
      </c>
      <c r="B8" s="112" t="s">
        <v>236</v>
      </c>
      <c r="C8" s="122" t="s">
        <v>420</v>
      </c>
      <c r="D8" s="112" t="s">
        <v>232</v>
      </c>
      <c r="E8" s="126" t="s">
        <v>443</v>
      </c>
      <c r="F8" s="107">
        <v>245000</v>
      </c>
      <c r="G8" s="107">
        <f t="shared" ref="G8:G18" si="0">F8*2.87%</f>
        <v>7031.5</v>
      </c>
      <c r="H8" s="110">
        <f>187020*3.04%</f>
        <v>5685.4080000000004</v>
      </c>
      <c r="I8" s="107"/>
      <c r="J8" s="77">
        <f t="shared" ref="J8:J18" si="1">+G8+H8+I8</f>
        <v>12716.907999999999</v>
      </c>
      <c r="K8" s="77">
        <f t="shared" ref="K8:K18" si="2">+F8-J8</f>
        <v>232283.092</v>
      </c>
      <c r="L8" s="77">
        <f t="shared" ref="L8:L18" si="3">+IF(K8*12&lt;=416220.01,0,IF(K8*12&lt;=624329.01,(((K8*12-416220.01)*0.15)/12),IF((K8*12&lt;=867123.01),(31216+0.2*(K8*12-624329.01))/12,((79776+0.25*(K8*12-867123.01))/12))))</f>
        <v>46653.710291666677</v>
      </c>
      <c r="M8" s="77"/>
      <c r="N8" s="111">
        <v>25</v>
      </c>
      <c r="O8" s="107">
        <f t="shared" ref="O8:O18" si="4">+N8+I8+H8+G8+L8</f>
        <v>59395.618291666673</v>
      </c>
      <c r="P8" s="111">
        <f t="shared" ref="P8:P18" si="5">+F8-O8</f>
        <v>185604.38170833333</v>
      </c>
    </row>
    <row r="9" spans="1:60" s="39" customFormat="1" ht="30" customHeight="1" x14ac:dyDescent="0.25">
      <c r="A9" s="36">
        <v>2</v>
      </c>
      <c r="B9" s="81" t="s">
        <v>233</v>
      </c>
      <c r="C9" s="80" t="s">
        <v>421</v>
      </c>
      <c r="D9" s="81" t="s">
        <v>104</v>
      </c>
      <c r="E9" s="182" t="s">
        <v>122</v>
      </c>
      <c r="F9" s="82">
        <v>140000</v>
      </c>
      <c r="G9" s="110">
        <f t="shared" si="0"/>
        <v>4018</v>
      </c>
      <c r="H9" s="110">
        <f t="shared" ref="H9:H18" si="6">+F9*3.04%</f>
        <v>4256</v>
      </c>
      <c r="I9" s="110"/>
      <c r="J9" s="77">
        <f t="shared" si="1"/>
        <v>8274</v>
      </c>
      <c r="K9" s="77">
        <f t="shared" si="2"/>
        <v>131726</v>
      </c>
      <c r="L9" s="77">
        <f t="shared" si="3"/>
        <v>21514.437291666665</v>
      </c>
      <c r="M9" s="77"/>
      <c r="N9" s="111">
        <v>25</v>
      </c>
      <c r="O9" s="107">
        <f t="shared" si="4"/>
        <v>29813.437291666665</v>
      </c>
      <c r="P9" s="111">
        <f t="shared" si="5"/>
        <v>110186.56270833334</v>
      </c>
    </row>
    <row r="10" spans="1:60" s="39" customFormat="1" ht="30" customHeight="1" x14ac:dyDescent="0.25">
      <c r="A10" s="36">
        <f t="shared" ref="A10:A18" si="7">+A9+1</f>
        <v>3</v>
      </c>
      <c r="B10" s="108" t="s">
        <v>24</v>
      </c>
      <c r="C10" s="36" t="s">
        <v>421</v>
      </c>
      <c r="D10" s="108" t="s">
        <v>88</v>
      </c>
      <c r="E10" s="126" t="s">
        <v>122</v>
      </c>
      <c r="F10" s="110">
        <v>35000</v>
      </c>
      <c r="G10" s="110">
        <f t="shared" si="0"/>
        <v>1004.5</v>
      </c>
      <c r="H10" s="110">
        <f t="shared" si="6"/>
        <v>1064</v>
      </c>
      <c r="I10" s="110"/>
      <c r="J10" s="77">
        <f t="shared" si="1"/>
        <v>2068.5</v>
      </c>
      <c r="K10" s="77">
        <f t="shared" si="2"/>
        <v>32931.5</v>
      </c>
      <c r="L10" s="77">
        <f t="shared" si="3"/>
        <v>0</v>
      </c>
      <c r="M10" s="77"/>
      <c r="N10" s="111">
        <v>1125</v>
      </c>
      <c r="O10" s="107">
        <f t="shared" si="4"/>
        <v>3193.5</v>
      </c>
      <c r="P10" s="111">
        <f t="shared" si="5"/>
        <v>31806.5</v>
      </c>
    </row>
    <row r="11" spans="1:60" s="39" customFormat="1" ht="30" customHeight="1" x14ac:dyDescent="0.25">
      <c r="A11" s="36">
        <f t="shared" si="7"/>
        <v>4</v>
      </c>
      <c r="B11" s="108" t="s">
        <v>234</v>
      </c>
      <c r="C11" s="36" t="s">
        <v>421</v>
      </c>
      <c r="D11" s="108" t="s">
        <v>88</v>
      </c>
      <c r="E11" s="126" t="s">
        <v>122</v>
      </c>
      <c r="F11" s="110">
        <v>35000</v>
      </c>
      <c r="G11" s="110">
        <f t="shared" si="0"/>
        <v>1004.5</v>
      </c>
      <c r="H11" s="110">
        <f t="shared" si="6"/>
        <v>1064</v>
      </c>
      <c r="I11" s="110"/>
      <c r="J11" s="77">
        <f t="shared" si="1"/>
        <v>2068.5</v>
      </c>
      <c r="K11" s="77">
        <f t="shared" si="2"/>
        <v>32931.5</v>
      </c>
      <c r="L11" s="77">
        <f t="shared" si="3"/>
        <v>0</v>
      </c>
      <c r="M11" s="77"/>
      <c r="N11" s="111">
        <v>3416.01</v>
      </c>
      <c r="O11" s="107">
        <f t="shared" si="4"/>
        <v>5484.51</v>
      </c>
      <c r="P11" s="111">
        <f t="shared" si="5"/>
        <v>29515.489999999998</v>
      </c>
    </row>
    <row r="12" spans="1:60" s="39" customFormat="1" ht="30" customHeight="1" x14ac:dyDescent="0.25">
      <c r="A12" s="36">
        <f t="shared" si="7"/>
        <v>5</v>
      </c>
      <c r="B12" s="108" t="s">
        <v>235</v>
      </c>
      <c r="C12" s="36" t="s">
        <v>421</v>
      </c>
      <c r="D12" s="108" t="s">
        <v>88</v>
      </c>
      <c r="E12" s="126" t="s">
        <v>122</v>
      </c>
      <c r="F12" s="110">
        <v>35000</v>
      </c>
      <c r="G12" s="110">
        <f t="shared" si="0"/>
        <v>1004.5</v>
      </c>
      <c r="H12" s="110">
        <f t="shared" si="6"/>
        <v>1064</v>
      </c>
      <c r="I12" s="110"/>
      <c r="J12" s="77">
        <f t="shared" si="1"/>
        <v>2068.5</v>
      </c>
      <c r="K12" s="77">
        <f t="shared" si="2"/>
        <v>32931.5</v>
      </c>
      <c r="L12" s="77">
        <f t="shared" si="3"/>
        <v>0</v>
      </c>
      <c r="M12" s="77"/>
      <c r="N12" s="111">
        <v>10548.88</v>
      </c>
      <c r="O12" s="107">
        <f t="shared" si="4"/>
        <v>12617.38</v>
      </c>
      <c r="P12" s="111">
        <f t="shared" si="5"/>
        <v>22382.620000000003</v>
      </c>
    </row>
    <row r="13" spans="1:60" s="39" customFormat="1" ht="30" customHeight="1" x14ac:dyDescent="0.25">
      <c r="A13" s="36">
        <f t="shared" si="7"/>
        <v>6</v>
      </c>
      <c r="B13" s="112" t="s">
        <v>562</v>
      </c>
      <c r="C13" s="122" t="s">
        <v>421</v>
      </c>
      <c r="D13" s="123" t="s">
        <v>104</v>
      </c>
      <c r="E13" s="108" t="s">
        <v>121</v>
      </c>
      <c r="F13" s="107">
        <v>80000</v>
      </c>
      <c r="G13" s="107">
        <f t="shared" si="0"/>
        <v>2296</v>
      </c>
      <c r="H13" s="107">
        <f t="shared" si="6"/>
        <v>2432</v>
      </c>
      <c r="I13" s="107"/>
      <c r="J13" s="77">
        <f t="shared" si="1"/>
        <v>4728</v>
      </c>
      <c r="K13" s="77">
        <f t="shared" si="2"/>
        <v>75272</v>
      </c>
      <c r="L13" s="77">
        <f t="shared" si="3"/>
        <v>7400.9372916666662</v>
      </c>
      <c r="M13" s="77"/>
      <c r="N13" s="243">
        <v>25</v>
      </c>
      <c r="O13" s="107">
        <f t="shared" si="4"/>
        <v>12153.937291666665</v>
      </c>
      <c r="P13" s="111">
        <f t="shared" si="5"/>
        <v>67846.062708333338</v>
      </c>
    </row>
    <row r="14" spans="1:60" s="53" customFormat="1" ht="30" customHeight="1" x14ac:dyDescent="0.25">
      <c r="A14" s="36">
        <f t="shared" si="7"/>
        <v>7</v>
      </c>
      <c r="B14" s="112" t="s">
        <v>41</v>
      </c>
      <c r="C14" s="122" t="s">
        <v>421</v>
      </c>
      <c r="D14" s="147" t="s">
        <v>509</v>
      </c>
      <c r="E14" s="112" t="s">
        <v>121</v>
      </c>
      <c r="F14" s="107">
        <v>135000</v>
      </c>
      <c r="G14" s="77">
        <f t="shared" si="0"/>
        <v>3874.5</v>
      </c>
      <c r="H14" s="77">
        <f t="shared" si="6"/>
        <v>4104</v>
      </c>
      <c r="I14" s="77"/>
      <c r="J14" s="77">
        <f t="shared" si="1"/>
        <v>7978.5</v>
      </c>
      <c r="K14" s="77">
        <f t="shared" si="2"/>
        <v>127021.5</v>
      </c>
      <c r="L14" s="77">
        <f t="shared" si="3"/>
        <v>20338.312291666665</v>
      </c>
      <c r="M14" s="77"/>
      <c r="N14" s="243">
        <v>125</v>
      </c>
      <c r="O14" s="107">
        <f t="shared" si="4"/>
        <v>28441.812291666665</v>
      </c>
      <c r="P14" s="84">
        <f t="shared" si="5"/>
        <v>106558.18770833334</v>
      </c>
      <c r="Q14" s="39"/>
    </row>
    <row r="15" spans="1:60" s="53" customFormat="1" ht="30" customHeight="1" x14ac:dyDescent="0.25">
      <c r="A15" s="36">
        <f t="shared" si="7"/>
        <v>8</v>
      </c>
      <c r="B15" s="112" t="s">
        <v>587</v>
      </c>
      <c r="C15" s="122" t="s">
        <v>421</v>
      </c>
      <c r="D15" s="147" t="s">
        <v>88</v>
      </c>
      <c r="E15" s="112" t="s">
        <v>121</v>
      </c>
      <c r="F15" s="107">
        <v>35000</v>
      </c>
      <c r="G15" s="77">
        <f t="shared" si="0"/>
        <v>1004.5</v>
      </c>
      <c r="H15" s="77">
        <f t="shared" si="6"/>
        <v>1064</v>
      </c>
      <c r="I15" s="77"/>
      <c r="J15" s="77">
        <f t="shared" si="1"/>
        <v>2068.5</v>
      </c>
      <c r="K15" s="77">
        <f t="shared" si="2"/>
        <v>32931.5</v>
      </c>
      <c r="L15" s="77">
        <f t="shared" si="3"/>
        <v>0</v>
      </c>
      <c r="M15" s="77"/>
      <c r="N15" s="243">
        <v>2025</v>
      </c>
      <c r="O15" s="107">
        <f t="shared" si="4"/>
        <v>4093.5</v>
      </c>
      <c r="P15" s="84">
        <f t="shared" si="5"/>
        <v>30906.5</v>
      </c>
      <c r="Q15" s="39"/>
    </row>
    <row r="16" spans="1:60" s="53" customFormat="1" ht="30" customHeight="1" x14ac:dyDescent="0.25">
      <c r="A16" s="36">
        <f t="shared" si="7"/>
        <v>9</v>
      </c>
      <c r="B16" s="112" t="s">
        <v>677</v>
      </c>
      <c r="C16" s="122" t="s">
        <v>421</v>
      </c>
      <c r="D16" s="147" t="s">
        <v>88</v>
      </c>
      <c r="E16" s="112" t="s">
        <v>121</v>
      </c>
      <c r="F16" s="107">
        <v>35000</v>
      </c>
      <c r="G16" s="77">
        <f t="shared" si="0"/>
        <v>1004.5</v>
      </c>
      <c r="H16" s="77">
        <f t="shared" si="6"/>
        <v>1064</v>
      </c>
      <c r="I16" s="77"/>
      <c r="J16" s="77">
        <f t="shared" si="1"/>
        <v>2068.5</v>
      </c>
      <c r="K16" s="77">
        <f t="shared" si="2"/>
        <v>32931.5</v>
      </c>
      <c r="L16" s="77">
        <f t="shared" si="3"/>
        <v>0</v>
      </c>
      <c r="M16" s="77"/>
      <c r="N16" s="243">
        <v>25</v>
      </c>
      <c r="O16" s="107">
        <f t="shared" si="4"/>
        <v>2093.5</v>
      </c>
      <c r="P16" s="84">
        <f t="shared" si="5"/>
        <v>32906.5</v>
      </c>
      <c r="Q16" s="39"/>
    </row>
    <row r="17" spans="1:60" s="53" customFormat="1" ht="30" customHeight="1" x14ac:dyDescent="0.25">
      <c r="A17" s="36">
        <f t="shared" si="7"/>
        <v>10</v>
      </c>
      <c r="B17" s="112" t="s">
        <v>633</v>
      </c>
      <c r="C17" s="122" t="s">
        <v>421</v>
      </c>
      <c r="D17" s="147" t="s">
        <v>88</v>
      </c>
      <c r="E17" s="112" t="s">
        <v>121</v>
      </c>
      <c r="F17" s="107">
        <v>40000</v>
      </c>
      <c r="G17" s="77">
        <f t="shared" si="0"/>
        <v>1148</v>
      </c>
      <c r="H17" s="77">
        <f t="shared" si="6"/>
        <v>1216</v>
      </c>
      <c r="I17" s="77"/>
      <c r="J17" s="77">
        <f t="shared" si="1"/>
        <v>2364</v>
      </c>
      <c r="K17" s="77">
        <f t="shared" si="2"/>
        <v>37636</v>
      </c>
      <c r="L17" s="77">
        <f t="shared" si="3"/>
        <v>442.64987499999984</v>
      </c>
      <c r="M17" s="77"/>
      <c r="N17" s="243">
        <v>25</v>
      </c>
      <c r="O17" s="107">
        <f t="shared" si="4"/>
        <v>2831.6498750000001</v>
      </c>
      <c r="P17" s="84">
        <f t="shared" si="5"/>
        <v>37168.350124999997</v>
      </c>
      <c r="Q17" s="39"/>
    </row>
    <row r="18" spans="1:60" s="53" customFormat="1" ht="30" customHeight="1" x14ac:dyDescent="0.25">
      <c r="A18" s="36">
        <f t="shared" si="7"/>
        <v>11</v>
      </c>
      <c r="B18" s="112" t="s">
        <v>76</v>
      </c>
      <c r="C18" s="122" t="s">
        <v>421</v>
      </c>
      <c r="D18" s="147" t="s">
        <v>365</v>
      </c>
      <c r="E18" s="112" t="s">
        <v>121</v>
      </c>
      <c r="F18" s="107">
        <v>90000</v>
      </c>
      <c r="G18" s="77">
        <f t="shared" si="0"/>
        <v>2583</v>
      </c>
      <c r="H18" s="77">
        <f t="shared" si="6"/>
        <v>2736</v>
      </c>
      <c r="I18" s="77"/>
      <c r="J18" s="77">
        <f t="shared" si="1"/>
        <v>5319</v>
      </c>
      <c r="K18" s="77">
        <f t="shared" si="2"/>
        <v>84681</v>
      </c>
      <c r="L18" s="77">
        <f t="shared" si="3"/>
        <v>9753.1872916666671</v>
      </c>
      <c r="M18" s="77"/>
      <c r="N18" s="243">
        <v>25</v>
      </c>
      <c r="O18" s="107">
        <f t="shared" si="4"/>
        <v>15097.187291666667</v>
      </c>
      <c r="P18" s="84">
        <f t="shared" si="5"/>
        <v>74902.812708333338</v>
      </c>
      <c r="Q18" s="39"/>
    </row>
    <row r="19" spans="1:60" s="40" customFormat="1" ht="30" customHeight="1" x14ac:dyDescent="0.25">
      <c r="A19" s="206" t="s">
        <v>125</v>
      </c>
      <c r="B19" s="207"/>
      <c r="C19" s="207"/>
      <c r="D19" s="207"/>
      <c r="E19" s="207"/>
      <c r="F19" s="37">
        <f>SUM(F8:F18)</f>
        <v>905000</v>
      </c>
      <c r="G19" s="37">
        <f t="shared" ref="G19:P19" si="8">SUM(G8:G18)</f>
        <v>25973.5</v>
      </c>
      <c r="H19" s="37">
        <f t="shared" si="8"/>
        <v>25749.407999999999</v>
      </c>
      <c r="I19" s="37">
        <f t="shared" si="8"/>
        <v>0</v>
      </c>
      <c r="J19" s="37">
        <f t="shared" si="8"/>
        <v>51722.907999999996</v>
      </c>
      <c r="K19" s="37">
        <f t="shared" si="8"/>
        <v>853277.09199999995</v>
      </c>
      <c r="L19" s="37">
        <f t="shared" si="8"/>
        <v>106103.23433333333</v>
      </c>
      <c r="M19" s="37">
        <f t="shared" si="8"/>
        <v>0</v>
      </c>
      <c r="N19" s="37">
        <f t="shared" si="8"/>
        <v>17389.89</v>
      </c>
      <c r="O19" s="37">
        <f t="shared" si="8"/>
        <v>175216.03233333334</v>
      </c>
      <c r="P19" s="37">
        <f t="shared" si="8"/>
        <v>729783.96766666672</v>
      </c>
    </row>
    <row r="20" spans="1:60" s="31" customFormat="1" ht="22.5" customHeight="1" thickBot="1" x14ac:dyDescent="0.3">
      <c r="A20" s="41"/>
      <c r="B20" s="42"/>
      <c r="C20" s="44"/>
      <c r="D20" s="43"/>
      <c r="E20" s="43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2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</row>
    <row r="21" spans="1:60" s="70" customFormat="1" ht="28.5" customHeight="1" thickBot="1" x14ac:dyDescent="0.3">
      <c r="A21" s="209" t="s">
        <v>152</v>
      </c>
      <c r="B21" s="210"/>
      <c r="C21" s="210"/>
      <c r="D21" s="210"/>
      <c r="E21" s="210"/>
      <c r="F21" s="210"/>
      <c r="G21" s="210"/>
      <c r="H21" s="210"/>
      <c r="I21" s="210"/>
      <c r="J21" s="210"/>
      <c r="K21" s="210"/>
      <c r="L21" s="210"/>
      <c r="M21" s="210"/>
      <c r="N21" s="210"/>
      <c r="O21" s="210"/>
      <c r="P21" s="211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</row>
    <row r="22" spans="1:60" s="39" customFormat="1" ht="30" customHeight="1" x14ac:dyDescent="0.25">
      <c r="A22" s="122">
        <f>+A18+1</f>
        <v>12</v>
      </c>
      <c r="B22" s="112" t="s">
        <v>182</v>
      </c>
      <c r="C22" s="122" t="s">
        <v>421</v>
      </c>
      <c r="D22" s="123" t="s">
        <v>106</v>
      </c>
      <c r="E22" s="108" t="s">
        <v>122</v>
      </c>
      <c r="F22" s="107">
        <v>200000</v>
      </c>
      <c r="G22" s="107">
        <f>F22*2.87%</f>
        <v>5740</v>
      </c>
      <c r="H22" s="107">
        <f>187020*3.04%</f>
        <v>5685.4080000000004</v>
      </c>
      <c r="I22" s="107">
        <v>1597.31</v>
      </c>
      <c r="J22" s="77">
        <f>+G22+H22+I22</f>
        <v>13022.717999999999</v>
      </c>
      <c r="K22" s="77">
        <f>+F22-J22</f>
        <v>186977.28200000001</v>
      </c>
      <c r="L22" s="77">
        <f>+IF(K22*12&lt;=416220.01,0,IF(K22*12&lt;=624329.01,(((K22*12-416220.01)*0.15)/12),IF((K22*12&lt;=867123.01),(31216+0.2*(K22*12-624329.01))/12,((79776+0.25*(K22*12-867123.01))/12))))</f>
        <v>35327.257791666671</v>
      </c>
      <c r="M22" s="77"/>
      <c r="N22" s="243">
        <v>25</v>
      </c>
      <c r="O22" s="107">
        <f>+N22+I22+H22+G22+L22</f>
        <v>48374.975791666671</v>
      </c>
      <c r="P22" s="111">
        <f>+F22-O22</f>
        <v>151625.02420833334</v>
      </c>
    </row>
    <row r="23" spans="1:60" s="39" customFormat="1" ht="30" customHeight="1" x14ac:dyDescent="0.25">
      <c r="A23" s="122">
        <f>+A22+1</f>
        <v>13</v>
      </c>
      <c r="B23" s="112" t="s">
        <v>526</v>
      </c>
      <c r="C23" s="122" t="s">
        <v>421</v>
      </c>
      <c r="D23" s="123" t="s">
        <v>123</v>
      </c>
      <c r="E23" s="108" t="s">
        <v>122</v>
      </c>
      <c r="F23" s="107">
        <v>90000</v>
      </c>
      <c r="G23" s="107">
        <f>F23*2.87%</f>
        <v>2583</v>
      </c>
      <c r="H23" s="107">
        <f>F23*3.04%</f>
        <v>2736</v>
      </c>
      <c r="I23" s="107"/>
      <c r="J23" s="77">
        <f>+G23+H23+I23</f>
        <v>5319</v>
      </c>
      <c r="K23" s="77">
        <f>+F23-J23</f>
        <v>84681</v>
      </c>
      <c r="L23" s="77">
        <f>+IF(K23*12&lt;=416220.01,0,IF(K23*12&lt;=624329.01,(((K23*12-416220.01)*0.15)/12),IF((K23*12&lt;=867123.01),(31216+0.2*(K23*12-624329.01))/12,((79776+0.25*(K23*12-867123.01))/12))))</f>
        <v>9753.1872916666671</v>
      </c>
      <c r="M23" s="77"/>
      <c r="N23" s="243">
        <v>25</v>
      </c>
      <c r="O23" s="107">
        <f>+N23+I23+H23+G23+L23</f>
        <v>15097.187291666667</v>
      </c>
      <c r="P23" s="111">
        <f>+F23-O23</f>
        <v>74902.812708333338</v>
      </c>
    </row>
    <row r="24" spans="1:60" s="40" customFormat="1" ht="30" customHeight="1" x14ac:dyDescent="0.25">
      <c r="A24" s="206" t="s">
        <v>125</v>
      </c>
      <c r="B24" s="207"/>
      <c r="C24" s="207"/>
      <c r="D24" s="207"/>
      <c r="E24" s="207"/>
      <c r="F24" s="37">
        <f>SUM(F22:F23)</f>
        <v>290000</v>
      </c>
      <c r="G24" s="37">
        <f t="shared" ref="G24:P24" si="9">SUM(G22:G23)</f>
        <v>8323</v>
      </c>
      <c r="H24" s="37">
        <f t="shared" si="9"/>
        <v>8421.4079999999994</v>
      </c>
      <c r="I24" s="37">
        <f t="shared" si="9"/>
        <v>1597.31</v>
      </c>
      <c r="J24" s="37">
        <f t="shared" si="9"/>
        <v>18341.718000000001</v>
      </c>
      <c r="K24" s="37">
        <f t="shared" si="9"/>
        <v>271658.28200000001</v>
      </c>
      <c r="L24" s="37">
        <f t="shared" si="9"/>
        <v>45080.445083333339</v>
      </c>
      <c r="M24" s="37">
        <f t="shared" si="9"/>
        <v>0</v>
      </c>
      <c r="N24" s="37">
        <f t="shared" si="9"/>
        <v>50</v>
      </c>
      <c r="O24" s="37">
        <f t="shared" si="9"/>
        <v>63472.16308333334</v>
      </c>
      <c r="P24" s="37">
        <f t="shared" si="9"/>
        <v>226527.83691666668</v>
      </c>
    </row>
    <row r="25" spans="1:60" s="31" customFormat="1" ht="15" customHeight="1" thickBot="1" x14ac:dyDescent="0.3">
      <c r="A25" s="41"/>
      <c r="B25" s="42"/>
      <c r="C25" s="44"/>
      <c r="D25" s="43"/>
      <c r="E25" s="43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2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</row>
    <row r="26" spans="1:60" s="30" customFormat="1" ht="30" customHeight="1" thickBot="1" x14ac:dyDescent="0.3">
      <c r="A26" s="209" t="s">
        <v>178</v>
      </c>
      <c r="B26" s="210"/>
      <c r="C26" s="210"/>
      <c r="D26" s="210"/>
      <c r="E26" s="210"/>
      <c r="F26" s="210"/>
      <c r="G26" s="210"/>
      <c r="H26" s="210"/>
      <c r="I26" s="210"/>
      <c r="J26" s="210"/>
      <c r="K26" s="210"/>
      <c r="L26" s="210"/>
      <c r="M26" s="210"/>
      <c r="N26" s="210"/>
      <c r="O26" s="210"/>
      <c r="P26" s="210"/>
      <c r="Q26" s="42"/>
      <c r="R26" s="285"/>
      <c r="S26" s="285"/>
      <c r="T26" s="285"/>
      <c r="U26" s="285"/>
      <c r="V26" s="285"/>
      <c r="W26" s="285"/>
      <c r="X26" s="285"/>
      <c r="Y26" s="285"/>
      <c r="Z26" s="285"/>
      <c r="AA26" s="285"/>
      <c r="AB26" s="285"/>
      <c r="AC26" s="285"/>
      <c r="AD26" s="285"/>
      <c r="AE26" s="285"/>
      <c r="AF26" s="285"/>
      <c r="AG26" s="285"/>
      <c r="AH26" s="285"/>
      <c r="AI26" s="285"/>
      <c r="AJ26" s="285"/>
      <c r="AK26" s="285"/>
      <c r="AL26" s="285"/>
      <c r="AM26" s="285"/>
      <c r="AN26" s="285"/>
      <c r="AO26" s="285"/>
      <c r="AP26" s="285"/>
      <c r="AQ26" s="285"/>
      <c r="AR26" s="285"/>
      <c r="AS26" s="285"/>
      <c r="AT26" s="285"/>
      <c r="AU26" s="285"/>
      <c r="AV26" s="285"/>
      <c r="AW26" s="285"/>
      <c r="AX26" s="285"/>
      <c r="AY26" s="285"/>
      <c r="AZ26" s="285"/>
      <c r="BA26" s="285"/>
      <c r="BB26" s="285"/>
      <c r="BC26" s="285"/>
      <c r="BD26" s="285"/>
      <c r="BE26" s="285"/>
      <c r="BF26" s="285"/>
      <c r="BG26" s="285"/>
      <c r="BH26" s="285"/>
    </row>
    <row r="27" spans="1:60" s="40" customFormat="1" ht="30" customHeight="1" x14ac:dyDescent="0.25">
      <c r="A27" s="36">
        <f>+A23+1</f>
        <v>14</v>
      </c>
      <c r="B27" s="108" t="s">
        <v>138</v>
      </c>
      <c r="C27" s="36" t="s">
        <v>421</v>
      </c>
      <c r="D27" s="109" t="s">
        <v>462</v>
      </c>
      <c r="E27" s="108" t="s">
        <v>121</v>
      </c>
      <c r="F27" s="110">
        <v>170500</v>
      </c>
      <c r="G27" s="110">
        <f>F27*2.87%</f>
        <v>4893.3500000000004</v>
      </c>
      <c r="H27" s="107">
        <f>+F27*3.04%</f>
        <v>5183.2</v>
      </c>
      <c r="I27" s="107"/>
      <c r="J27" s="77">
        <f>+G27+H27+I27</f>
        <v>10076.549999999999</v>
      </c>
      <c r="K27" s="77">
        <f>+F27-J27</f>
        <v>160423.45000000001</v>
      </c>
      <c r="L27" s="77">
        <f>+IF(K27*12&lt;=416220.01,0,IF(K27*12&lt;=624329.01,(((K27*12-416220.01)*0.15)/12),IF((K27*12&lt;=867123.01),(31216+0.2*(K27*12-624329.01))/12,((79776+0.25*(K27*12-867123.01))/12))))</f>
        <v>28688.799791666668</v>
      </c>
      <c r="M27" s="77"/>
      <c r="N27" s="84">
        <v>9778.73</v>
      </c>
      <c r="O27" s="107">
        <f>+N27+I27+H27+G27+L27</f>
        <v>48544.079791666663</v>
      </c>
      <c r="P27" s="111">
        <f>+F27-O27</f>
        <v>121955.92020833334</v>
      </c>
    </row>
    <row r="28" spans="1:60" s="40" customFormat="1" ht="22.5" customHeight="1" x14ac:dyDescent="0.25">
      <c r="A28" s="206" t="s">
        <v>125</v>
      </c>
      <c r="B28" s="207"/>
      <c r="C28" s="207"/>
      <c r="D28" s="207"/>
      <c r="E28" s="207"/>
      <c r="F28" s="37">
        <f>SUM(F27)</f>
        <v>170500</v>
      </c>
      <c r="G28" s="37">
        <f t="shared" ref="G28:P28" si="10">SUM(G27)</f>
        <v>4893.3500000000004</v>
      </c>
      <c r="H28" s="37">
        <f t="shared" si="10"/>
        <v>5183.2</v>
      </c>
      <c r="I28" s="37">
        <f t="shared" si="10"/>
        <v>0</v>
      </c>
      <c r="J28" s="37">
        <f t="shared" si="10"/>
        <v>10076.549999999999</v>
      </c>
      <c r="K28" s="37">
        <f t="shared" si="10"/>
        <v>160423.45000000001</v>
      </c>
      <c r="L28" s="37">
        <f t="shared" si="10"/>
        <v>28688.799791666668</v>
      </c>
      <c r="M28" s="37">
        <f t="shared" si="10"/>
        <v>0</v>
      </c>
      <c r="N28" s="37">
        <f t="shared" si="10"/>
        <v>9778.73</v>
      </c>
      <c r="O28" s="37">
        <f t="shared" si="10"/>
        <v>48544.079791666663</v>
      </c>
      <c r="P28" s="37">
        <f t="shared" si="10"/>
        <v>121955.92020833334</v>
      </c>
    </row>
    <row r="29" spans="1:60" s="31" customFormat="1" ht="18" customHeight="1" thickBot="1" x14ac:dyDescent="0.3">
      <c r="A29" s="41"/>
      <c r="B29" s="42"/>
      <c r="C29" s="44"/>
      <c r="D29" s="43"/>
      <c r="E29" s="43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2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</row>
    <row r="30" spans="1:60" s="70" customFormat="1" ht="30" customHeight="1" thickBot="1" x14ac:dyDescent="0.3">
      <c r="A30" s="209" t="s">
        <v>153</v>
      </c>
      <c r="B30" s="210"/>
      <c r="C30" s="210"/>
      <c r="D30" s="210"/>
      <c r="E30" s="210"/>
      <c r="F30" s="210"/>
      <c r="G30" s="210"/>
      <c r="H30" s="210"/>
      <c r="I30" s="210"/>
      <c r="J30" s="210"/>
      <c r="K30" s="210"/>
      <c r="L30" s="210"/>
      <c r="M30" s="210"/>
      <c r="N30" s="210"/>
      <c r="O30" s="210"/>
      <c r="P30" s="210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</row>
    <row r="31" spans="1:60" s="39" customFormat="1" ht="46.5" customHeight="1" x14ac:dyDescent="0.25">
      <c r="A31" s="80">
        <f>+A27+1</f>
        <v>15</v>
      </c>
      <c r="B31" s="108" t="s">
        <v>250</v>
      </c>
      <c r="C31" s="36" t="s">
        <v>421</v>
      </c>
      <c r="D31" s="109" t="s">
        <v>51</v>
      </c>
      <c r="E31" s="108" t="s">
        <v>122</v>
      </c>
      <c r="F31" s="110">
        <v>104000</v>
      </c>
      <c r="G31" s="82">
        <f>F31*2.87%</f>
        <v>2984.8</v>
      </c>
      <c r="H31" s="82">
        <f>+F31*3.04%</f>
        <v>3161.6</v>
      </c>
      <c r="I31" s="82">
        <v>3194.62</v>
      </c>
      <c r="J31" s="77">
        <f>+G31+H31+I31</f>
        <v>9341.02</v>
      </c>
      <c r="K31" s="77">
        <f>+F31-J31</f>
        <v>94658.98</v>
      </c>
      <c r="L31" s="77">
        <f>+IF(K31*12&lt;=416220.01,0,IF(K31*12&lt;=624329.01,(((K31*12-416220.01)*0.15)/12),IF((K31*12&lt;=867123.01),(31216+0.2*(K31*12-624329.01))/12,((79776+0.25*(K31*12-867123.01))/12))))</f>
        <v>12247.682291666666</v>
      </c>
      <c r="M31" s="77"/>
      <c r="N31" s="84">
        <v>11520.17</v>
      </c>
      <c r="O31" s="107">
        <f>+N31+I31+H31+G31+L31</f>
        <v>33108.872291666667</v>
      </c>
      <c r="P31" s="78">
        <f>+F31-O31</f>
        <v>70891.127708333341</v>
      </c>
    </row>
    <row r="32" spans="1:60" s="124" customFormat="1" ht="30" customHeight="1" x14ac:dyDescent="0.25">
      <c r="A32" s="122">
        <f>+A31+1</f>
        <v>16</v>
      </c>
      <c r="B32" s="108" t="s">
        <v>67</v>
      </c>
      <c r="C32" s="122" t="s">
        <v>421</v>
      </c>
      <c r="D32" s="108" t="s">
        <v>51</v>
      </c>
      <c r="E32" s="108" t="s">
        <v>121</v>
      </c>
      <c r="F32" s="110">
        <v>90000</v>
      </c>
      <c r="G32" s="110">
        <f>F32*2.87%</f>
        <v>2583</v>
      </c>
      <c r="H32" s="110">
        <f>+F32*3.04%</f>
        <v>2736</v>
      </c>
      <c r="I32" s="110"/>
      <c r="J32" s="77">
        <f>+G32+H32+I32</f>
        <v>5319</v>
      </c>
      <c r="K32" s="77">
        <f>+F32-J32</f>
        <v>84681</v>
      </c>
      <c r="L32" s="77">
        <f>+IF(K32*12&lt;=416220.01,0,IF(K32*12&lt;=624329.01,(((K32*12-416220.01)*0.15)/12),IF((K32*12&lt;=867123.01),(31216+0.2*(K32*12-624329.01))/12,((79776+0.25*(K32*12-867123.01))/12))))</f>
        <v>9753.1872916666671</v>
      </c>
      <c r="M32" s="77"/>
      <c r="N32" s="84">
        <v>165</v>
      </c>
      <c r="O32" s="107">
        <f>+N32+I32+H32+G32+L32</f>
        <v>15237.187291666667</v>
      </c>
      <c r="P32" s="111">
        <f>+F32-O32</f>
        <v>74762.812708333338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</row>
    <row r="33" spans="1:60" s="39" customFormat="1" ht="27" customHeight="1" x14ac:dyDescent="0.25">
      <c r="A33" s="206" t="s">
        <v>125</v>
      </c>
      <c r="B33" s="207"/>
      <c r="C33" s="207"/>
      <c r="D33" s="207"/>
      <c r="E33" s="208"/>
      <c r="F33" s="37">
        <f>SUM(F31:F32)</f>
        <v>194000</v>
      </c>
      <c r="G33" s="37">
        <f t="shared" ref="G33:P33" si="11">SUM(G31:G32)</f>
        <v>5567.8</v>
      </c>
      <c r="H33" s="37">
        <f t="shared" si="11"/>
        <v>5897.6</v>
      </c>
      <c r="I33" s="37">
        <f t="shared" si="11"/>
        <v>3194.62</v>
      </c>
      <c r="J33" s="37">
        <f t="shared" si="11"/>
        <v>14660.02</v>
      </c>
      <c r="K33" s="37">
        <f t="shared" si="11"/>
        <v>179339.97999999998</v>
      </c>
      <c r="L33" s="37">
        <f t="shared" si="11"/>
        <v>22000.869583333333</v>
      </c>
      <c r="M33" s="37">
        <f t="shared" si="11"/>
        <v>0</v>
      </c>
      <c r="N33" s="37">
        <f t="shared" si="11"/>
        <v>11685.17</v>
      </c>
      <c r="O33" s="37">
        <f t="shared" si="11"/>
        <v>48346.059583333335</v>
      </c>
      <c r="P33" s="37">
        <f t="shared" si="11"/>
        <v>145653.94041666668</v>
      </c>
    </row>
    <row r="34" spans="1:60" s="39" customFormat="1" ht="13.5" customHeight="1" thickBot="1" x14ac:dyDescent="0.3">
      <c r="A34" s="50"/>
      <c r="B34" s="50"/>
      <c r="C34" s="50"/>
      <c r="D34" s="50"/>
      <c r="E34" s="50"/>
      <c r="F34" s="40"/>
      <c r="G34" s="40"/>
      <c r="H34" s="40"/>
      <c r="I34" s="40"/>
      <c r="J34" s="77">
        <f>+G34+H34+I34</f>
        <v>0</v>
      </c>
      <c r="K34" s="77">
        <f>+F34-J34</f>
        <v>0</v>
      </c>
      <c r="L34" s="77">
        <f>+IF(K34*12&lt;=416220.01,0,IF(K34*12&lt;=624329.01,(((K34*12-416220.01)*0.15)/12),IF((K34*12&lt;=867123.01),(31216+0.2*(K34*12-624329.01))/12,((79776+0.25*(K34*12-867123.01))/12))))</f>
        <v>0</v>
      </c>
      <c r="M34" s="53"/>
      <c r="N34" s="40"/>
      <c r="O34" s="107">
        <f>+N34+I34+H34+G34+L34</f>
        <v>0</v>
      </c>
      <c r="P34" s="40"/>
    </row>
    <row r="35" spans="1:60" s="32" customFormat="1" ht="30" customHeight="1" thickBot="1" x14ac:dyDescent="0.3">
      <c r="A35" s="209" t="s">
        <v>154</v>
      </c>
      <c r="B35" s="210"/>
      <c r="C35" s="210"/>
      <c r="D35" s="210"/>
      <c r="E35" s="210"/>
      <c r="F35" s="210"/>
      <c r="G35" s="210"/>
      <c r="H35" s="210"/>
      <c r="I35" s="210"/>
      <c r="J35" s="210"/>
      <c r="K35" s="210"/>
      <c r="L35" s="210"/>
      <c r="M35" s="210"/>
      <c r="N35" s="210"/>
      <c r="O35" s="210"/>
      <c r="P35" s="210"/>
    </row>
    <row r="36" spans="1:60" s="39" customFormat="1" ht="32.25" customHeight="1" x14ac:dyDescent="0.25">
      <c r="A36" s="122">
        <f>+A32+1</f>
        <v>17</v>
      </c>
      <c r="B36" s="112" t="s">
        <v>238</v>
      </c>
      <c r="C36" s="122" t="s">
        <v>421</v>
      </c>
      <c r="D36" s="147" t="s">
        <v>179</v>
      </c>
      <c r="E36" s="108" t="s">
        <v>122</v>
      </c>
      <c r="F36" s="107">
        <v>155000</v>
      </c>
      <c r="G36" s="110">
        <f>F36*2.87%</f>
        <v>4448.5</v>
      </c>
      <c r="H36" s="110">
        <f>F36*3.04%</f>
        <v>4712</v>
      </c>
      <c r="I36" s="107"/>
      <c r="J36" s="77">
        <f>+G36+H36+I36</f>
        <v>9160.5</v>
      </c>
      <c r="K36" s="77">
        <f>+F36-J36</f>
        <v>145839.5</v>
      </c>
      <c r="L36" s="77">
        <f>+IF(K36*12&lt;=416220.01,0,IF(K36*12&lt;=624329.01,(((K36*12-416220.01)*0.15)/12),IF((K36*12&lt;=867123.01),(31216+0.2*(K36*12-624329.01))/12,((79776+0.25*(K36*12-867123.01))/12))))</f>
        <v>25042.812291666665</v>
      </c>
      <c r="M36" s="77"/>
      <c r="N36" s="84">
        <v>6767.59</v>
      </c>
      <c r="O36" s="107">
        <f>+N36+I36+H36+G36+L36</f>
        <v>40970.902291666665</v>
      </c>
      <c r="P36" s="111">
        <f>+F36-O36</f>
        <v>114029.09770833334</v>
      </c>
    </row>
    <row r="37" spans="1:60" s="124" customFormat="1" ht="30" customHeight="1" x14ac:dyDescent="0.25">
      <c r="A37" s="122">
        <f>+A36+1</f>
        <v>18</v>
      </c>
      <c r="B37" s="108" t="s">
        <v>53</v>
      </c>
      <c r="C37" s="122" t="s">
        <v>421</v>
      </c>
      <c r="D37" s="108" t="s">
        <v>51</v>
      </c>
      <c r="E37" s="108" t="s">
        <v>122</v>
      </c>
      <c r="F37" s="110">
        <v>100000</v>
      </c>
      <c r="G37" s="110">
        <f>F37*2.87%</f>
        <v>2870</v>
      </c>
      <c r="H37" s="110">
        <f>+F37*3.04%</f>
        <v>3040</v>
      </c>
      <c r="I37" s="110"/>
      <c r="J37" s="77">
        <f>+G37+H37+I37</f>
        <v>5910</v>
      </c>
      <c r="K37" s="77">
        <f>+F37-J37</f>
        <v>94090</v>
      </c>
      <c r="L37" s="77">
        <f>+IF(K37*12&lt;=416220.01,0,IF(K37*12&lt;=624329.01,(((K37*12-416220.01)*0.15)/12),IF((K37*12&lt;=867123.01),(31216+0.2*(K37*12-624329.01))/12,((79776+0.25*(K37*12-867123.01))/12))))</f>
        <v>12105.437291666667</v>
      </c>
      <c r="M37" s="77"/>
      <c r="N37" s="84">
        <v>65</v>
      </c>
      <c r="O37" s="107">
        <f>+N37+I37+H37+G37+L37</f>
        <v>18080.437291666669</v>
      </c>
      <c r="P37" s="111">
        <f>+F37-O37</f>
        <v>81919.562708333338</v>
      </c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</row>
    <row r="38" spans="1:60" s="47" customFormat="1" ht="30" customHeight="1" x14ac:dyDescent="0.25">
      <c r="A38" s="122">
        <f>+A37+1</f>
        <v>19</v>
      </c>
      <c r="B38" s="108" t="s">
        <v>239</v>
      </c>
      <c r="C38" s="122" t="s">
        <v>421</v>
      </c>
      <c r="D38" s="109" t="s">
        <v>51</v>
      </c>
      <c r="E38" s="108" t="s">
        <v>121</v>
      </c>
      <c r="F38" s="110">
        <v>80000</v>
      </c>
      <c r="G38" s="110">
        <f>F38*2.87%</f>
        <v>2296</v>
      </c>
      <c r="H38" s="110">
        <f>+F38*3.04%</f>
        <v>2432</v>
      </c>
      <c r="I38" s="110"/>
      <c r="J38" s="77">
        <f>+G38+H38+I38</f>
        <v>4728</v>
      </c>
      <c r="K38" s="77">
        <f>+F38-J38</f>
        <v>75272</v>
      </c>
      <c r="L38" s="77">
        <f>+IF(K38*12&lt;=416220.01,0,IF(K38*12&lt;=624329.01,(((K38*12-416220.01)*0.15)/12),IF((K38*12&lt;=867123.01),(31216+0.2*(K38*12-624329.01))/12,((79776+0.25*(K38*12-867123.01))/12))))</f>
        <v>7400.9372916666662</v>
      </c>
      <c r="M38" s="77"/>
      <c r="N38" s="84">
        <v>125</v>
      </c>
      <c r="O38" s="107">
        <f>+N38+I38+H38+G38+L38</f>
        <v>12253.937291666665</v>
      </c>
      <c r="P38" s="111">
        <f>+F38-O38</f>
        <v>67746.062708333338</v>
      </c>
    </row>
    <row r="39" spans="1:60" s="47" customFormat="1" ht="30" customHeight="1" x14ac:dyDescent="0.25">
      <c r="A39" s="122">
        <f>+A38+1</f>
        <v>20</v>
      </c>
      <c r="B39" s="153" t="s">
        <v>461</v>
      </c>
      <c r="C39" s="36" t="s">
        <v>420</v>
      </c>
      <c r="D39" s="126" t="s">
        <v>146</v>
      </c>
      <c r="E39" s="108" t="s">
        <v>122</v>
      </c>
      <c r="F39" s="110">
        <v>70000</v>
      </c>
      <c r="G39" s="110">
        <f>F39*2.87%</f>
        <v>2009</v>
      </c>
      <c r="H39" s="110">
        <f>+F39*3.04%</f>
        <v>2128</v>
      </c>
      <c r="I39" s="110"/>
      <c r="J39" s="77">
        <f>+G39+H39+I39</f>
        <v>4137</v>
      </c>
      <c r="K39" s="77">
        <f>+F39-J39</f>
        <v>65863</v>
      </c>
      <c r="L39" s="77">
        <f>+IF(K39*12&lt;=416220.01,0,IF(K39*12&lt;=624329.01,(((K39*12-416220.01)*0.15)/12),IF((K39*12&lt;=867123.01),(31216+0.2*(K39*12-624329.01))/12,((79776+0.25*(K39*12-867123.01))/12))))</f>
        <v>5368.4498333333331</v>
      </c>
      <c r="M39" s="77"/>
      <c r="N39" s="84">
        <v>525</v>
      </c>
      <c r="O39" s="107">
        <f>+N39+I39+H39+G39+L39</f>
        <v>10030.449833333332</v>
      </c>
      <c r="P39" s="111">
        <f>F39-O39</f>
        <v>59969.550166666668</v>
      </c>
    </row>
    <row r="40" spans="1:60" s="39" customFormat="1" ht="30" customHeight="1" thickBot="1" x14ac:dyDescent="0.3">
      <c r="A40" s="206" t="s">
        <v>125</v>
      </c>
      <c r="B40" s="207"/>
      <c r="C40" s="207"/>
      <c r="D40" s="207"/>
      <c r="E40" s="208"/>
      <c r="F40" s="37">
        <f>SUM(F36:F39)</f>
        <v>405000</v>
      </c>
      <c r="G40" s="37">
        <f t="shared" ref="G40:P40" si="12">SUM(G36:G39)</f>
        <v>11623.5</v>
      </c>
      <c r="H40" s="37">
        <f t="shared" si="12"/>
        <v>12312</v>
      </c>
      <c r="I40" s="37">
        <f t="shared" si="12"/>
        <v>0</v>
      </c>
      <c r="J40" s="37">
        <f t="shared" si="12"/>
        <v>23935.5</v>
      </c>
      <c r="K40" s="37">
        <f t="shared" si="12"/>
        <v>381064.5</v>
      </c>
      <c r="L40" s="37">
        <f t="shared" si="12"/>
        <v>49917.636708333332</v>
      </c>
      <c r="M40" s="37">
        <f t="shared" si="12"/>
        <v>0</v>
      </c>
      <c r="N40" s="37">
        <f t="shared" si="12"/>
        <v>7482.59</v>
      </c>
      <c r="O40" s="37">
        <f t="shared" si="12"/>
        <v>81335.726708333328</v>
      </c>
      <c r="P40" s="37">
        <f t="shared" si="12"/>
        <v>323664.2732916667</v>
      </c>
    </row>
    <row r="41" spans="1:60" s="32" customFormat="1" ht="24" customHeight="1" thickBot="1" x14ac:dyDescent="0.3">
      <c r="A41" s="209" t="s">
        <v>155</v>
      </c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</row>
    <row r="42" spans="1:60" s="86" customFormat="1" ht="30" customHeight="1" x14ac:dyDescent="0.25">
      <c r="A42" s="75">
        <f>A39+1</f>
        <v>21</v>
      </c>
      <c r="B42" s="76" t="s">
        <v>253</v>
      </c>
      <c r="C42" s="75" t="s">
        <v>421</v>
      </c>
      <c r="D42" s="83" t="s">
        <v>186</v>
      </c>
      <c r="E42" s="81" t="s">
        <v>122</v>
      </c>
      <c r="F42" s="77">
        <v>130000</v>
      </c>
      <c r="G42" s="82">
        <v>3731</v>
      </c>
      <c r="H42" s="82">
        <v>3952</v>
      </c>
      <c r="I42" s="82">
        <v>1597.31</v>
      </c>
      <c r="J42" s="77">
        <f t="shared" ref="J42:J47" si="13">+G42+H42+I42</f>
        <v>9280.31</v>
      </c>
      <c r="K42" s="77">
        <f t="shared" ref="K42:K47" si="14">+F42-J42</f>
        <v>120719.69</v>
      </c>
      <c r="L42" s="77">
        <f t="shared" ref="L42:L47" si="15">+IF(K42*12&lt;=416220.01,0,IF(K42*12&lt;=624329.01,(((K42*12-416220.01)*0.15)/12),IF((K42*12&lt;=867123.01),(31216+0.2*(K42*12-624329.01))/12,((79776+0.25*(K42*12-867123.01))/12))))</f>
        <v>18762.859791666666</v>
      </c>
      <c r="M42" s="77"/>
      <c r="N42" s="84">
        <v>25</v>
      </c>
      <c r="O42" s="107">
        <f t="shared" ref="O42:O47" si="16">+N42+I42+H42+G42+L42</f>
        <v>28068.169791666667</v>
      </c>
      <c r="P42" s="78">
        <f t="shared" ref="P42:P47" si="17">+F42-O42</f>
        <v>101931.83020833333</v>
      </c>
      <c r="Q42" s="40"/>
    </row>
    <row r="43" spans="1:60" s="86" customFormat="1" ht="30" customHeight="1" x14ac:dyDescent="0.25">
      <c r="A43" s="75">
        <f>A42+1</f>
        <v>22</v>
      </c>
      <c r="B43" s="108" t="s">
        <v>49</v>
      </c>
      <c r="C43" s="36" t="s">
        <v>421</v>
      </c>
      <c r="D43" s="108" t="s">
        <v>51</v>
      </c>
      <c r="E43" s="108" t="s">
        <v>122</v>
      </c>
      <c r="F43" s="110">
        <v>90000</v>
      </c>
      <c r="G43" s="110">
        <f>F43*2.87%</f>
        <v>2583</v>
      </c>
      <c r="H43" s="82">
        <f>+F43*3.04%</f>
        <v>2736</v>
      </c>
      <c r="I43" s="82"/>
      <c r="J43" s="77">
        <f t="shared" si="13"/>
        <v>5319</v>
      </c>
      <c r="K43" s="77">
        <f t="shared" si="14"/>
        <v>84681</v>
      </c>
      <c r="L43" s="77">
        <f t="shared" si="15"/>
        <v>9753.1872916666671</v>
      </c>
      <c r="M43" s="77"/>
      <c r="N43" s="84">
        <f>100+25+2146.02</f>
        <v>2271.02</v>
      </c>
      <c r="O43" s="107">
        <f t="shared" si="16"/>
        <v>17343.207291666666</v>
      </c>
      <c r="P43" s="78">
        <f t="shared" si="17"/>
        <v>72656.792708333334</v>
      </c>
      <c r="Q43" s="40"/>
    </row>
    <row r="44" spans="1:60" s="53" customFormat="1" ht="30" customHeight="1" x14ac:dyDescent="0.25">
      <c r="A44" s="75">
        <f>A43+1</f>
        <v>23</v>
      </c>
      <c r="B44" s="108" t="s">
        <v>240</v>
      </c>
      <c r="C44" s="36" t="s">
        <v>421</v>
      </c>
      <c r="D44" s="109" t="s">
        <v>51</v>
      </c>
      <c r="E44" s="108" t="s">
        <v>121</v>
      </c>
      <c r="F44" s="110">
        <v>90000</v>
      </c>
      <c r="G44" s="107">
        <f>F44*2.87%</f>
        <v>2583</v>
      </c>
      <c r="H44" s="77">
        <f>+F44*3.04%</f>
        <v>2736</v>
      </c>
      <c r="I44" s="77">
        <v>1597.31</v>
      </c>
      <c r="J44" s="77">
        <f t="shared" si="13"/>
        <v>6916.3099999999995</v>
      </c>
      <c r="K44" s="77">
        <f t="shared" si="14"/>
        <v>83083.69</v>
      </c>
      <c r="L44" s="77">
        <f t="shared" si="15"/>
        <v>9353.8597916666677</v>
      </c>
      <c r="M44" s="77"/>
      <c r="N44" s="84">
        <v>12267.85</v>
      </c>
      <c r="O44" s="107">
        <f t="shared" si="16"/>
        <v>28538.019791666666</v>
      </c>
      <c r="P44" s="78">
        <f t="shared" si="17"/>
        <v>61461.980208333334</v>
      </c>
      <c r="Q44" s="39"/>
    </row>
    <row r="45" spans="1:60" s="39" customFormat="1" ht="30" customHeight="1" x14ac:dyDescent="0.25">
      <c r="A45" s="75">
        <f>A44+1</f>
        <v>24</v>
      </c>
      <c r="B45" s="108" t="s">
        <v>241</v>
      </c>
      <c r="C45" s="36" t="s">
        <v>421</v>
      </c>
      <c r="D45" s="109" t="s">
        <v>51</v>
      </c>
      <c r="E45" s="108" t="s">
        <v>122</v>
      </c>
      <c r="F45" s="110">
        <v>90000</v>
      </c>
      <c r="G45" s="110">
        <f>F45*2.87%</f>
        <v>2583</v>
      </c>
      <c r="H45" s="82">
        <f>+F45*3.04%</f>
        <v>2736</v>
      </c>
      <c r="I45" s="82"/>
      <c r="J45" s="77">
        <f t="shared" si="13"/>
        <v>5319</v>
      </c>
      <c r="K45" s="77">
        <f t="shared" si="14"/>
        <v>84681</v>
      </c>
      <c r="L45" s="77">
        <f t="shared" si="15"/>
        <v>9753.1872916666671</v>
      </c>
      <c r="M45" s="77"/>
      <c r="N45" s="84">
        <v>7064.51</v>
      </c>
      <c r="O45" s="107">
        <f t="shared" si="16"/>
        <v>22136.697291666667</v>
      </c>
      <c r="P45" s="78">
        <f t="shared" si="17"/>
        <v>67863.302708333329</v>
      </c>
    </row>
    <row r="46" spans="1:60" s="39" customFormat="1" ht="30" customHeight="1" x14ac:dyDescent="0.25">
      <c r="A46" s="75">
        <f>A45+1</f>
        <v>25</v>
      </c>
      <c r="B46" s="112" t="s">
        <v>242</v>
      </c>
      <c r="C46" s="36" t="s">
        <v>421</v>
      </c>
      <c r="D46" s="112" t="s">
        <v>51</v>
      </c>
      <c r="E46" s="112" t="s">
        <v>122</v>
      </c>
      <c r="F46" s="107">
        <v>80000</v>
      </c>
      <c r="G46" s="107">
        <f>F46*2.87%</f>
        <v>2296</v>
      </c>
      <c r="H46" s="77">
        <f>+F46*3.04%</f>
        <v>2432</v>
      </c>
      <c r="I46" s="77">
        <v>1597.31</v>
      </c>
      <c r="J46" s="77">
        <f t="shared" si="13"/>
        <v>6325.3099999999995</v>
      </c>
      <c r="K46" s="77">
        <f t="shared" si="14"/>
        <v>73674.69</v>
      </c>
      <c r="L46" s="77">
        <f t="shared" si="15"/>
        <v>7001.6097916666668</v>
      </c>
      <c r="M46" s="77"/>
      <c r="N46" s="78">
        <v>11750.55</v>
      </c>
      <c r="O46" s="107">
        <f t="shared" si="16"/>
        <v>25077.469791666666</v>
      </c>
      <c r="P46" s="78">
        <f t="shared" si="17"/>
        <v>54922.530208333337</v>
      </c>
    </row>
    <row r="47" spans="1:60" s="47" customFormat="1" ht="30" customHeight="1" x14ac:dyDescent="0.25">
      <c r="A47" s="122">
        <f>+A46+1</f>
        <v>26</v>
      </c>
      <c r="B47" s="108" t="s">
        <v>57</v>
      </c>
      <c r="C47" s="122" t="s">
        <v>421</v>
      </c>
      <c r="D47" s="109" t="s">
        <v>51</v>
      </c>
      <c r="E47" s="108" t="s">
        <v>121</v>
      </c>
      <c r="F47" s="110">
        <v>80000</v>
      </c>
      <c r="G47" s="110">
        <f>F47*2.87%</f>
        <v>2296</v>
      </c>
      <c r="H47" s="110">
        <f>+F47*3.04%</f>
        <v>2432</v>
      </c>
      <c r="I47" s="110"/>
      <c r="J47" s="77">
        <f t="shared" si="13"/>
        <v>4728</v>
      </c>
      <c r="K47" s="77">
        <f t="shared" si="14"/>
        <v>75272</v>
      </c>
      <c r="L47" s="77">
        <f t="shared" si="15"/>
        <v>7400.9372916666662</v>
      </c>
      <c r="M47" s="77"/>
      <c r="N47" s="84">
        <v>4548.07</v>
      </c>
      <c r="O47" s="107">
        <f t="shared" si="16"/>
        <v>16677.007291666665</v>
      </c>
      <c r="P47" s="111">
        <f t="shared" si="17"/>
        <v>63322.992708333331</v>
      </c>
    </row>
    <row r="48" spans="1:60" s="39" customFormat="1" ht="30" customHeight="1" x14ac:dyDescent="0.25">
      <c r="A48" s="206" t="s">
        <v>125</v>
      </c>
      <c r="B48" s="207"/>
      <c r="C48" s="207"/>
      <c r="D48" s="207"/>
      <c r="E48" s="208"/>
      <c r="F48" s="37">
        <f>SUM(F42:F47)</f>
        <v>560000</v>
      </c>
      <c r="G48" s="37">
        <f t="shared" ref="G48:P48" si="18">SUM(G42:G47)</f>
        <v>16072</v>
      </c>
      <c r="H48" s="37">
        <f t="shared" si="18"/>
        <v>17024</v>
      </c>
      <c r="I48" s="37">
        <f t="shared" si="18"/>
        <v>4791.93</v>
      </c>
      <c r="J48" s="37">
        <f t="shared" si="18"/>
        <v>37887.93</v>
      </c>
      <c r="K48" s="37">
        <f t="shared" si="18"/>
        <v>522112.07</v>
      </c>
      <c r="L48" s="37">
        <f t="shared" si="18"/>
        <v>62025.641250000008</v>
      </c>
      <c r="M48" s="37">
        <f t="shared" si="18"/>
        <v>0</v>
      </c>
      <c r="N48" s="37">
        <f t="shared" si="18"/>
        <v>37927</v>
      </c>
      <c r="O48" s="37">
        <f t="shared" si="18"/>
        <v>137840.57125000001</v>
      </c>
      <c r="P48" s="37">
        <f t="shared" si="18"/>
        <v>422159.42875000008</v>
      </c>
    </row>
    <row r="49" spans="1:60" s="39" customFormat="1" ht="30" customHeight="1" thickBot="1" x14ac:dyDescent="0.3">
      <c r="A49" s="79"/>
      <c r="B49" s="79"/>
      <c r="C49" s="286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</row>
    <row r="50" spans="1:60" s="86" customFormat="1" ht="30" customHeight="1" thickBot="1" x14ac:dyDescent="0.3">
      <c r="A50" s="209" t="s">
        <v>463</v>
      </c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40"/>
    </row>
    <row r="51" spans="1:60" s="86" customFormat="1" ht="30" customHeight="1" x14ac:dyDescent="0.25">
      <c r="A51" s="75">
        <f>+A47+1</f>
        <v>27</v>
      </c>
      <c r="B51" s="76" t="s">
        <v>56</v>
      </c>
      <c r="C51" s="75" t="s">
        <v>421</v>
      </c>
      <c r="D51" s="83" t="s">
        <v>180</v>
      </c>
      <c r="E51" s="81" t="s">
        <v>122</v>
      </c>
      <c r="F51" s="77">
        <v>126500</v>
      </c>
      <c r="G51" s="77">
        <v>3630.55</v>
      </c>
      <c r="H51" s="77">
        <v>3845.6</v>
      </c>
      <c r="I51" s="77">
        <v>1597.31</v>
      </c>
      <c r="J51" s="77">
        <f>+G51+H51+I51</f>
        <v>9073.4599999999991</v>
      </c>
      <c r="K51" s="77">
        <f>+F51-J51</f>
        <v>117426.54000000001</v>
      </c>
      <c r="L51" s="77">
        <f>+IF(K51*12&lt;=416220.01,0,IF(K51*12&lt;=624329.01,(((K51*12-416220.01)*0.15)/12),IF((K51*12&lt;=867123.01),(31216+0.2*(K51*12-624329.01))/12,((79776+0.25*(K51*12-867123.01))/12))))</f>
        <v>17939.572291666667</v>
      </c>
      <c r="M51" s="77"/>
      <c r="N51" s="84">
        <v>125</v>
      </c>
      <c r="O51" s="107">
        <f>+N51+I51+H51+G51+L51</f>
        <v>27138.032291666666</v>
      </c>
      <c r="P51" s="111">
        <f>+F51-O51</f>
        <v>99361.967708333337</v>
      </c>
      <c r="Q51" s="40"/>
    </row>
    <row r="52" spans="1:60" s="39" customFormat="1" ht="30" customHeight="1" x14ac:dyDescent="0.25">
      <c r="A52" s="206" t="s">
        <v>125</v>
      </c>
      <c r="B52" s="207"/>
      <c r="C52" s="207"/>
      <c r="D52" s="207"/>
      <c r="E52" s="208"/>
      <c r="F52" s="37">
        <f>SUM(F51)</f>
        <v>126500</v>
      </c>
      <c r="G52" s="37">
        <f t="shared" ref="G52:P52" si="19">SUM(G51)</f>
        <v>3630.55</v>
      </c>
      <c r="H52" s="37">
        <f t="shared" si="19"/>
        <v>3845.6</v>
      </c>
      <c r="I52" s="37">
        <f t="shared" si="19"/>
        <v>1597.31</v>
      </c>
      <c r="J52" s="37">
        <f t="shared" si="19"/>
        <v>9073.4599999999991</v>
      </c>
      <c r="K52" s="37">
        <f t="shared" si="19"/>
        <v>117426.54000000001</v>
      </c>
      <c r="L52" s="37">
        <f t="shared" si="19"/>
        <v>17939.572291666667</v>
      </c>
      <c r="M52" s="37">
        <f t="shared" si="19"/>
        <v>0</v>
      </c>
      <c r="N52" s="37">
        <f t="shared" si="19"/>
        <v>125</v>
      </c>
      <c r="O52" s="37">
        <f t="shared" si="19"/>
        <v>27138.032291666666</v>
      </c>
      <c r="P52" s="37">
        <f t="shared" si="19"/>
        <v>99361.967708333337</v>
      </c>
    </row>
    <row r="53" spans="1:60" s="39" customFormat="1" ht="30" customHeight="1" thickBot="1" x14ac:dyDescent="0.3">
      <c r="A53" s="50"/>
      <c r="B53" s="50"/>
      <c r="C53" s="50"/>
      <c r="D53" s="50"/>
      <c r="E53" s="50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</row>
    <row r="54" spans="1:60" s="53" customFormat="1" ht="30" customHeight="1" thickBot="1" x14ac:dyDescent="0.3">
      <c r="A54" s="292" t="s">
        <v>156</v>
      </c>
      <c r="B54" s="293"/>
      <c r="C54" s="212"/>
      <c r="D54" s="212"/>
      <c r="E54" s="212"/>
      <c r="F54" s="212"/>
      <c r="G54" s="212"/>
      <c r="H54" s="212"/>
      <c r="I54" s="212"/>
      <c r="J54" s="212"/>
      <c r="K54" s="212"/>
      <c r="L54" s="212"/>
      <c r="M54" s="212"/>
      <c r="N54" s="212"/>
      <c r="O54" s="212"/>
      <c r="P54" s="212"/>
      <c r="Q54" s="39"/>
    </row>
    <row r="55" spans="1:60" s="53" customFormat="1" ht="30" customHeight="1" x14ac:dyDescent="0.25">
      <c r="A55" s="80">
        <f>+A51+1</f>
        <v>28</v>
      </c>
      <c r="B55" s="108" t="s">
        <v>244</v>
      </c>
      <c r="C55" s="36" t="s">
        <v>421</v>
      </c>
      <c r="D55" s="109" t="s">
        <v>51</v>
      </c>
      <c r="E55" s="108" t="s">
        <v>122</v>
      </c>
      <c r="F55" s="110">
        <v>104000</v>
      </c>
      <c r="G55" s="82">
        <f>F55*2.87%</f>
        <v>2984.8</v>
      </c>
      <c r="H55" s="82">
        <f>+F55*3.04%</f>
        <v>3161.6</v>
      </c>
      <c r="I55" s="77">
        <v>1597.31</v>
      </c>
      <c r="J55" s="77">
        <f>+G55+H55+I55</f>
        <v>7743.7099999999991</v>
      </c>
      <c r="K55" s="77">
        <f>+F55-J55</f>
        <v>96256.290000000008</v>
      </c>
      <c r="L55" s="77">
        <f>+IF(K55*12&lt;=416220.01,0,IF(K55*12&lt;=624329.01,(((K55*12-416220.01)*0.15)/12),IF((K55*12&lt;=867123.01),(31216+0.2*(K55*12-624329.01))/12,((79776+0.25*(K55*12-867123.01))/12))))</f>
        <v>12647.009791666665</v>
      </c>
      <c r="M55" s="77"/>
      <c r="N55" s="84">
        <v>4505.74</v>
      </c>
      <c r="O55" s="107">
        <f>+N55+I55+H55+G55+L55</f>
        <v>24896.459791666668</v>
      </c>
      <c r="P55" s="78">
        <f>+F55-O55</f>
        <v>79103.540208333332</v>
      </c>
      <c r="Q55" s="39"/>
    </row>
    <row r="56" spans="1:60" s="31" customFormat="1" ht="30" customHeight="1" x14ac:dyDescent="0.25">
      <c r="A56" s="80">
        <f>+A55+1</f>
        <v>29</v>
      </c>
      <c r="B56" s="108" t="s">
        <v>245</v>
      </c>
      <c r="C56" s="36" t="s">
        <v>421</v>
      </c>
      <c r="D56" s="109" t="s">
        <v>51</v>
      </c>
      <c r="E56" s="108" t="s">
        <v>122</v>
      </c>
      <c r="F56" s="110">
        <v>95000</v>
      </c>
      <c r="G56" s="82">
        <f>F56*2.87%</f>
        <v>2726.5</v>
      </c>
      <c r="H56" s="82">
        <f>+F56*3.04%</f>
        <v>2888</v>
      </c>
      <c r="I56" s="82"/>
      <c r="J56" s="77">
        <f>+G56+H56+I56</f>
        <v>5614.5</v>
      </c>
      <c r="K56" s="77">
        <f>+F56-J56</f>
        <v>89385.5</v>
      </c>
      <c r="L56" s="77">
        <f>+IF(K56*12&lt;=416220.01,0,IF(K56*12&lt;=624329.01,(((K56*12-416220.01)*0.15)/12),IF((K56*12&lt;=867123.01),(31216+0.2*(K56*12-624329.01))/12,((79776+0.25*(K56*12-867123.01))/12))))</f>
        <v>10929.312291666667</v>
      </c>
      <c r="M56" s="77"/>
      <c r="N56" s="84">
        <v>7125</v>
      </c>
      <c r="O56" s="107">
        <f>+N56+I56+H56+G56+L56</f>
        <v>23668.812291666669</v>
      </c>
      <c r="P56" s="78">
        <f>+F56-O56</f>
        <v>71331.187708333338</v>
      </c>
      <c r="Q56" s="32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</row>
    <row r="57" spans="1:60" s="39" customFormat="1" ht="30" customHeight="1" x14ac:dyDescent="0.25">
      <c r="A57" s="80">
        <f>+A56+1</f>
        <v>30</v>
      </c>
      <c r="B57" s="108" t="s">
        <v>246</v>
      </c>
      <c r="C57" s="36" t="s">
        <v>421</v>
      </c>
      <c r="D57" s="109" t="s">
        <v>51</v>
      </c>
      <c r="E57" s="108" t="s">
        <v>121</v>
      </c>
      <c r="F57" s="110">
        <v>90000</v>
      </c>
      <c r="G57" s="82">
        <f>F57*2.87%</f>
        <v>2583</v>
      </c>
      <c r="H57" s="82">
        <f>+F57*3.04%</f>
        <v>2736</v>
      </c>
      <c r="I57" s="82"/>
      <c r="J57" s="77">
        <f>+G57+H57+I57</f>
        <v>5319</v>
      </c>
      <c r="K57" s="77">
        <f>+F57-J57</f>
        <v>84681</v>
      </c>
      <c r="L57" s="77">
        <f>+IF(K57*12&lt;=416220.01,0,IF(K57*12&lt;=624329.01,(((K57*12-416220.01)*0.15)/12),IF((K57*12&lt;=867123.01),(31216+0.2*(K57*12-624329.01))/12,((79776+0.25*(K57*12-867123.01))/12))))</f>
        <v>9753.1872916666671</v>
      </c>
      <c r="M57" s="77"/>
      <c r="N57" s="84">
        <v>1105</v>
      </c>
      <c r="O57" s="107">
        <f>+N57+I57+H57+G57+L57</f>
        <v>16177.187291666667</v>
      </c>
      <c r="P57" s="78">
        <f>+F57-O57</f>
        <v>73822.812708333338</v>
      </c>
    </row>
    <row r="58" spans="1:60" s="39" customFormat="1" ht="30" customHeight="1" x14ac:dyDescent="0.25">
      <c r="A58" s="80">
        <f>A57+1</f>
        <v>31</v>
      </c>
      <c r="B58" s="108" t="s">
        <v>473</v>
      </c>
      <c r="C58" s="36" t="s">
        <v>421</v>
      </c>
      <c r="D58" s="109" t="s">
        <v>51</v>
      </c>
      <c r="E58" s="108" t="s">
        <v>122</v>
      </c>
      <c r="F58" s="110">
        <v>70000</v>
      </c>
      <c r="G58" s="82">
        <f>F58*2.87%</f>
        <v>2009</v>
      </c>
      <c r="H58" s="82">
        <f>+F58*3.04%</f>
        <v>2128</v>
      </c>
      <c r="I58" s="82">
        <v>3194.62</v>
      </c>
      <c r="J58" s="77">
        <f>+G58+H58+I58</f>
        <v>7331.62</v>
      </c>
      <c r="K58" s="77">
        <f>+F58-J58</f>
        <v>62668.38</v>
      </c>
      <c r="L58" s="77">
        <f>+IF(K58*12&lt;=416220.01,0,IF(K58*12&lt;=624329.01,(((K58*12-416220.01)*0.15)/12),IF((K58*12&lt;=867123.01),(31216+0.2*(K58*12-624329.01))/12,((79776+0.25*(K58*12-867123.01))/12))))</f>
        <v>4729.5258333333322</v>
      </c>
      <c r="M58" s="77"/>
      <c r="N58" s="82">
        <v>125</v>
      </c>
      <c r="O58" s="107">
        <f>+N58+I58+H58+G58+L58</f>
        <v>12186.145833333332</v>
      </c>
      <c r="P58" s="82">
        <f>+F58-O58</f>
        <v>57813.854166666672</v>
      </c>
    </row>
    <row r="59" spans="1:60" s="39" customFormat="1" ht="30" customHeight="1" x14ac:dyDescent="0.25">
      <c r="A59" s="80">
        <f>+A58+1</f>
        <v>32</v>
      </c>
      <c r="B59" s="108" t="s">
        <v>181</v>
      </c>
      <c r="C59" s="36" t="s">
        <v>421</v>
      </c>
      <c r="D59" s="109" t="s">
        <v>94</v>
      </c>
      <c r="E59" s="108" t="s">
        <v>122</v>
      </c>
      <c r="F59" s="110">
        <v>60000</v>
      </c>
      <c r="G59" s="82">
        <f>F59*2.87%</f>
        <v>1722</v>
      </c>
      <c r="H59" s="82">
        <f>+F59*3.04%</f>
        <v>1824</v>
      </c>
      <c r="I59" s="82">
        <v>0</v>
      </c>
      <c r="J59" s="77">
        <f>+G59+H59+I59</f>
        <v>3546</v>
      </c>
      <c r="K59" s="77">
        <f>+F59-J59</f>
        <v>56454</v>
      </c>
      <c r="L59" s="77">
        <f>+IF(K59*12&lt;=416220.01,0,IF(K59*12&lt;=624329.01,(((K59*12-416220.01)*0.15)/12),IF((K59*12&lt;=867123.01),(31216+0.2*(K59*12-624329.01))/12,((79776+0.25*(K59*12-867123.01))/12))))-M59</f>
        <v>3486.6498333333329</v>
      </c>
      <c r="M59" s="77">
        <v>0</v>
      </c>
      <c r="N59" s="84">
        <v>125</v>
      </c>
      <c r="O59" s="107">
        <f>+N59+I59+H59+G59+L59</f>
        <v>7157.6498333333329</v>
      </c>
      <c r="P59" s="78">
        <f>+F59-O59</f>
        <v>52842.350166666671</v>
      </c>
    </row>
    <row r="60" spans="1:60" s="39" customFormat="1" ht="30" customHeight="1" x14ac:dyDescent="0.25">
      <c r="A60" s="206" t="s">
        <v>125</v>
      </c>
      <c r="B60" s="207"/>
      <c r="C60" s="207"/>
      <c r="D60" s="207"/>
      <c r="E60" s="208"/>
      <c r="F60" s="37">
        <f>SUM(F55:F59)</f>
        <v>419000</v>
      </c>
      <c r="G60" s="37">
        <f t="shared" ref="G60:P60" si="20">SUM(G55:G59)</f>
        <v>12025.3</v>
      </c>
      <c r="H60" s="37">
        <f t="shared" si="20"/>
        <v>12737.6</v>
      </c>
      <c r="I60" s="37">
        <f t="shared" si="20"/>
        <v>4791.93</v>
      </c>
      <c r="J60" s="37">
        <f t="shared" si="20"/>
        <v>29554.829999999998</v>
      </c>
      <c r="K60" s="37">
        <f t="shared" si="20"/>
        <v>389445.17000000004</v>
      </c>
      <c r="L60" s="37">
        <f t="shared" si="20"/>
        <v>41545.685041666671</v>
      </c>
      <c r="M60" s="37">
        <f t="shared" si="20"/>
        <v>0</v>
      </c>
      <c r="N60" s="37">
        <f t="shared" si="20"/>
        <v>12985.74</v>
      </c>
      <c r="O60" s="37">
        <f t="shared" si="20"/>
        <v>84086.255041666664</v>
      </c>
      <c r="P60" s="37">
        <f t="shared" si="20"/>
        <v>334913.74495833332</v>
      </c>
    </row>
    <row r="61" spans="1:60" s="39" customFormat="1" ht="30" customHeight="1" thickBot="1" x14ac:dyDescent="0.3">
      <c r="A61" s="69"/>
      <c r="B61" s="69"/>
      <c r="C61" s="137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</row>
    <row r="62" spans="1:60" s="31" customFormat="1" ht="30" customHeight="1" thickBot="1" x14ac:dyDescent="0.3">
      <c r="A62" s="292" t="s">
        <v>157</v>
      </c>
      <c r="B62" s="293"/>
      <c r="C62" s="212"/>
      <c r="D62" s="212"/>
      <c r="E62" s="212"/>
      <c r="F62" s="212"/>
      <c r="G62" s="212"/>
      <c r="H62" s="212"/>
      <c r="I62" s="212"/>
      <c r="J62" s="212"/>
      <c r="K62" s="212"/>
      <c r="L62" s="212"/>
      <c r="M62" s="212"/>
      <c r="N62" s="245"/>
      <c r="O62" s="212"/>
      <c r="P62" s="212"/>
      <c r="Q62" s="32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</row>
    <row r="63" spans="1:60" s="86" customFormat="1" ht="30" customHeight="1" x14ac:dyDescent="0.25">
      <c r="A63" s="122">
        <f>+A59+1</f>
        <v>33</v>
      </c>
      <c r="B63" s="112" t="s">
        <v>48</v>
      </c>
      <c r="C63" s="122" t="s">
        <v>421</v>
      </c>
      <c r="D63" s="85" t="s">
        <v>51</v>
      </c>
      <c r="E63" s="112" t="s">
        <v>122</v>
      </c>
      <c r="F63" s="77">
        <v>102000</v>
      </c>
      <c r="G63" s="82">
        <f>F63*2.87%</f>
        <v>2927.4</v>
      </c>
      <c r="H63" s="82">
        <f>+F63*3.04%</f>
        <v>3100.8</v>
      </c>
      <c r="I63" s="77"/>
      <c r="J63" s="77">
        <f>+G63+H63+I63</f>
        <v>6028.2000000000007</v>
      </c>
      <c r="K63" s="77">
        <f>+F63-J63</f>
        <v>95971.8</v>
      </c>
      <c r="L63" s="77">
        <f>+IF(K63*12&lt;=416220.01,0,IF(K63*12&lt;=624329.01,(((K63*12-416220.01)*0.15)/12),IF((K63*12&lt;=867123.01),(31216+0.2*(K63*12-624329.01))/12,((79776+0.25*(K63*12-867123.01))/12))))-M63</f>
        <v>12575.887291666668</v>
      </c>
      <c r="M63" s="77"/>
      <c r="N63" s="84">
        <v>125</v>
      </c>
      <c r="O63" s="107">
        <f>+N63+I63+H63+G63+L63</f>
        <v>18729.08729166667</v>
      </c>
      <c r="P63" s="78">
        <f>+F63-O63</f>
        <v>83270.91270833333</v>
      </c>
      <c r="Q63" s="40"/>
    </row>
    <row r="64" spans="1:60" s="86" customFormat="1" ht="30" customHeight="1" x14ac:dyDescent="0.25">
      <c r="A64" s="36">
        <f>+A63+1</f>
        <v>34</v>
      </c>
      <c r="B64" s="108" t="s">
        <v>63</v>
      </c>
      <c r="C64" s="36" t="s">
        <v>420</v>
      </c>
      <c r="D64" s="109" t="s">
        <v>51</v>
      </c>
      <c r="E64" s="108" t="s">
        <v>122</v>
      </c>
      <c r="F64" s="110">
        <v>102000</v>
      </c>
      <c r="G64" s="110">
        <f>F64*2.87%</f>
        <v>2927.4</v>
      </c>
      <c r="H64" s="82">
        <f>+F64*3.04%</f>
        <v>3100.8</v>
      </c>
      <c r="I64" s="82"/>
      <c r="J64" s="77">
        <f>+G64+H64+I64</f>
        <v>6028.2000000000007</v>
      </c>
      <c r="K64" s="77">
        <f>+F64-J64</f>
        <v>95971.8</v>
      </c>
      <c r="L64" s="77">
        <f>+IF(K64*12&lt;=416220.01,0,IF(K64*12&lt;=624329.01,(((K64*12-416220.01)*0.15)/12),IF((K64*12&lt;=867123.01),(31216+0.2*(K64*12-624329.01))/12,((79776+0.25*(K64*12-867123.01))/12))))-M64</f>
        <v>12575.887291666668</v>
      </c>
      <c r="M64" s="77"/>
      <c r="N64" s="84">
        <v>65</v>
      </c>
      <c r="O64" s="107">
        <f>+N64+I64+H64+G64+L64</f>
        <v>18669.08729166667</v>
      </c>
      <c r="P64" s="78">
        <f>+F64-O64</f>
        <v>83330.91270833333</v>
      </c>
      <c r="Q64" s="40"/>
    </row>
    <row r="65" spans="1:17" s="39" customFormat="1" ht="30" customHeight="1" x14ac:dyDescent="0.25">
      <c r="A65" s="36">
        <f>+A64+1</f>
        <v>35</v>
      </c>
      <c r="B65" s="108" t="s">
        <v>287</v>
      </c>
      <c r="C65" s="36" t="s">
        <v>421</v>
      </c>
      <c r="D65" s="109" t="s">
        <v>51</v>
      </c>
      <c r="E65" s="108" t="s">
        <v>121</v>
      </c>
      <c r="F65" s="110">
        <v>80000</v>
      </c>
      <c r="G65" s="110">
        <f>F65*2.87%</f>
        <v>2296</v>
      </c>
      <c r="H65" s="82">
        <f>+F65*3.04%</f>
        <v>2432</v>
      </c>
      <c r="I65" s="82"/>
      <c r="J65" s="77">
        <f>+G65+H65+I65</f>
        <v>4728</v>
      </c>
      <c r="K65" s="77">
        <f>+F65-J65</f>
        <v>75272</v>
      </c>
      <c r="L65" s="77">
        <f>+IF(K65*12&lt;=416220.01,0,IF(K65*12&lt;=624329.01,(((K65*12-416220.01)*0.15)/12),IF((K65*12&lt;=867123.01),(31216+0.2*(K65*12-624329.01))/12,((79776+0.25*(K65*12-867123.01))/12))))-M65</f>
        <v>7400.9372916666662</v>
      </c>
      <c r="M65" s="77"/>
      <c r="N65" s="84">
        <v>11440</v>
      </c>
      <c r="O65" s="107">
        <f>+N65+I65+H65+G65+L65</f>
        <v>23568.937291666665</v>
      </c>
      <c r="P65" s="78">
        <f>+F65-O65</f>
        <v>56431.062708333338</v>
      </c>
    </row>
    <row r="66" spans="1:17" s="40" customFormat="1" ht="30" customHeight="1" x14ac:dyDescent="0.25">
      <c r="A66" s="206" t="s">
        <v>125</v>
      </c>
      <c r="B66" s="207"/>
      <c r="C66" s="207"/>
      <c r="D66" s="207"/>
      <c r="E66" s="208"/>
      <c r="F66" s="37">
        <f>SUM(F63:F65)</f>
        <v>284000</v>
      </c>
      <c r="G66" s="37">
        <f t="shared" ref="G66:P66" si="21">SUM(G63:G65)</f>
        <v>8150.8</v>
      </c>
      <c r="H66" s="37">
        <f t="shared" si="21"/>
        <v>8633.6</v>
      </c>
      <c r="I66" s="37">
        <f t="shared" si="21"/>
        <v>0</v>
      </c>
      <c r="J66" s="37">
        <f t="shared" si="21"/>
        <v>16784.400000000001</v>
      </c>
      <c r="K66" s="37">
        <f t="shared" si="21"/>
        <v>267215.59999999998</v>
      </c>
      <c r="L66" s="37">
        <f t="shared" si="21"/>
        <v>32552.711875000001</v>
      </c>
      <c r="M66" s="37">
        <f t="shared" si="21"/>
        <v>0</v>
      </c>
      <c r="N66" s="37">
        <f t="shared" si="21"/>
        <v>11630</v>
      </c>
      <c r="O66" s="37">
        <f t="shared" si="21"/>
        <v>60967.111875000002</v>
      </c>
      <c r="P66" s="37">
        <f t="shared" si="21"/>
        <v>223032.888125</v>
      </c>
    </row>
    <row r="67" spans="1:17" s="39" customFormat="1" ht="30" customHeight="1" thickBot="1" x14ac:dyDescent="0.3">
      <c r="A67" s="44"/>
      <c r="B67" s="42"/>
      <c r="C67" s="44"/>
      <c r="D67" s="43"/>
      <c r="E67" s="42"/>
    </row>
    <row r="68" spans="1:17" s="87" customFormat="1" ht="37.15" customHeight="1" thickBot="1" x14ac:dyDescent="0.3">
      <c r="A68" s="292" t="s">
        <v>184</v>
      </c>
      <c r="B68" s="293"/>
      <c r="C68" s="212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3"/>
      <c r="Q68" s="47"/>
    </row>
    <row r="69" spans="1:17" s="53" customFormat="1" ht="30" customHeight="1" x14ac:dyDescent="0.25">
      <c r="A69" s="75">
        <f>+A65+1</f>
        <v>36</v>
      </c>
      <c r="B69" s="112" t="s">
        <v>247</v>
      </c>
      <c r="C69" s="122" t="s">
        <v>421</v>
      </c>
      <c r="D69" s="109" t="s">
        <v>248</v>
      </c>
      <c r="E69" s="108" t="s">
        <v>122</v>
      </c>
      <c r="F69" s="107">
        <v>126500</v>
      </c>
      <c r="G69" s="82">
        <f t="shared" ref="G69:G74" si="22">F69*2.87%</f>
        <v>3630.55</v>
      </c>
      <c r="H69" s="82">
        <f t="shared" ref="H69:H74" si="23">+F69*3.04%</f>
        <v>3845.6</v>
      </c>
      <c r="I69" s="82"/>
      <c r="J69" s="77">
        <f t="shared" ref="J69:J74" si="24">+G69+H69+I69</f>
        <v>7476.15</v>
      </c>
      <c r="K69" s="77">
        <f t="shared" ref="K69:K74" si="25">+F69-J69</f>
        <v>119023.85</v>
      </c>
      <c r="L69" s="77">
        <f t="shared" ref="L69:L74" si="26">+IF(K69*12&lt;=416220.01,0,IF(K69*12&lt;=624329.01,(((K69*12-416220.01)*0.15)/12),IF((K69*12&lt;=867123.01),(31216+0.2*(K69*12-624329.01))/12,((79776+0.25*(K69*12-867123.01))/12))))-M69</f>
        <v>18338.89979166667</v>
      </c>
      <c r="M69" s="77"/>
      <c r="N69" s="84">
        <v>25</v>
      </c>
      <c r="O69" s="107">
        <f t="shared" ref="O69:O74" si="27">+N69+I69+H69+G69+L69</f>
        <v>25840.049791666672</v>
      </c>
      <c r="P69" s="78">
        <f t="shared" ref="P69:P74" si="28">+F69-O69</f>
        <v>100659.95020833332</v>
      </c>
      <c r="Q69" s="39"/>
    </row>
    <row r="70" spans="1:17" s="86" customFormat="1" ht="30" customHeight="1" x14ac:dyDescent="0.25">
      <c r="A70" s="122">
        <f>+A69+1</f>
        <v>37</v>
      </c>
      <c r="B70" s="108" t="s">
        <v>60</v>
      </c>
      <c r="C70" s="36" t="s">
        <v>420</v>
      </c>
      <c r="D70" s="109" t="s">
        <v>51</v>
      </c>
      <c r="E70" s="108" t="s">
        <v>122</v>
      </c>
      <c r="F70" s="110">
        <v>102000</v>
      </c>
      <c r="G70" s="110">
        <f t="shared" si="22"/>
        <v>2927.4</v>
      </c>
      <c r="H70" s="110">
        <f t="shared" si="23"/>
        <v>3100.8</v>
      </c>
      <c r="I70" s="110"/>
      <c r="J70" s="77">
        <f t="shared" si="24"/>
        <v>6028.2000000000007</v>
      </c>
      <c r="K70" s="77">
        <f t="shared" si="25"/>
        <v>95971.8</v>
      </c>
      <c r="L70" s="77">
        <f t="shared" si="26"/>
        <v>12575.887291666668</v>
      </c>
      <c r="M70" s="77"/>
      <c r="N70" s="84">
        <v>10025</v>
      </c>
      <c r="O70" s="107">
        <f t="shared" si="27"/>
        <v>28629.087291666667</v>
      </c>
      <c r="P70" s="78">
        <f t="shared" si="28"/>
        <v>73370.91270833333</v>
      </c>
      <c r="Q70" s="40"/>
    </row>
    <row r="71" spans="1:17" s="79" customFormat="1" ht="30" customHeight="1" x14ac:dyDescent="0.25">
      <c r="A71" s="122">
        <f>+A70+1</f>
        <v>38</v>
      </c>
      <c r="B71" s="108" t="s">
        <v>54</v>
      </c>
      <c r="C71" s="36" t="s">
        <v>421</v>
      </c>
      <c r="D71" s="108" t="s">
        <v>51</v>
      </c>
      <c r="E71" s="108" t="s">
        <v>122</v>
      </c>
      <c r="F71" s="110">
        <v>90000</v>
      </c>
      <c r="G71" s="110">
        <f t="shared" si="22"/>
        <v>2583</v>
      </c>
      <c r="H71" s="110">
        <f t="shared" si="23"/>
        <v>2736</v>
      </c>
      <c r="I71" s="110">
        <v>1597.31</v>
      </c>
      <c r="J71" s="77">
        <f t="shared" si="24"/>
        <v>6916.3099999999995</v>
      </c>
      <c r="K71" s="77">
        <f t="shared" si="25"/>
        <v>83083.69</v>
      </c>
      <c r="L71" s="77">
        <f t="shared" si="26"/>
        <v>9353.8597916666677</v>
      </c>
      <c r="M71" s="77"/>
      <c r="N71" s="84">
        <v>725</v>
      </c>
      <c r="O71" s="107">
        <f t="shared" si="27"/>
        <v>16995.169791666667</v>
      </c>
      <c r="P71" s="78">
        <f t="shared" si="28"/>
        <v>73004.830208333326</v>
      </c>
      <c r="Q71" s="32"/>
    </row>
    <row r="72" spans="1:17" s="86" customFormat="1" ht="30" customHeight="1" x14ac:dyDescent="0.25">
      <c r="A72" s="122">
        <f>+A71+1</f>
        <v>39</v>
      </c>
      <c r="B72" s="108" t="s">
        <v>55</v>
      </c>
      <c r="C72" s="36" t="s">
        <v>420</v>
      </c>
      <c r="D72" s="126" t="s">
        <v>51</v>
      </c>
      <c r="E72" s="108" t="s">
        <v>121</v>
      </c>
      <c r="F72" s="110">
        <v>90000</v>
      </c>
      <c r="G72" s="110">
        <f t="shared" si="22"/>
        <v>2583</v>
      </c>
      <c r="H72" s="110">
        <f t="shared" si="23"/>
        <v>2736</v>
      </c>
      <c r="I72" s="110">
        <v>1597.31</v>
      </c>
      <c r="J72" s="77">
        <f t="shared" si="24"/>
        <v>6916.3099999999995</v>
      </c>
      <c r="K72" s="77">
        <f t="shared" si="25"/>
        <v>83083.69</v>
      </c>
      <c r="L72" s="77">
        <f t="shared" si="26"/>
        <v>9353.8597916666677</v>
      </c>
      <c r="M72" s="77"/>
      <c r="N72" s="84">
        <v>2125</v>
      </c>
      <c r="O72" s="107">
        <f t="shared" si="27"/>
        <v>18395.169791666667</v>
      </c>
      <c r="P72" s="78">
        <f t="shared" si="28"/>
        <v>71604.830208333326</v>
      </c>
      <c r="Q72" s="40"/>
    </row>
    <row r="73" spans="1:17" s="53" customFormat="1" ht="30" customHeight="1" x14ac:dyDescent="0.25">
      <c r="A73" s="122">
        <f>+A72+1</f>
        <v>40</v>
      </c>
      <c r="B73" s="108" t="s">
        <v>68</v>
      </c>
      <c r="C73" s="36" t="s">
        <v>421</v>
      </c>
      <c r="D73" s="109" t="s">
        <v>51</v>
      </c>
      <c r="E73" s="108" t="s">
        <v>122</v>
      </c>
      <c r="F73" s="110">
        <v>90000</v>
      </c>
      <c r="G73" s="110">
        <f t="shared" si="22"/>
        <v>2583</v>
      </c>
      <c r="H73" s="110">
        <f t="shared" si="23"/>
        <v>2736</v>
      </c>
      <c r="I73" s="110"/>
      <c r="J73" s="77">
        <f t="shared" si="24"/>
        <v>5319</v>
      </c>
      <c r="K73" s="77">
        <f t="shared" si="25"/>
        <v>84681</v>
      </c>
      <c r="L73" s="77">
        <f t="shared" si="26"/>
        <v>9753.1872916666671</v>
      </c>
      <c r="M73" s="77"/>
      <c r="N73" s="84">
        <v>1125</v>
      </c>
      <c r="O73" s="107">
        <f t="shared" si="27"/>
        <v>16197.187291666667</v>
      </c>
      <c r="P73" s="78">
        <f t="shared" si="28"/>
        <v>73802.812708333338</v>
      </c>
      <c r="Q73" s="39"/>
    </row>
    <row r="74" spans="1:17" s="39" customFormat="1" ht="25.5" customHeight="1" x14ac:dyDescent="0.25">
      <c r="A74" s="122">
        <f>+A73+1</f>
        <v>41</v>
      </c>
      <c r="B74" s="108" t="s">
        <v>249</v>
      </c>
      <c r="C74" s="36" t="s">
        <v>420</v>
      </c>
      <c r="D74" s="109" t="s">
        <v>51</v>
      </c>
      <c r="E74" s="108" t="s">
        <v>121</v>
      </c>
      <c r="F74" s="110">
        <v>80000</v>
      </c>
      <c r="G74" s="110">
        <f t="shared" si="22"/>
        <v>2296</v>
      </c>
      <c r="H74" s="110">
        <f t="shared" si="23"/>
        <v>2432</v>
      </c>
      <c r="I74" s="39">
        <v>3194.62</v>
      </c>
      <c r="J74" s="77">
        <f t="shared" si="24"/>
        <v>7922.62</v>
      </c>
      <c r="K74" s="77">
        <f t="shared" si="25"/>
        <v>72077.38</v>
      </c>
      <c r="L74" s="77">
        <f t="shared" si="26"/>
        <v>6611.3258333333333</v>
      </c>
      <c r="M74" s="77"/>
      <c r="N74" s="84">
        <v>2025</v>
      </c>
      <c r="O74" s="107">
        <f t="shared" si="27"/>
        <v>16558.945833333331</v>
      </c>
      <c r="P74" s="78">
        <f t="shared" si="28"/>
        <v>63441.054166666669</v>
      </c>
    </row>
    <row r="75" spans="1:17" s="39" customFormat="1" ht="30" customHeight="1" thickBot="1" x14ac:dyDescent="0.3">
      <c r="A75" s="206" t="s">
        <v>125</v>
      </c>
      <c r="B75" s="207"/>
      <c r="C75" s="207"/>
      <c r="D75" s="207"/>
      <c r="E75" s="208"/>
      <c r="F75" s="37">
        <f>SUM(F69:F74)</f>
        <v>578500</v>
      </c>
      <c r="G75" s="37">
        <f t="shared" ref="G75:P75" si="29">SUM(G69:G74)</f>
        <v>16602.95</v>
      </c>
      <c r="H75" s="37">
        <f t="shared" si="29"/>
        <v>17586.400000000001</v>
      </c>
      <c r="I75" s="37">
        <f t="shared" si="29"/>
        <v>6389.24</v>
      </c>
      <c r="J75" s="37">
        <f t="shared" si="29"/>
        <v>40578.590000000004</v>
      </c>
      <c r="K75" s="37">
        <f t="shared" si="29"/>
        <v>537921.41</v>
      </c>
      <c r="L75" s="37">
        <f t="shared" si="29"/>
        <v>65987.01979166668</v>
      </c>
      <c r="M75" s="37">
        <f t="shared" si="29"/>
        <v>0</v>
      </c>
      <c r="N75" s="37">
        <f t="shared" si="29"/>
        <v>16050</v>
      </c>
      <c r="O75" s="37">
        <f t="shared" si="29"/>
        <v>122615.60979166668</v>
      </c>
      <c r="P75" s="37">
        <f t="shared" si="29"/>
        <v>455884.39020833338</v>
      </c>
    </row>
    <row r="76" spans="1:17" s="53" customFormat="1" ht="30" customHeight="1" thickBot="1" x14ac:dyDescent="0.3">
      <c r="A76" s="292" t="s">
        <v>158</v>
      </c>
      <c r="B76" s="293"/>
      <c r="C76" s="293"/>
      <c r="D76" s="212"/>
      <c r="E76" s="212"/>
      <c r="F76" s="212"/>
      <c r="G76" s="212"/>
      <c r="H76" s="212"/>
      <c r="I76" s="212"/>
      <c r="J76" s="212"/>
      <c r="K76" s="212"/>
      <c r="L76" s="212"/>
      <c r="M76" s="212"/>
      <c r="N76" s="245"/>
      <c r="O76" s="212"/>
      <c r="P76" s="212"/>
      <c r="Q76" s="39"/>
    </row>
    <row r="77" spans="1:17" s="53" customFormat="1" ht="30" customHeight="1" x14ac:dyDescent="0.25">
      <c r="A77" s="75">
        <f>+A74+1</f>
        <v>42</v>
      </c>
      <c r="B77" s="76" t="s">
        <v>62</v>
      </c>
      <c r="C77" s="75" t="s">
        <v>421</v>
      </c>
      <c r="D77" s="85" t="s">
        <v>185</v>
      </c>
      <c r="E77" s="81" t="s">
        <v>122</v>
      </c>
      <c r="F77" s="77">
        <v>138000</v>
      </c>
      <c r="G77" s="82">
        <f>F77*2.87%</f>
        <v>3960.6</v>
      </c>
      <c r="H77" s="82">
        <f>+F77*3.04%</f>
        <v>4195.2</v>
      </c>
      <c r="I77" s="77"/>
      <c r="J77" s="77">
        <f>+G77+H77+I77</f>
        <v>8155.7999999999993</v>
      </c>
      <c r="K77" s="77">
        <f>+F77-J77</f>
        <v>129844.2</v>
      </c>
      <c r="L77" s="77">
        <f>+IF(K77*12&lt;=416220.01,0,IF(K77*12&lt;=624329.01,(((K77*12-416220.01)*0.15)/12),IF((K77*12&lt;=867123.01),(31216+0.2*(K77*12-624329.01))/12,((79776+0.25*(K77*12-867123.01))/12))))</f>
        <v>21043.987291666665</v>
      </c>
      <c r="M77" s="77"/>
      <c r="N77" s="84">
        <v>14564.03</v>
      </c>
      <c r="O77" s="107">
        <f>+N77+I77+H77+G77+L77</f>
        <v>43763.817291666666</v>
      </c>
      <c r="P77" s="111">
        <f>+F77-O77</f>
        <v>94236.182708333334</v>
      </c>
      <c r="Q77" s="39"/>
    </row>
    <row r="78" spans="1:17" s="39" customFormat="1" ht="30" customHeight="1" x14ac:dyDescent="0.25">
      <c r="A78" s="80">
        <f>+A77+1</f>
        <v>43</v>
      </c>
      <c r="B78" s="108" t="s">
        <v>61</v>
      </c>
      <c r="C78" s="36" t="s">
        <v>421</v>
      </c>
      <c r="D78" s="109" t="s">
        <v>94</v>
      </c>
      <c r="E78" s="108" t="s">
        <v>121</v>
      </c>
      <c r="F78" s="110">
        <v>60000</v>
      </c>
      <c r="G78" s="110">
        <f>F78*2.87%</f>
        <v>1722</v>
      </c>
      <c r="H78" s="82">
        <f>+F78*3.04%</f>
        <v>1824</v>
      </c>
      <c r="I78" s="82"/>
      <c r="J78" s="77">
        <f>+G78+H78+I78</f>
        <v>3546</v>
      </c>
      <c r="K78" s="77">
        <f>+F78-J78</f>
        <v>56454</v>
      </c>
      <c r="L78" s="77">
        <f>+IF(K78*12&lt;=416220.01,0,IF(K78*12&lt;=624329.01,(((K78*12-416220.01)*0.15)/12),IF((K78*12&lt;=867123.01),(31216+0.2*(K78*12-624329.01))/12,((79776+0.25*(K78*12-867123.01))/12))))-M78</f>
        <v>3486.6498333333329</v>
      </c>
      <c r="M78" s="77"/>
      <c r="N78" s="78">
        <v>125</v>
      </c>
      <c r="O78" s="107">
        <f>+N78+I78+H78+G78+L78</f>
        <v>7157.6498333333329</v>
      </c>
      <c r="P78" s="78">
        <f>+F78-O78</f>
        <v>52842.350166666671</v>
      </c>
    </row>
    <row r="79" spans="1:17" s="40" customFormat="1" ht="30" customHeight="1" x14ac:dyDescent="0.25">
      <c r="A79" s="206" t="s">
        <v>125</v>
      </c>
      <c r="B79" s="207"/>
      <c r="C79" s="207"/>
      <c r="D79" s="207"/>
      <c r="E79" s="208"/>
      <c r="F79" s="37">
        <f>SUM(F77:F78)</f>
        <v>198000</v>
      </c>
      <c r="G79" s="37">
        <f t="shared" ref="G79:P79" si="30">SUM(G77:G78)</f>
        <v>5682.6</v>
      </c>
      <c r="H79" s="37">
        <f t="shared" si="30"/>
        <v>6019.2</v>
      </c>
      <c r="I79" s="37">
        <f t="shared" si="30"/>
        <v>0</v>
      </c>
      <c r="J79" s="37">
        <f t="shared" si="30"/>
        <v>11701.8</v>
      </c>
      <c r="K79" s="37">
        <f t="shared" si="30"/>
        <v>186298.2</v>
      </c>
      <c r="L79" s="37">
        <f t="shared" si="30"/>
        <v>24530.637124999997</v>
      </c>
      <c r="M79" s="37">
        <f t="shared" si="30"/>
        <v>0</v>
      </c>
      <c r="N79" s="37">
        <f t="shared" si="30"/>
        <v>14689.03</v>
      </c>
      <c r="O79" s="37">
        <f t="shared" si="30"/>
        <v>50921.467124999996</v>
      </c>
      <c r="P79" s="37">
        <f t="shared" si="30"/>
        <v>147078.532875</v>
      </c>
    </row>
    <row r="80" spans="1:17" s="39" customFormat="1" ht="30" customHeight="1" thickBot="1" x14ac:dyDescent="0.3">
      <c r="A80" s="44"/>
      <c r="B80" s="42"/>
      <c r="C80" s="44"/>
      <c r="D80" s="42"/>
      <c r="E80" s="42"/>
    </row>
    <row r="81" spans="1:60" s="39" customFormat="1" ht="30" customHeight="1" thickBot="1" x14ac:dyDescent="0.3">
      <c r="A81" s="292" t="s">
        <v>159</v>
      </c>
      <c r="B81" s="293"/>
      <c r="C81" s="293"/>
      <c r="D81" s="293"/>
      <c r="E81" s="212"/>
      <c r="F81" s="212"/>
      <c r="G81" s="212"/>
      <c r="H81" s="212"/>
      <c r="I81" s="212"/>
      <c r="J81" s="212"/>
      <c r="K81" s="212"/>
      <c r="L81" s="212"/>
      <c r="M81" s="212"/>
      <c r="N81" s="212"/>
      <c r="O81" s="212"/>
      <c r="P81" s="212"/>
    </row>
    <row r="82" spans="1:60" s="39" customFormat="1" ht="30" customHeight="1" x14ac:dyDescent="0.25">
      <c r="A82" s="80">
        <f>+A78+1</f>
        <v>44</v>
      </c>
      <c r="B82" s="108" t="s">
        <v>275</v>
      </c>
      <c r="C82" s="36" t="s">
        <v>421</v>
      </c>
      <c r="D82" s="108" t="s">
        <v>51</v>
      </c>
      <c r="E82" s="108" t="s">
        <v>121</v>
      </c>
      <c r="F82" s="110">
        <v>90000</v>
      </c>
      <c r="G82" s="110">
        <f>F82*2.87%</f>
        <v>2583</v>
      </c>
      <c r="H82" s="110">
        <f>+F82*3.04%</f>
        <v>2736</v>
      </c>
      <c r="I82" s="110">
        <v>1597.31</v>
      </c>
      <c r="J82" s="77">
        <f>+G82+H82+I82</f>
        <v>6916.3099999999995</v>
      </c>
      <c r="K82" s="77">
        <f>+F82-J82</f>
        <v>83083.69</v>
      </c>
      <c r="L82" s="77">
        <f>+IF(K82*12&lt;=416220.01,0,IF(K82*12&lt;=624329.01,(((K82*12-416220.01)*0.15)/12),IF((K82*12&lt;=867123.01),(31216+0.2*(K82*12-624329.01))/12,((79776+0.25*(K82*12-867123.01))/12))))-M82</f>
        <v>9353.8597916666677</v>
      </c>
      <c r="M82" s="77"/>
      <c r="N82" s="84">
        <v>3598.84</v>
      </c>
      <c r="O82" s="107">
        <f>+N82+I82+H82+G82+L82</f>
        <v>19869.009791666667</v>
      </c>
      <c r="P82" s="78">
        <f>+F82-O82</f>
        <v>70130.990208333329</v>
      </c>
    </row>
    <row r="83" spans="1:60" s="39" customFormat="1" ht="30" customHeight="1" x14ac:dyDescent="0.25">
      <c r="A83" s="80">
        <f>+A82+1</f>
        <v>45</v>
      </c>
      <c r="B83" s="108" t="s">
        <v>572</v>
      </c>
      <c r="C83" s="36" t="s">
        <v>421</v>
      </c>
      <c r="D83" s="108" t="s">
        <v>51</v>
      </c>
      <c r="E83" s="108" t="s">
        <v>121</v>
      </c>
      <c r="F83" s="110">
        <v>102000</v>
      </c>
      <c r="G83" s="77">
        <f>F83*2.87%</f>
        <v>2927.4</v>
      </c>
      <c r="H83" s="77">
        <f>+F83*3.04%</f>
        <v>3100.8</v>
      </c>
      <c r="I83" s="110">
        <v>1597.31</v>
      </c>
      <c r="J83" s="77">
        <f>+G83+H83+I83</f>
        <v>7625.51</v>
      </c>
      <c r="K83" s="77">
        <f>+F83-J83</f>
        <v>94374.49</v>
      </c>
      <c r="L83" s="77">
        <f>+IF(K83*12&lt;=416220.01,0,IF(K83*12&lt;=624329.01,(((K83*12-416220.01)*0.15)/12),IF((K83*12&lt;=867123.01),(31216+0.2*(K83*12-624329.01))/12,((79776+0.25*(K83*12-867123.01))/12))))-M83</f>
        <v>12176.559791666668</v>
      </c>
      <c r="M83" s="77">
        <v>0</v>
      </c>
      <c r="N83" s="78">
        <v>25</v>
      </c>
      <c r="O83" s="107">
        <f>+N83+I83+H83+G83+L83</f>
        <v>19827.069791666669</v>
      </c>
      <c r="P83" s="78">
        <f>+F83-O83</f>
        <v>82172.930208333331</v>
      </c>
    </row>
    <row r="84" spans="1:60" s="39" customFormat="1" ht="30" customHeight="1" x14ac:dyDescent="0.25">
      <c r="A84" s="80">
        <f>+A83+1</f>
        <v>46</v>
      </c>
      <c r="B84" s="108" t="s">
        <v>472</v>
      </c>
      <c r="C84" s="36" t="s">
        <v>420</v>
      </c>
      <c r="D84" s="108" t="s">
        <v>51</v>
      </c>
      <c r="E84" s="108" t="s">
        <v>667</v>
      </c>
      <c r="F84" s="110">
        <v>70000</v>
      </c>
      <c r="G84" s="77">
        <f>F84*2.87%</f>
        <v>2009</v>
      </c>
      <c r="H84" s="77">
        <f>+F84*3.04%</f>
        <v>2128</v>
      </c>
      <c r="I84" s="77"/>
      <c r="J84" s="77">
        <f>+G84+H84+I84</f>
        <v>4137</v>
      </c>
      <c r="K84" s="77">
        <f>+F84-J84</f>
        <v>65863</v>
      </c>
      <c r="L84" s="77">
        <f>+IF(K84*12&lt;=416220.01,0,IF(K84*12&lt;=624329.01,(((K84*12-416220.01)*0.15)/12),IF((K84*12&lt;=867123.01),(31216+0.2*(K84*12-624329.01))/12,((79776+0.25*(K84*12-867123.01))/12))))-M84</f>
        <v>5368.4498333333331</v>
      </c>
      <c r="M84" s="77"/>
      <c r="N84" s="78">
        <v>125</v>
      </c>
      <c r="O84" s="107">
        <f>+N84+I84+H84+G84+L84</f>
        <v>9630.4498333333322</v>
      </c>
      <c r="P84" s="78">
        <f>+F84-O84</f>
        <v>60369.550166666668</v>
      </c>
    </row>
    <row r="85" spans="1:60" s="39" customFormat="1" ht="25.5" customHeight="1" x14ac:dyDescent="0.25">
      <c r="A85" s="206" t="s">
        <v>125</v>
      </c>
      <c r="B85" s="207"/>
      <c r="C85" s="207"/>
      <c r="D85" s="207"/>
      <c r="E85" s="208"/>
      <c r="F85" s="37">
        <f>SUM(F82:F84)</f>
        <v>262000</v>
      </c>
      <c r="G85" s="37">
        <f t="shared" ref="G85:P85" si="31">SUM(G82:G84)</f>
        <v>7519.4</v>
      </c>
      <c r="H85" s="37">
        <f t="shared" si="31"/>
        <v>7964.8</v>
      </c>
      <c r="I85" s="37">
        <f t="shared" si="31"/>
        <v>3194.62</v>
      </c>
      <c r="J85" s="37">
        <f t="shared" si="31"/>
        <v>18678.82</v>
      </c>
      <c r="K85" s="37">
        <f t="shared" si="31"/>
        <v>243321.18</v>
      </c>
      <c r="L85" s="37">
        <f t="shared" si="31"/>
        <v>26898.869416666668</v>
      </c>
      <c r="M85" s="37">
        <f t="shared" si="31"/>
        <v>0</v>
      </c>
      <c r="N85" s="37">
        <f t="shared" si="31"/>
        <v>3748.84</v>
      </c>
      <c r="O85" s="37">
        <f t="shared" si="31"/>
        <v>49326.529416666672</v>
      </c>
      <c r="P85" s="37">
        <f t="shared" si="31"/>
        <v>212673.47058333334</v>
      </c>
    </row>
    <row r="86" spans="1:60" s="39" customFormat="1" ht="30" customHeight="1" thickBot="1" x14ac:dyDescent="0.3">
      <c r="A86" s="44"/>
      <c r="B86" s="42"/>
      <c r="C86" s="44"/>
      <c r="D86" s="43"/>
      <c r="E86" s="42"/>
    </row>
    <row r="87" spans="1:60" s="31" customFormat="1" ht="30" customHeight="1" thickBot="1" x14ac:dyDescent="0.3">
      <c r="A87" s="292" t="s">
        <v>160</v>
      </c>
      <c r="B87" s="293"/>
      <c r="C87" s="293"/>
      <c r="D87" s="293"/>
      <c r="E87" s="212"/>
      <c r="F87" s="212"/>
      <c r="G87" s="212"/>
      <c r="H87" s="212"/>
      <c r="I87" s="212"/>
      <c r="J87" s="212"/>
      <c r="K87" s="212"/>
      <c r="L87" s="212"/>
      <c r="M87" s="212"/>
      <c r="N87" s="212"/>
      <c r="O87" s="212"/>
      <c r="P87" s="212"/>
      <c r="Q87" s="32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  <c r="BH87" s="79"/>
    </row>
    <row r="88" spans="1:60" s="53" customFormat="1" ht="30" customHeight="1" x14ac:dyDescent="0.25">
      <c r="A88" s="75">
        <f>A84+1</f>
        <v>47</v>
      </c>
      <c r="B88" s="164" t="s">
        <v>78</v>
      </c>
      <c r="C88" s="165" t="s">
        <v>421</v>
      </c>
      <c r="D88" s="108" t="s">
        <v>51</v>
      </c>
      <c r="E88" s="108" t="s">
        <v>121</v>
      </c>
      <c r="F88" s="166">
        <v>90000</v>
      </c>
      <c r="G88" s="110">
        <f>F88*2.87%</f>
        <v>2583</v>
      </c>
      <c r="H88" s="82">
        <f>+F88*3.04%</f>
        <v>2736</v>
      </c>
      <c r="I88" s="110">
        <v>1597.31</v>
      </c>
      <c r="J88" s="77">
        <f>+G88+H88+I88</f>
        <v>6916.3099999999995</v>
      </c>
      <c r="K88" s="77">
        <f>+F88-J88</f>
        <v>83083.69</v>
      </c>
      <c r="L88" s="77">
        <f>+IF(K88*12&lt;=416220.01,0,IF(K88*12&lt;=624329.01,(((K88*12-416220.01)*0.15)/12),IF((K88*12&lt;=867123.01),(31216+0.2*(K88*12-624329.01))/12,((79776+0.25*(K88*12-867123.01))/12))))-M88</f>
        <v>9353.8597916666677</v>
      </c>
      <c r="M88" s="77"/>
      <c r="N88" s="84">
        <v>1525</v>
      </c>
      <c r="O88" s="107">
        <f>+N88+I88+H88+G88+L88</f>
        <v>17795.169791666667</v>
      </c>
      <c r="P88" s="78">
        <f>+F88-O88</f>
        <v>72204.830208333326</v>
      </c>
      <c r="Q88" s="39"/>
    </row>
    <row r="89" spans="1:60" s="53" customFormat="1" ht="30" customHeight="1" x14ac:dyDescent="0.25">
      <c r="A89" s="80">
        <f>+A88+1</f>
        <v>48</v>
      </c>
      <c r="B89" s="108" t="s">
        <v>161</v>
      </c>
      <c r="C89" s="36" t="s">
        <v>421</v>
      </c>
      <c r="D89" s="109" t="s">
        <v>51</v>
      </c>
      <c r="E89" s="108" t="s">
        <v>122</v>
      </c>
      <c r="F89" s="110">
        <v>90000</v>
      </c>
      <c r="G89" s="110">
        <f>F89*2.87%</f>
        <v>2583</v>
      </c>
      <c r="H89" s="82">
        <f>+F89*3.04%</f>
        <v>2736</v>
      </c>
      <c r="I89" s="82">
        <v>3194.62</v>
      </c>
      <c r="J89" s="77">
        <f>+G89+H89+I89</f>
        <v>8513.619999999999</v>
      </c>
      <c r="K89" s="77">
        <f>+F89-J89</f>
        <v>81486.38</v>
      </c>
      <c r="L89" s="77">
        <f>+IF(K89*12&lt;=416220.01,0,IF(K89*12&lt;=624329.01,(((K89*12-416220.01)*0.15)/12),IF((K89*12&lt;=867123.01),(31216+0.2*(K89*12-624329.01))/12,((79776+0.25*(K89*12-867123.01))/12))))-M89</f>
        <v>8954.5322916666682</v>
      </c>
      <c r="M89" s="77"/>
      <c r="N89" s="84">
        <v>4478.07</v>
      </c>
      <c r="O89" s="107">
        <f>+N89+I89+H89+G89+L89</f>
        <v>21946.222291666665</v>
      </c>
      <c r="P89" s="78">
        <f>+F89-O89</f>
        <v>68053.777708333335</v>
      </c>
      <c r="Q89" s="39"/>
    </row>
    <row r="90" spans="1:60" s="39" customFormat="1" ht="30" customHeight="1" x14ac:dyDescent="0.25">
      <c r="A90" s="80">
        <f>A89+1</f>
        <v>49</v>
      </c>
      <c r="B90" s="81" t="s">
        <v>265</v>
      </c>
      <c r="C90" s="80" t="s">
        <v>421</v>
      </c>
      <c r="D90" s="85" t="s">
        <v>51</v>
      </c>
      <c r="E90" s="81" t="s">
        <v>121</v>
      </c>
      <c r="F90" s="82">
        <v>90000</v>
      </c>
      <c r="G90" s="82">
        <f>F90*2.87%</f>
        <v>2583</v>
      </c>
      <c r="H90" s="82">
        <f>+F90*3.04%</f>
        <v>2736</v>
      </c>
      <c r="I90" s="110">
        <v>1597.31</v>
      </c>
      <c r="J90" s="77">
        <f>+G90+H90+I90</f>
        <v>6916.3099999999995</v>
      </c>
      <c r="K90" s="77">
        <f>+F90-J90</f>
        <v>83083.69</v>
      </c>
      <c r="L90" s="77">
        <f>+IF(K90*12&lt;=416220.01,0,IF(K90*12&lt;=624329.01,(((K90*12-416220.01)*0.15)/12),IF((K90*12&lt;=867123.01),(31216+0.2*(K90*12-624329.01))/12,((79776+0.25*(K90*12-867123.01))/12))))-M90</f>
        <v>9353.8597916666677</v>
      </c>
      <c r="M90" s="77"/>
      <c r="N90" s="84">
        <v>7883.21</v>
      </c>
      <c r="O90" s="107">
        <f>+N90+I90+H90+G90+L90</f>
        <v>24153.379791666666</v>
      </c>
      <c r="P90" s="78">
        <f>+F90-O90</f>
        <v>65846.620208333334</v>
      </c>
    </row>
    <row r="91" spans="1:60" s="39" customFormat="1" ht="30" customHeight="1" x14ac:dyDescent="0.25">
      <c r="A91" s="206" t="s">
        <v>125</v>
      </c>
      <c r="B91" s="207"/>
      <c r="C91" s="207"/>
      <c r="D91" s="207"/>
      <c r="E91" s="208"/>
      <c r="F91" s="37">
        <f>SUM(F88:F90)</f>
        <v>270000</v>
      </c>
      <c r="G91" s="37">
        <f t="shared" ref="G91:P91" si="32">SUM(G88:G90)</f>
        <v>7749</v>
      </c>
      <c r="H91" s="37">
        <f t="shared" si="32"/>
        <v>8208</v>
      </c>
      <c r="I91" s="37">
        <f t="shared" si="32"/>
        <v>6389.24</v>
      </c>
      <c r="J91" s="37">
        <f t="shared" si="32"/>
        <v>22346.239999999998</v>
      </c>
      <c r="K91" s="37">
        <f t="shared" si="32"/>
        <v>247653.76000000001</v>
      </c>
      <c r="L91" s="37">
        <f t="shared" si="32"/>
        <v>27662.251875000002</v>
      </c>
      <c r="M91" s="37">
        <f t="shared" si="32"/>
        <v>0</v>
      </c>
      <c r="N91" s="37">
        <f t="shared" si="32"/>
        <v>13886.279999999999</v>
      </c>
      <c r="O91" s="37">
        <f t="shared" si="32"/>
        <v>63894.771874999999</v>
      </c>
      <c r="P91" s="37">
        <f t="shared" si="32"/>
        <v>206105.22812499999</v>
      </c>
    </row>
    <row r="92" spans="1:60" s="39" customFormat="1" ht="30" customHeight="1" thickBot="1" x14ac:dyDescent="0.3">
      <c r="A92" s="44"/>
      <c r="B92" s="42"/>
      <c r="C92" s="44"/>
      <c r="D92" s="43"/>
      <c r="E92" s="42"/>
    </row>
    <row r="93" spans="1:60" s="87" customFormat="1" ht="30" customHeight="1" thickBot="1" x14ac:dyDescent="0.3">
      <c r="A93" s="292" t="s">
        <v>162</v>
      </c>
      <c r="B93" s="293"/>
      <c r="C93" s="293"/>
      <c r="D93" s="293"/>
      <c r="E93" s="212"/>
      <c r="F93" s="212"/>
      <c r="G93" s="212"/>
      <c r="H93" s="212"/>
      <c r="I93" s="212"/>
      <c r="J93" s="212"/>
      <c r="K93" s="212"/>
      <c r="L93" s="212"/>
      <c r="M93" s="212"/>
      <c r="N93" s="212"/>
      <c r="O93" s="212"/>
      <c r="P93" s="212"/>
      <c r="Q93" s="47"/>
    </row>
    <row r="94" spans="1:60" s="53" customFormat="1" ht="30" customHeight="1" x14ac:dyDescent="0.25">
      <c r="A94" s="75">
        <f>+A90+1</f>
        <v>50</v>
      </c>
      <c r="B94" s="108" t="s">
        <v>254</v>
      </c>
      <c r="C94" s="36" t="s">
        <v>421</v>
      </c>
      <c r="D94" s="109" t="s">
        <v>51</v>
      </c>
      <c r="E94" s="108" t="s">
        <v>121</v>
      </c>
      <c r="F94" s="110">
        <v>90000</v>
      </c>
      <c r="G94" s="110">
        <f>F94*2.87%</f>
        <v>2583</v>
      </c>
      <c r="H94" s="110">
        <f>+F94*3.04%</f>
        <v>2736</v>
      </c>
      <c r="I94" s="110"/>
      <c r="J94" s="77">
        <f>+G94+H94+I94</f>
        <v>5319</v>
      </c>
      <c r="K94" s="77">
        <f>+F94-J94</f>
        <v>84681</v>
      </c>
      <c r="L94" s="77">
        <f>+IF(K94*12&lt;=416220.01,0,IF(K94*12&lt;=624329.01,(((K94*12-416220.01)*0.15)/12),IF((K94*12&lt;=867123.01),(31216+0.2*(K94*12-624329.01))/12,((79776+0.25*(K94*12-867123.01))/12))))-M94</f>
        <v>9753.1872916666671</v>
      </c>
      <c r="M94" s="77"/>
      <c r="N94" s="84">
        <v>15839.83</v>
      </c>
      <c r="O94" s="107">
        <f>+N94+I94+H94+G94+L94</f>
        <v>30912.017291666671</v>
      </c>
      <c r="P94" s="78">
        <f>+F94-O94</f>
        <v>59087.982708333329</v>
      </c>
      <c r="Q94" s="39"/>
    </row>
    <row r="95" spans="1:60" s="86" customFormat="1" ht="30" customHeight="1" x14ac:dyDescent="0.25">
      <c r="A95" s="80">
        <f>+A94+1</f>
        <v>51</v>
      </c>
      <c r="B95" s="81" t="s">
        <v>252</v>
      </c>
      <c r="C95" s="80" t="s">
        <v>421</v>
      </c>
      <c r="D95" s="85" t="s">
        <v>51</v>
      </c>
      <c r="E95" s="81" t="s">
        <v>121</v>
      </c>
      <c r="F95" s="82">
        <v>85000</v>
      </c>
      <c r="G95" s="82">
        <v>2439.5</v>
      </c>
      <c r="H95" s="82">
        <v>2584</v>
      </c>
      <c r="I95" s="82"/>
      <c r="J95" s="77">
        <f>+G95+H95+I95</f>
        <v>5023.5</v>
      </c>
      <c r="K95" s="77">
        <f>+F95-J95</f>
        <v>79976.5</v>
      </c>
      <c r="L95" s="77">
        <f>+IF(K95*12&lt;=416220.01,0,IF(K95*12&lt;=624329.01,(((K95*12-416220.01)*0.15)/12),IF((K95*12&lt;=867123.01),(31216+0.2*(K95*12-624329.01))/12,((79776+0.25*(K95*12-867123.01))/12))))-M95</f>
        <v>8577.0622916666671</v>
      </c>
      <c r="M95" s="77"/>
      <c r="N95" s="84">
        <v>2044.96</v>
      </c>
      <c r="O95" s="107">
        <f>+N95+I95+H95+G95+L95</f>
        <v>15645.522291666668</v>
      </c>
      <c r="P95" s="78">
        <f>+F95-O95</f>
        <v>69354.477708333332</v>
      </c>
      <c r="Q95" s="40"/>
    </row>
    <row r="96" spans="1:60" s="39" customFormat="1" ht="30" customHeight="1" x14ac:dyDescent="0.25">
      <c r="A96" s="75">
        <f>+A95+1</f>
        <v>52</v>
      </c>
      <c r="B96" s="108" t="s">
        <v>80</v>
      </c>
      <c r="C96" s="36" t="s">
        <v>420</v>
      </c>
      <c r="D96" s="109" t="s">
        <v>51</v>
      </c>
      <c r="E96" s="108" t="s">
        <v>121</v>
      </c>
      <c r="F96" s="110">
        <v>80000</v>
      </c>
      <c r="G96" s="110">
        <f>F96*2.87%</f>
        <v>2296</v>
      </c>
      <c r="H96" s="110">
        <f>+F96*3.04%</f>
        <v>2432</v>
      </c>
      <c r="I96" s="110"/>
      <c r="J96" s="77">
        <f>+G96+H96+I96</f>
        <v>4728</v>
      </c>
      <c r="K96" s="77">
        <f>+F96-J96</f>
        <v>75272</v>
      </c>
      <c r="L96" s="77">
        <f>+IF(K96*12&lt;=416220.01,0,IF(K96*12&lt;=624329.01,(((K96*12-416220.01)*0.15)/12),IF((K96*12&lt;=867123.01),(31216+0.2*(K96*12-624329.01))/12,((79776+0.25*(K96*12-867123.01))/12))))-M96</f>
        <v>7400.9372916666662</v>
      </c>
      <c r="M96" s="77"/>
      <c r="N96" s="84">
        <f>1922.84+25</f>
        <v>1947.84</v>
      </c>
      <c r="O96" s="107">
        <f>+N96+I96+H96+G96+L96</f>
        <v>14076.777291666665</v>
      </c>
      <c r="P96" s="78">
        <f>+F96-O96</f>
        <v>65923.222708333342</v>
      </c>
    </row>
    <row r="97" spans="1:60" ht="30" customHeight="1" x14ac:dyDescent="0.25">
      <c r="A97" s="75">
        <f>+A96+1</f>
        <v>53</v>
      </c>
      <c r="B97" s="108" t="s">
        <v>89</v>
      </c>
      <c r="C97" s="36" t="s">
        <v>421</v>
      </c>
      <c r="D97" s="109" t="s">
        <v>51</v>
      </c>
      <c r="E97" s="108" t="s">
        <v>122</v>
      </c>
      <c r="F97" s="166">
        <v>80000</v>
      </c>
      <c r="G97" s="110">
        <f>F97*2.87%</f>
        <v>2296</v>
      </c>
      <c r="H97" s="110">
        <f>+F97*3.04%</f>
        <v>2432</v>
      </c>
      <c r="I97" s="110">
        <v>1597.31</v>
      </c>
      <c r="J97" s="77">
        <f>+G97+H97+I97</f>
        <v>6325.3099999999995</v>
      </c>
      <c r="K97" s="77">
        <f>+F97-J97</f>
        <v>73674.69</v>
      </c>
      <c r="L97" s="77">
        <f>+IF(K97*12&lt;=416220.01,0,IF(K97*12&lt;=624329.01,(((K97*12-416220.01)*0.15)/12),IF((K97*12&lt;=867123.01),(31216+0.2*(K97*12-624329.01))/12,((79776+0.25*(K97*12-867123.01))/12))))-M97</f>
        <v>7001.6097916666668</v>
      </c>
      <c r="M97" s="77"/>
      <c r="N97" s="84">
        <v>13010.98</v>
      </c>
      <c r="O97" s="107">
        <f>+N97+I97+H97+G97+L97</f>
        <v>26337.899791666667</v>
      </c>
      <c r="P97" s="78">
        <f>+F97-O97</f>
        <v>53662.10020833333</v>
      </c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</row>
    <row r="98" spans="1:60" s="39" customFormat="1" ht="30" customHeight="1" x14ac:dyDescent="0.25">
      <c r="A98" s="206" t="s">
        <v>125</v>
      </c>
      <c r="B98" s="207"/>
      <c r="C98" s="207"/>
      <c r="D98" s="207"/>
      <c r="E98" s="208"/>
      <c r="F98" s="37">
        <f>SUM(F94:F97)</f>
        <v>335000</v>
      </c>
      <c r="G98" s="37">
        <f t="shared" ref="G98:P98" si="33">SUM(G94:G97)</f>
        <v>9614.5</v>
      </c>
      <c r="H98" s="37">
        <f t="shared" si="33"/>
        <v>10184</v>
      </c>
      <c r="I98" s="37">
        <f t="shared" si="33"/>
        <v>1597.31</v>
      </c>
      <c r="J98" s="37">
        <f t="shared" si="33"/>
        <v>21395.809999999998</v>
      </c>
      <c r="K98" s="37">
        <f t="shared" si="33"/>
        <v>313604.19</v>
      </c>
      <c r="L98" s="37">
        <f t="shared" si="33"/>
        <v>32732.796666666665</v>
      </c>
      <c r="M98" s="37">
        <f t="shared" si="33"/>
        <v>0</v>
      </c>
      <c r="N98" s="37">
        <f t="shared" si="33"/>
        <v>32843.61</v>
      </c>
      <c r="O98" s="37">
        <f t="shared" si="33"/>
        <v>86972.216666666674</v>
      </c>
      <c r="P98" s="37">
        <f t="shared" si="33"/>
        <v>248027.78333333333</v>
      </c>
    </row>
    <row r="99" spans="1:60" s="53" customFormat="1" ht="30" customHeight="1" thickBot="1" x14ac:dyDescent="0.3">
      <c r="A99" s="44"/>
      <c r="B99" s="42"/>
      <c r="C99" s="44"/>
      <c r="D99" s="42"/>
      <c r="E99" s="42"/>
      <c r="F99" s="39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9"/>
    </row>
    <row r="100" spans="1:60" s="53" customFormat="1" ht="30" customHeight="1" thickBot="1" x14ac:dyDescent="0.3">
      <c r="A100" s="292" t="s">
        <v>163</v>
      </c>
      <c r="B100" s="293"/>
      <c r="C100" s="293"/>
      <c r="D100" s="293"/>
      <c r="E100" s="293"/>
      <c r="F100" s="212"/>
      <c r="G100" s="212"/>
      <c r="H100" s="212"/>
      <c r="I100" s="212"/>
      <c r="J100" s="212"/>
      <c r="K100" s="212"/>
      <c r="L100" s="212"/>
      <c r="M100" s="212"/>
      <c r="N100" s="212"/>
      <c r="O100" s="212"/>
      <c r="P100" s="212"/>
      <c r="Q100" s="39"/>
    </row>
    <row r="101" spans="1:60" s="39" customFormat="1" ht="30" customHeight="1" x14ac:dyDescent="0.25">
      <c r="A101" s="80">
        <f>+A97+1</f>
        <v>54</v>
      </c>
      <c r="B101" s="81" t="s">
        <v>52</v>
      </c>
      <c r="C101" s="80" t="s">
        <v>421</v>
      </c>
      <c r="D101" s="85" t="s">
        <v>51</v>
      </c>
      <c r="E101" s="81" t="s">
        <v>121</v>
      </c>
      <c r="F101" s="82">
        <v>102000</v>
      </c>
      <c r="G101" s="82">
        <f>F101*2.87%</f>
        <v>2927.4</v>
      </c>
      <c r="H101" s="82">
        <f>+F101*3.04%</f>
        <v>3100.8</v>
      </c>
      <c r="I101" s="82"/>
      <c r="J101" s="77">
        <f>+G101+H101+I101</f>
        <v>6028.2000000000007</v>
      </c>
      <c r="K101" s="77">
        <f>+F101-J101</f>
        <v>95971.8</v>
      </c>
      <c r="L101" s="77">
        <f>+IF(K101*12&lt;=416220.01,0,IF(K101*12&lt;=624329.01,(((K101*12-416220.01)*0.15)/12),IF((K101*12&lt;=867123.01),(31216+0.2*(K101*12-624329.01))/12,((79776+0.25*(K101*12-867123.01))/12))))-M101</f>
        <v>12575.887291666668</v>
      </c>
      <c r="M101" s="77"/>
      <c r="N101" s="84">
        <v>25</v>
      </c>
      <c r="O101" s="107">
        <f>+N101+I101+H101+G101+L101</f>
        <v>18629.08729166667</v>
      </c>
      <c r="P101" s="78">
        <f>+F101-O101</f>
        <v>83370.91270833333</v>
      </c>
    </row>
    <row r="102" spans="1:60" s="53" customFormat="1" ht="30" customHeight="1" thickBot="1" x14ac:dyDescent="0.3">
      <c r="A102" s="206" t="s">
        <v>125</v>
      </c>
      <c r="B102" s="207"/>
      <c r="C102" s="207"/>
      <c r="D102" s="207"/>
      <c r="E102" s="208"/>
      <c r="F102" s="37">
        <f>SUM(F101)</f>
        <v>102000</v>
      </c>
      <c r="G102" s="37">
        <f t="shared" ref="G102:P102" si="34">SUM(G101)</f>
        <v>2927.4</v>
      </c>
      <c r="H102" s="37">
        <f t="shared" si="34"/>
        <v>3100.8</v>
      </c>
      <c r="I102" s="37">
        <f t="shared" si="34"/>
        <v>0</v>
      </c>
      <c r="J102" s="37">
        <f t="shared" si="34"/>
        <v>6028.2000000000007</v>
      </c>
      <c r="K102" s="37">
        <f t="shared" si="34"/>
        <v>95971.8</v>
      </c>
      <c r="L102" s="37">
        <f t="shared" si="34"/>
        <v>12575.887291666668</v>
      </c>
      <c r="M102" s="37">
        <f t="shared" si="34"/>
        <v>0</v>
      </c>
      <c r="N102" s="37">
        <f t="shared" si="34"/>
        <v>25</v>
      </c>
      <c r="O102" s="37">
        <f t="shared" si="34"/>
        <v>18629.08729166667</v>
      </c>
      <c r="P102" s="37">
        <f t="shared" si="34"/>
        <v>83370.91270833333</v>
      </c>
      <c r="Q102" s="39"/>
    </row>
    <row r="103" spans="1:60" s="53" customFormat="1" ht="30" customHeight="1" thickBot="1" x14ac:dyDescent="0.3">
      <c r="A103" s="292" t="s">
        <v>164</v>
      </c>
      <c r="B103" s="293"/>
      <c r="C103" s="293"/>
      <c r="D103" s="293"/>
      <c r="E103" s="293"/>
      <c r="F103" s="212"/>
      <c r="G103" s="212"/>
      <c r="H103" s="212"/>
      <c r="I103" s="212"/>
      <c r="J103" s="212"/>
      <c r="K103" s="212"/>
      <c r="L103" s="212"/>
      <c r="M103" s="212"/>
      <c r="N103" s="212"/>
      <c r="O103" s="212"/>
      <c r="P103" s="212"/>
      <c r="Q103" s="39"/>
    </row>
    <row r="104" spans="1:60" s="39" customFormat="1" ht="30" customHeight="1" x14ac:dyDescent="0.25">
      <c r="A104" s="75">
        <f>A101+1</f>
        <v>55</v>
      </c>
      <c r="B104" s="76" t="s">
        <v>65</v>
      </c>
      <c r="C104" s="75" t="s">
        <v>421</v>
      </c>
      <c r="D104" s="88" t="s">
        <v>187</v>
      </c>
      <c r="E104" s="81" t="s">
        <v>122</v>
      </c>
      <c r="F104" s="77">
        <v>155250</v>
      </c>
      <c r="G104" s="77">
        <v>4455.6750000000002</v>
      </c>
      <c r="H104" s="82">
        <f>+F104*3.04%</f>
        <v>4719.6000000000004</v>
      </c>
      <c r="I104" s="110">
        <v>1597.31</v>
      </c>
      <c r="J104" s="77">
        <f>+G104+H104+I104</f>
        <v>10772.585000000001</v>
      </c>
      <c r="K104" s="77">
        <f>+F104-J104</f>
        <v>144477.41500000001</v>
      </c>
      <c r="L104" s="77">
        <f>+IF(K104*12&lt;=416220.01,0,IF(K104*12&lt;=624329.01,(((K104*12-416220.01)*0.15)/12),IF((K104*12&lt;=867123.01),(31216+0.2*(K104*12-624329.01))/12,((79776+0.25*(K104*12-867123.01))/12))))-M104</f>
        <v>24702.291041666667</v>
      </c>
      <c r="M104" s="77"/>
      <c r="N104" s="84">
        <v>10125</v>
      </c>
      <c r="O104" s="107">
        <f>+N104+I104+H104+G104+L104</f>
        <v>45599.876041666663</v>
      </c>
      <c r="P104" s="78">
        <f>+F104-O104</f>
        <v>109650.12395833334</v>
      </c>
    </row>
    <row r="105" spans="1:60" customFormat="1" ht="30" customHeight="1" x14ac:dyDescent="0.25">
      <c r="A105" s="80">
        <f>A104+1</f>
        <v>56</v>
      </c>
      <c r="B105" s="108" t="s">
        <v>256</v>
      </c>
      <c r="C105" s="36" t="s">
        <v>421</v>
      </c>
      <c r="D105" s="108" t="s">
        <v>66</v>
      </c>
      <c r="E105" s="108" t="s">
        <v>122</v>
      </c>
      <c r="F105" s="110">
        <v>60000</v>
      </c>
      <c r="G105" s="82">
        <f>F105*2.87%</f>
        <v>1722</v>
      </c>
      <c r="H105" s="82">
        <f>+F105*3.04%</f>
        <v>1824</v>
      </c>
      <c r="I105" s="82"/>
      <c r="J105" s="77">
        <f>+G105+H105+I105</f>
        <v>3546</v>
      </c>
      <c r="K105" s="77">
        <f>+F105-J105</f>
        <v>56454</v>
      </c>
      <c r="L105" s="77">
        <f>+IF(K105*12&lt;=416220.01,0,IF(K105*12&lt;=624329.01,(((K105*12-416220.01)*0.15)/12),IF((K105*12&lt;=867123.01),(31216+0.2*(K105*12-624329.01))/12,((79776+0.25*(K105*12-867123.01))/12))))-M105</f>
        <v>3486.6498333333329</v>
      </c>
      <c r="M105" s="77"/>
      <c r="N105" s="78">
        <v>125</v>
      </c>
      <c r="O105" s="107">
        <f>+N105+I105+H105+G105+L105</f>
        <v>7157.6498333333329</v>
      </c>
      <c r="P105" s="78">
        <f>+F105-O105</f>
        <v>52842.350166666671</v>
      </c>
      <c r="Q105" s="32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79"/>
      <c r="AZ105" s="79"/>
      <c r="BA105" s="79"/>
      <c r="BB105" s="79"/>
      <c r="BC105" s="79"/>
      <c r="BD105" s="79"/>
      <c r="BE105" s="79"/>
      <c r="BF105" s="79"/>
      <c r="BG105" s="79"/>
      <c r="BH105" s="79"/>
    </row>
    <row r="106" spans="1:60" s="39" customFormat="1" ht="30" customHeight="1" x14ac:dyDescent="0.25">
      <c r="A106" s="206" t="s">
        <v>125</v>
      </c>
      <c r="B106" s="207"/>
      <c r="C106" s="207"/>
      <c r="D106" s="207"/>
      <c r="E106" s="208"/>
      <c r="F106" s="37">
        <f>SUM(F104:F105)</f>
        <v>215250</v>
      </c>
      <c r="G106" s="37">
        <f t="shared" ref="G106:P106" si="35">SUM(G104:G105)</f>
        <v>6177.6750000000002</v>
      </c>
      <c r="H106" s="37">
        <f t="shared" si="35"/>
        <v>6543.6</v>
      </c>
      <c r="I106" s="37">
        <f t="shared" si="35"/>
        <v>1597.31</v>
      </c>
      <c r="J106" s="37">
        <f t="shared" si="35"/>
        <v>14318.585000000001</v>
      </c>
      <c r="K106" s="37">
        <f t="shared" si="35"/>
        <v>200931.41500000001</v>
      </c>
      <c r="L106" s="37">
        <f t="shared" si="35"/>
        <v>28188.940875</v>
      </c>
      <c r="M106" s="37">
        <f t="shared" si="35"/>
        <v>0</v>
      </c>
      <c r="N106" s="37">
        <f t="shared" si="35"/>
        <v>10250</v>
      </c>
      <c r="O106" s="37">
        <f t="shared" si="35"/>
        <v>52757.525874999992</v>
      </c>
      <c r="P106" s="37">
        <f t="shared" si="35"/>
        <v>162492.47412500001</v>
      </c>
    </row>
    <row r="107" spans="1:60" s="86" customFormat="1" ht="30" customHeight="1" thickBot="1" x14ac:dyDescent="0.3">
      <c r="A107" s="79"/>
      <c r="B107" s="79"/>
      <c r="C107" s="286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40"/>
    </row>
    <row r="108" spans="1:60" s="53" customFormat="1" ht="30" customHeight="1" thickBot="1" x14ac:dyDescent="0.3">
      <c r="A108" s="292" t="s">
        <v>166</v>
      </c>
      <c r="B108" s="293"/>
      <c r="C108" s="293"/>
      <c r="D108" s="293"/>
      <c r="E108" s="293"/>
      <c r="F108" s="212"/>
      <c r="G108" s="212"/>
      <c r="H108" s="212"/>
      <c r="I108" s="212"/>
      <c r="J108" s="212"/>
      <c r="K108" s="212"/>
      <c r="L108" s="212"/>
      <c r="M108" s="212"/>
      <c r="N108" s="212"/>
      <c r="O108" s="212"/>
      <c r="P108" s="212"/>
      <c r="Q108" s="39"/>
    </row>
    <row r="109" spans="1:60" s="53" customFormat="1" ht="30" customHeight="1" x14ac:dyDescent="0.25">
      <c r="A109" s="75">
        <f>+A105+1</f>
        <v>57</v>
      </c>
      <c r="B109" s="112" t="s">
        <v>257</v>
      </c>
      <c r="C109" s="122" t="s">
        <v>421</v>
      </c>
      <c r="D109" s="123" t="s">
        <v>258</v>
      </c>
      <c r="E109" s="112" t="s">
        <v>121</v>
      </c>
      <c r="F109" s="107">
        <v>155000</v>
      </c>
      <c r="G109" s="110">
        <f>F109*2.87%</f>
        <v>4448.5</v>
      </c>
      <c r="H109" s="110">
        <f>+F109*3.04%</f>
        <v>4712</v>
      </c>
      <c r="I109" s="107"/>
      <c r="J109" s="77">
        <f>+G109+H109+I109</f>
        <v>9160.5</v>
      </c>
      <c r="K109" s="77">
        <f>+F109-J109</f>
        <v>145839.5</v>
      </c>
      <c r="L109" s="77">
        <f>+IF(K109*12&lt;=416220.01,0,IF(K109*12&lt;=624329.01,(((K109*12-416220.01)*0.15)/12),IF((K109*12&lt;=867123.01),(31216+0.2*(K109*12-624329.01))/12,((79776+0.25*(K109*12-867123.01))/12))))-M109</f>
        <v>25042.812291666665</v>
      </c>
      <c r="M109" s="77"/>
      <c r="N109" s="84">
        <v>1125</v>
      </c>
      <c r="O109" s="107">
        <f>+N109+I109+H109+G109+L109</f>
        <v>35328.312291666662</v>
      </c>
      <c r="P109" s="78">
        <f>+F109-O109</f>
        <v>119671.68770833334</v>
      </c>
      <c r="Q109" s="39"/>
    </row>
    <row r="110" spans="1:60" s="53" customFormat="1" ht="30" customHeight="1" x14ac:dyDescent="0.25">
      <c r="A110" s="75">
        <f>+A109+1</f>
        <v>58</v>
      </c>
      <c r="B110" s="108" t="s">
        <v>259</v>
      </c>
      <c r="C110" s="36" t="s">
        <v>421</v>
      </c>
      <c r="D110" s="109" t="s">
        <v>51</v>
      </c>
      <c r="E110" s="108" t="s">
        <v>121</v>
      </c>
      <c r="F110" s="110">
        <v>90000</v>
      </c>
      <c r="G110" s="110">
        <f>F110*2.87%</f>
        <v>2583</v>
      </c>
      <c r="H110" s="110">
        <f>+F110*3.04%</f>
        <v>2736</v>
      </c>
      <c r="I110" s="110"/>
      <c r="J110" s="77">
        <f>+G110+H110+I110</f>
        <v>5319</v>
      </c>
      <c r="K110" s="77">
        <f>+F110-J110</f>
        <v>84681</v>
      </c>
      <c r="L110" s="77">
        <f>+IF(K110*12&lt;=416220.01,0,IF(K110*12&lt;=624329.01,(((K110*12-416220.01)*0.15)/12),IF((K110*12&lt;=867123.01),(31216+0.2*(K110*12-624329.01))/12,((79776+0.25*(K110*12-867123.01))/12))))-M110</f>
        <v>9753.1872916666671</v>
      </c>
      <c r="M110" s="77"/>
      <c r="N110" s="84">
        <v>125</v>
      </c>
      <c r="O110" s="107">
        <f>+N110+I110+H110+G110+L110</f>
        <v>15197.187291666667</v>
      </c>
      <c r="P110" s="78">
        <f>+F110-O110</f>
        <v>74802.812708333338</v>
      </c>
      <c r="Q110" s="39"/>
    </row>
    <row r="111" spans="1:60" s="53" customFormat="1" ht="30" customHeight="1" x14ac:dyDescent="0.25">
      <c r="A111" s="80">
        <f>+A110+1</f>
        <v>59</v>
      </c>
      <c r="B111" s="81" t="s">
        <v>255</v>
      </c>
      <c r="C111" s="80" t="s">
        <v>420</v>
      </c>
      <c r="D111" s="85" t="s">
        <v>51</v>
      </c>
      <c r="E111" s="81" t="s">
        <v>121</v>
      </c>
      <c r="F111" s="82">
        <v>90000</v>
      </c>
      <c r="G111" s="82">
        <f>F111*2.87%</f>
        <v>2583</v>
      </c>
      <c r="H111" s="82">
        <f>+F111*3.04%</f>
        <v>2736</v>
      </c>
      <c r="I111" s="82"/>
      <c r="J111" s="77">
        <f>+G111+H111+I111</f>
        <v>5319</v>
      </c>
      <c r="K111" s="77">
        <f>+F111-J111</f>
        <v>84681</v>
      </c>
      <c r="L111" s="77">
        <f>+IF(K111*12&lt;=416220.01,0,IF(K111*12&lt;=624329.01,(((K111*12-416220.01)*0.15)/12),IF((K111*12&lt;=867123.01),(31216+0.2*(K111*12-624329.01))/12,((79776+0.25*(K111*12-867123.01))/12))))-M111</f>
        <v>9753.1872916666671</v>
      </c>
      <c r="M111" s="77"/>
      <c r="N111" s="84">
        <v>9311.43</v>
      </c>
      <c r="O111" s="107">
        <f>+N111+I111+H111+G111+L111</f>
        <v>24383.617291666669</v>
      </c>
      <c r="P111" s="78">
        <f>+F111-O111</f>
        <v>65616.382708333331</v>
      </c>
      <c r="Q111" s="39"/>
    </row>
    <row r="112" spans="1:60" s="47" customFormat="1" ht="30" customHeight="1" x14ac:dyDescent="0.25">
      <c r="A112" s="75">
        <f>+A111+1</f>
        <v>60</v>
      </c>
      <c r="B112" s="108" t="s">
        <v>69</v>
      </c>
      <c r="C112" s="36" t="s">
        <v>420</v>
      </c>
      <c r="D112" s="109" t="s">
        <v>51</v>
      </c>
      <c r="E112" s="108" t="s">
        <v>121</v>
      </c>
      <c r="F112" s="110">
        <v>80000</v>
      </c>
      <c r="G112" s="110">
        <f>F112*2.87%</f>
        <v>2296</v>
      </c>
      <c r="H112" s="110">
        <f>+F112*3.04%</f>
        <v>2432</v>
      </c>
      <c r="I112" s="110">
        <v>1597.31</v>
      </c>
      <c r="J112" s="77">
        <f>+G112+H112+I112</f>
        <v>6325.3099999999995</v>
      </c>
      <c r="K112" s="77">
        <f>+F112-J112</f>
        <v>73674.69</v>
      </c>
      <c r="L112" s="77">
        <f>+IF(K112*12&lt;=416220.01,0,IF(K112*12&lt;=624329.01,(((K112*12-416220.01)*0.15)/12),IF((K112*12&lt;=867123.01),(31216+0.2*(K112*12-624329.01))/12,((79776+0.25*(K112*12-867123.01))/12))))-M112</f>
        <v>7001.6097916666668</v>
      </c>
      <c r="M112" s="77"/>
      <c r="N112" s="84">
        <v>14193.44</v>
      </c>
      <c r="O112" s="107">
        <f>+N112+I112+H112+G112+L112</f>
        <v>27520.359791666666</v>
      </c>
      <c r="P112" s="78">
        <f>+F112-O112</f>
        <v>52479.640208333338</v>
      </c>
    </row>
    <row r="113" spans="1:17" s="39" customFormat="1" ht="30" customHeight="1" x14ac:dyDescent="0.25">
      <c r="A113" s="80">
        <f>+A112+1</f>
        <v>61</v>
      </c>
      <c r="B113" s="108" t="s">
        <v>139</v>
      </c>
      <c r="C113" s="36" t="s">
        <v>421</v>
      </c>
      <c r="D113" s="109" t="s">
        <v>51</v>
      </c>
      <c r="E113" s="108" t="s">
        <v>121</v>
      </c>
      <c r="F113" s="110">
        <v>80000</v>
      </c>
      <c r="G113" s="110">
        <f>F113*2.87%</f>
        <v>2296</v>
      </c>
      <c r="H113" s="110">
        <f>+F113*3.04%</f>
        <v>2432</v>
      </c>
      <c r="I113" s="110"/>
      <c r="J113" s="77">
        <f>+G113+H113+I113</f>
        <v>4728</v>
      </c>
      <c r="K113" s="77">
        <f>+F113-J113</f>
        <v>75272</v>
      </c>
      <c r="L113" s="77">
        <f>+IF(K113*12&lt;=416220.01,0,IF(K113*12&lt;=624329.01,(((K113*12-416220.01)*0.15)/12),IF((K113*12&lt;=867123.01),(31216+0.2*(K113*12-624329.01))/12,((79776+0.25*(K113*12-867123.01))/12))))-M113</f>
        <v>7400.9372916666662</v>
      </c>
      <c r="M113" s="77"/>
      <c r="N113" s="84">
        <v>25</v>
      </c>
      <c r="O113" s="107">
        <f>+N113+I113+H113+G113+L113</f>
        <v>12153.937291666665</v>
      </c>
      <c r="P113" s="78">
        <f>+F113-O113</f>
        <v>67846.062708333338</v>
      </c>
    </row>
    <row r="114" spans="1:17" s="39" customFormat="1" ht="30" customHeight="1" x14ac:dyDescent="0.25">
      <c r="A114" s="36"/>
      <c r="B114" s="46"/>
      <c r="C114" s="138"/>
      <c r="D114" s="206" t="s">
        <v>125</v>
      </c>
      <c r="E114" s="208"/>
      <c r="F114" s="37">
        <f>SUM(F109:F113)</f>
        <v>495000</v>
      </c>
      <c r="G114" s="37">
        <f t="shared" ref="G114:P114" si="36">SUM(G109:G113)</f>
        <v>14206.5</v>
      </c>
      <c r="H114" s="37">
        <f t="shared" si="36"/>
        <v>15048</v>
      </c>
      <c r="I114" s="37">
        <f t="shared" si="36"/>
        <v>1597.31</v>
      </c>
      <c r="J114" s="37">
        <f t="shared" si="36"/>
        <v>30851.809999999998</v>
      </c>
      <c r="K114" s="37">
        <f t="shared" si="36"/>
        <v>464148.19</v>
      </c>
      <c r="L114" s="37">
        <f t="shared" si="36"/>
        <v>58951.733958333338</v>
      </c>
      <c r="M114" s="37">
        <f t="shared" si="36"/>
        <v>0</v>
      </c>
      <c r="N114" s="37">
        <f t="shared" si="36"/>
        <v>24779.870000000003</v>
      </c>
      <c r="O114" s="37">
        <f t="shared" si="36"/>
        <v>114583.41395833333</v>
      </c>
      <c r="P114" s="37">
        <f t="shared" si="36"/>
        <v>380416.58604166668</v>
      </c>
    </row>
    <row r="115" spans="1:17" s="53" customFormat="1" ht="30" customHeight="1" thickBot="1" x14ac:dyDescent="0.3">
      <c r="A115" s="44"/>
      <c r="B115" s="42"/>
      <c r="C115" s="44"/>
      <c r="D115" s="43"/>
      <c r="E115" s="42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</row>
    <row r="116" spans="1:17" s="47" customFormat="1" ht="30" customHeight="1" thickBot="1" x14ac:dyDescent="0.3">
      <c r="A116" s="292" t="s">
        <v>167</v>
      </c>
      <c r="B116" s="293"/>
      <c r="C116" s="293"/>
      <c r="D116" s="293"/>
      <c r="E116" s="293"/>
      <c r="F116" s="212"/>
      <c r="G116" s="212"/>
      <c r="H116" s="212"/>
      <c r="I116" s="212"/>
      <c r="J116" s="212"/>
      <c r="K116" s="212"/>
      <c r="L116" s="212"/>
      <c r="M116" s="212"/>
      <c r="N116" s="212"/>
      <c r="O116" s="212"/>
      <c r="P116" s="212"/>
    </row>
    <row r="117" spans="1:17" s="39" customFormat="1" ht="30" customHeight="1" x14ac:dyDescent="0.25">
      <c r="A117" s="80">
        <f>+A113+1</f>
        <v>62</v>
      </c>
      <c r="B117" s="108" t="s">
        <v>654</v>
      </c>
      <c r="C117" s="36" t="s">
        <v>420</v>
      </c>
      <c r="D117" s="109" t="s">
        <v>655</v>
      </c>
      <c r="E117" s="108" t="s">
        <v>122</v>
      </c>
      <c r="F117" s="110">
        <v>170500</v>
      </c>
      <c r="G117" s="110">
        <f>F117*2.87%</f>
        <v>4893.3500000000004</v>
      </c>
      <c r="H117" s="82">
        <f>+F117*3.04%</f>
        <v>5183.2</v>
      </c>
      <c r="I117" s="82"/>
      <c r="J117" s="77">
        <f>+G117+H117+I117</f>
        <v>10076.549999999999</v>
      </c>
      <c r="K117" s="77">
        <f>+F117-J117</f>
        <v>160423.45000000001</v>
      </c>
      <c r="L117" s="77">
        <f>+IF(K117*12&lt;=416220.01,0,IF(K117*12&lt;=624329.01,(((K117*12-416220.01)*0.15)/12),IF((K117*12&lt;=867123.01),(31216+0.2*(K117*12-624329.01))/12,((79776+0.25*(K117*12-867123.01))/12))))-M117</f>
        <v>28688.799791666668</v>
      </c>
      <c r="M117" s="77"/>
      <c r="N117" s="84">
        <v>25</v>
      </c>
      <c r="O117" s="107">
        <f>+N117+I117+H117+G117+L117</f>
        <v>38790.349791666667</v>
      </c>
      <c r="P117" s="78">
        <f>+F117-O117</f>
        <v>131709.65020833333</v>
      </c>
    </row>
    <row r="118" spans="1:17" s="39" customFormat="1" ht="30" customHeight="1" x14ac:dyDescent="0.25">
      <c r="A118" s="80">
        <f>+A117+1</f>
        <v>63</v>
      </c>
      <c r="B118" s="108" t="s">
        <v>70</v>
      </c>
      <c r="C118" s="36" t="s">
        <v>421</v>
      </c>
      <c r="D118" s="109" t="s">
        <v>94</v>
      </c>
      <c r="E118" s="108" t="s">
        <v>122</v>
      </c>
      <c r="F118" s="110">
        <v>60000</v>
      </c>
      <c r="G118" s="110">
        <f>F118*2.87%</f>
        <v>1722</v>
      </c>
      <c r="H118" s="82">
        <f>+F118*3.04%</f>
        <v>1824</v>
      </c>
      <c r="I118" s="82">
        <v>3194.62</v>
      </c>
      <c r="J118" s="77">
        <f>+G118+H118+I118</f>
        <v>6740.62</v>
      </c>
      <c r="K118" s="77">
        <f>+F118-J118</f>
        <v>53259.38</v>
      </c>
      <c r="L118" s="77">
        <f>+IF(K118*12&lt;=416220.01,0,IF(K118*12&lt;=624329.01,(((K118*12-416220.01)*0.15)/12),IF((K118*12&lt;=867123.01),(31216+0.2*(K118*12-624329.01))/12,((79776+0.25*(K118*12-867123.01))/12))))-M118</f>
        <v>2847.725833333332</v>
      </c>
      <c r="M118" s="77"/>
      <c r="N118" s="84">
        <v>1025</v>
      </c>
      <c r="O118" s="107">
        <f>+N118+I118+H118+G118+L118</f>
        <v>10613.345833333333</v>
      </c>
      <c r="P118" s="78">
        <f>+F118-O118</f>
        <v>49386.654166666667</v>
      </c>
    </row>
    <row r="119" spans="1:17" s="39" customFormat="1" ht="30" customHeight="1" x14ac:dyDescent="0.25">
      <c r="A119" s="80">
        <f>+A118+1</f>
        <v>64</v>
      </c>
      <c r="B119" s="113" t="s">
        <v>75</v>
      </c>
      <c r="C119" s="172" t="s">
        <v>420</v>
      </c>
      <c r="D119" s="200" t="s">
        <v>564</v>
      </c>
      <c r="E119" s="108" t="s">
        <v>122</v>
      </c>
      <c r="F119" s="110">
        <v>110000</v>
      </c>
      <c r="G119" s="110">
        <f>F119*2.87%</f>
        <v>3157</v>
      </c>
      <c r="H119" s="82">
        <f>+F119*3.04%</f>
        <v>3344</v>
      </c>
      <c r="I119" s="110">
        <v>1597.31</v>
      </c>
      <c r="J119" s="77">
        <f>+G119+H119+I119</f>
        <v>8098.3099999999995</v>
      </c>
      <c r="K119" s="77">
        <f>+F119-J119</f>
        <v>101901.69</v>
      </c>
      <c r="L119" s="77">
        <f>+IF(K119*12&lt;=416220.01,0,IF(K119*12&lt;=624329.01,(((K119*12-416220.01)*0.15)/12),IF((K119*12&lt;=867123.01),(31216+0.2*(K119*12-624329.01))/12,((79776+0.25*(K119*12-867123.01))/12))))-M119</f>
        <v>14058.359791666668</v>
      </c>
      <c r="M119" s="77"/>
      <c r="N119" s="84">
        <v>5025</v>
      </c>
      <c r="O119" s="107">
        <f>+N119+I119+H119+G119+L119</f>
        <v>27181.669791666667</v>
      </c>
      <c r="P119" s="78">
        <f>+F119-O119</f>
        <v>82818.330208333326</v>
      </c>
    </row>
    <row r="120" spans="1:17" s="39" customFormat="1" ht="30" customHeight="1" x14ac:dyDescent="0.25">
      <c r="A120" s="206" t="s">
        <v>125</v>
      </c>
      <c r="B120" s="207"/>
      <c r="C120" s="207"/>
      <c r="D120" s="207"/>
      <c r="E120" s="208"/>
      <c r="F120" s="37">
        <f>SUM(F117:F119)</f>
        <v>340500</v>
      </c>
      <c r="G120" s="37">
        <f t="shared" ref="G120:P120" si="37">SUM(G117:G119)</f>
        <v>9772.35</v>
      </c>
      <c r="H120" s="37">
        <f t="shared" si="37"/>
        <v>10351.200000000001</v>
      </c>
      <c r="I120" s="37">
        <f t="shared" si="37"/>
        <v>4791.93</v>
      </c>
      <c r="J120" s="37">
        <f t="shared" si="37"/>
        <v>24915.479999999996</v>
      </c>
      <c r="K120" s="37">
        <f t="shared" si="37"/>
        <v>315584.52</v>
      </c>
      <c r="L120" s="37">
        <f t="shared" si="37"/>
        <v>45594.885416666672</v>
      </c>
      <c r="M120" s="37">
        <f t="shared" si="37"/>
        <v>0</v>
      </c>
      <c r="N120" s="37">
        <f t="shared" si="37"/>
        <v>6075</v>
      </c>
      <c r="O120" s="37">
        <f t="shared" si="37"/>
        <v>76585.365416666667</v>
      </c>
      <c r="P120" s="37">
        <f t="shared" si="37"/>
        <v>263914.63458333333</v>
      </c>
    </row>
    <row r="121" spans="1:17" s="53" customFormat="1" ht="30" customHeight="1" thickBot="1" x14ac:dyDescent="0.3">
      <c r="A121" s="41"/>
      <c r="B121" s="48"/>
      <c r="C121" s="139"/>
      <c r="D121" s="48"/>
      <c r="E121" s="48"/>
      <c r="F121" s="4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</row>
    <row r="122" spans="1:17" s="86" customFormat="1" ht="30" customHeight="1" thickBot="1" x14ac:dyDescent="0.3">
      <c r="A122" s="292" t="s">
        <v>168</v>
      </c>
      <c r="B122" s="293"/>
      <c r="C122" s="293"/>
      <c r="D122" s="293"/>
      <c r="E122" s="293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40"/>
    </row>
    <row r="123" spans="1:17" s="53" customFormat="1" ht="30" customHeight="1" x14ac:dyDescent="0.25">
      <c r="A123" s="80">
        <f>+A119+1</f>
        <v>65</v>
      </c>
      <c r="B123" s="108" t="s">
        <v>261</v>
      </c>
      <c r="C123" s="36" t="s">
        <v>421</v>
      </c>
      <c r="D123" s="109" t="s">
        <v>51</v>
      </c>
      <c r="E123" s="108" t="s">
        <v>122</v>
      </c>
      <c r="F123" s="110">
        <v>90000</v>
      </c>
      <c r="G123" s="82">
        <f>F123*2.87%</f>
        <v>2583</v>
      </c>
      <c r="H123" s="82">
        <f>+F123*3.04%</f>
        <v>2736</v>
      </c>
      <c r="I123" s="82"/>
      <c r="J123" s="77">
        <f>+G123+H123+I123</f>
        <v>5319</v>
      </c>
      <c r="K123" s="77">
        <f>+F123-J123</f>
        <v>84681</v>
      </c>
      <c r="L123" s="77">
        <f>+IF(K123*12&lt;=416220.01,0,IF(K123*12&lt;=624329.01,(((K123*12-416220.01)*0.15)/12),IF((K123*12&lt;=867123.01),(31216+0.2*(K123*12-624329.01))/12,((79776+0.25*(K123*12-867123.01))/12))))-M123</f>
        <v>9753.1872916666671</v>
      </c>
      <c r="M123" s="77"/>
      <c r="N123" s="84">
        <v>8955.34</v>
      </c>
      <c r="O123" s="107">
        <f>+N123+I123+H123+G123+L123</f>
        <v>24027.527291666665</v>
      </c>
      <c r="P123" s="78">
        <f>+F123-O123</f>
        <v>65972.472708333342</v>
      </c>
      <c r="Q123" s="39"/>
    </row>
    <row r="124" spans="1:17" s="39" customFormat="1" ht="30" customHeight="1" x14ac:dyDescent="0.25">
      <c r="A124" s="80">
        <f>+A123+1</f>
        <v>66</v>
      </c>
      <c r="B124" s="112" t="s">
        <v>64</v>
      </c>
      <c r="C124" s="122" t="s">
        <v>421</v>
      </c>
      <c r="D124" s="109" t="s">
        <v>51</v>
      </c>
      <c r="E124" s="108" t="s">
        <v>121</v>
      </c>
      <c r="F124" s="107">
        <v>80000</v>
      </c>
      <c r="G124" s="77">
        <f>F124*2.87%</f>
        <v>2296</v>
      </c>
      <c r="H124" s="77">
        <f>+F124*3.04%</f>
        <v>2432</v>
      </c>
      <c r="I124" s="77"/>
      <c r="J124" s="77">
        <f>+G124+H124+I124</f>
        <v>4728</v>
      </c>
      <c r="K124" s="77">
        <f>+F124-J124</f>
        <v>75272</v>
      </c>
      <c r="L124" s="77">
        <f t="shared" ref="L124:L126" si="38">+IF(K124*12&lt;=416220.01,0,IF(K124*12&lt;=624329.01,(((K124*12-416220.01)*0.15)/12),IF((K124*12&lt;=867123.01),(31216+0.2*(K124*12-624329.01))/12,((79776+0.25*(K124*12-867123.01))/12))))-M124</f>
        <v>7400.9372916666662</v>
      </c>
      <c r="M124" s="77"/>
      <c r="N124" s="84">
        <v>10742.33</v>
      </c>
      <c r="O124" s="107">
        <f>+N124+I124+H124+G124+L124</f>
        <v>22871.267291666667</v>
      </c>
      <c r="P124" s="78">
        <f>+F124-O124</f>
        <v>57128.732708333337</v>
      </c>
    </row>
    <row r="125" spans="1:17" s="47" customFormat="1" ht="24" customHeight="1" x14ac:dyDescent="0.25">
      <c r="A125" s="80">
        <f>+A124+1</f>
        <v>67</v>
      </c>
      <c r="B125" s="108" t="s">
        <v>262</v>
      </c>
      <c r="C125" s="36" t="s">
        <v>420</v>
      </c>
      <c r="D125" s="109" t="s">
        <v>51</v>
      </c>
      <c r="E125" s="108" t="s">
        <v>121</v>
      </c>
      <c r="F125" s="110">
        <v>80000</v>
      </c>
      <c r="G125" s="82">
        <f>F125*2.87%</f>
        <v>2296</v>
      </c>
      <c r="H125" s="82">
        <f>+F125*3.04%</f>
        <v>2432</v>
      </c>
      <c r="I125" s="82"/>
      <c r="J125" s="77">
        <f>+G125+H125+I125</f>
        <v>4728</v>
      </c>
      <c r="K125" s="77">
        <f>+F125-J125</f>
        <v>75272</v>
      </c>
      <c r="L125" s="77">
        <f t="shared" si="38"/>
        <v>7400.9372916666662</v>
      </c>
      <c r="M125" s="77"/>
      <c r="N125" s="84">
        <v>7329.15</v>
      </c>
      <c r="O125" s="107">
        <f>+N125+I125+H125+G125+L125</f>
        <v>19458.087291666667</v>
      </c>
      <c r="P125" s="78">
        <f>+F125-O125</f>
        <v>60541.91270833333</v>
      </c>
    </row>
    <row r="126" spans="1:17" s="39" customFormat="1" ht="30" customHeight="1" x14ac:dyDescent="0.25">
      <c r="A126" s="80">
        <f>+A125+1</f>
        <v>68</v>
      </c>
      <c r="B126" s="108" t="s">
        <v>270</v>
      </c>
      <c r="C126" s="36" t="s">
        <v>420</v>
      </c>
      <c r="D126" s="109" t="s">
        <v>51</v>
      </c>
      <c r="E126" s="108" t="s">
        <v>121</v>
      </c>
      <c r="F126" s="110">
        <v>80000</v>
      </c>
      <c r="G126" s="82">
        <f>F126*2.87%</f>
        <v>2296</v>
      </c>
      <c r="H126" s="82">
        <f>+F126*3.04%</f>
        <v>2432</v>
      </c>
      <c r="I126" s="82"/>
      <c r="J126" s="77">
        <f>+G126+H126+I126</f>
        <v>4728</v>
      </c>
      <c r="K126" s="77">
        <f>+F126-J126</f>
        <v>75272</v>
      </c>
      <c r="L126" s="77">
        <f t="shared" si="38"/>
        <v>7400.9372916666662</v>
      </c>
      <c r="M126" s="77"/>
      <c r="N126" s="84">
        <v>25</v>
      </c>
      <c r="O126" s="107">
        <f>+N126+I126+H126+G126+L126</f>
        <v>12153.937291666665</v>
      </c>
      <c r="P126" s="78">
        <f>+F126-O126</f>
        <v>67846.062708333338</v>
      </c>
    </row>
    <row r="127" spans="1:17" s="53" customFormat="1" ht="30" customHeight="1" thickBot="1" x14ac:dyDescent="0.3">
      <c r="A127" s="206" t="s">
        <v>125</v>
      </c>
      <c r="B127" s="207"/>
      <c r="C127" s="207"/>
      <c r="D127" s="207"/>
      <c r="E127" s="208"/>
      <c r="F127" s="37">
        <f>SUM(F123:F126)</f>
        <v>330000</v>
      </c>
      <c r="G127" s="37">
        <f t="shared" ref="G127:P127" si="39">SUM(G123:G126)</f>
        <v>9471</v>
      </c>
      <c r="H127" s="37">
        <f t="shared" si="39"/>
        <v>10032</v>
      </c>
      <c r="I127" s="37">
        <f t="shared" si="39"/>
        <v>0</v>
      </c>
      <c r="J127" s="37">
        <f t="shared" si="39"/>
        <v>19503</v>
      </c>
      <c r="K127" s="37">
        <f t="shared" si="39"/>
        <v>310497</v>
      </c>
      <c r="L127" s="37">
        <f t="shared" si="39"/>
        <v>31955.999166666665</v>
      </c>
      <c r="M127" s="37">
        <f t="shared" si="39"/>
        <v>0</v>
      </c>
      <c r="N127" s="37">
        <f t="shared" si="39"/>
        <v>27051.82</v>
      </c>
      <c r="O127" s="37">
        <f t="shared" si="39"/>
        <v>78510.819166666668</v>
      </c>
      <c r="P127" s="37">
        <f t="shared" si="39"/>
        <v>251489.18083333335</v>
      </c>
      <c r="Q127" s="39"/>
    </row>
    <row r="128" spans="1:17" s="53" customFormat="1" ht="30" customHeight="1" thickBot="1" x14ac:dyDescent="0.3">
      <c r="A128" s="292" t="s">
        <v>169</v>
      </c>
      <c r="B128" s="293"/>
      <c r="C128" s="293"/>
      <c r="D128" s="293"/>
      <c r="E128" s="293"/>
      <c r="F128" s="212"/>
      <c r="G128" s="212"/>
      <c r="H128" s="212"/>
      <c r="I128" s="212"/>
      <c r="J128" s="212"/>
      <c r="K128" s="212"/>
      <c r="L128" s="212"/>
      <c r="M128" s="212"/>
      <c r="N128" s="212"/>
      <c r="O128" s="212"/>
      <c r="P128" s="212"/>
      <c r="Q128" s="39"/>
    </row>
    <row r="129" spans="1:60" s="53" customFormat="1" ht="30" customHeight="1" x14ac:dyDescent="0.25">
      <c r="A129" s="36">
        <f>+A126+1</f>
        <v>69</v>
      </c>
      <c r="B129" s="108" t="s">
        <v>507</v>
      </c>
      <c r="C129" s="36" t="s">
        <v>420</v>
      </c>
      <c r="D129" s="109" t="s">
        <v>51</v>
      </c>
      <c r="E129" s="108" t="s">
        <v>122</v>
      </c>
      <c r="F129" s="110">
        <v>90000</v>
      </c>
      <c r="G129" s="110">
        <f>F129*2.87%</f>
        <v>2583</v>
      </c>
      <c r="H129" s="82">
        <f>+F129*3.04%</f>
        <v>2736</v>
      </c>
      <c r="I129" s="82"/>
      <c r="J129" s="77">
        <f>+G129+H129+I129</f>
        <v>5319</v>
      </c>
      <c r="K129" s="77">
        <f>+F129-J129</f>
        <v>84681</v>
      </c>
      <c r="L129" s="77">
        <f t="shared" ref="L129:L131" si="40">+IF(K129*12&lt;=416220.01,0,IF(K129*12&lt;=624329.01,(((K129*12-416220.01)*0.15)/12),IF((K129*12&lt;=867123.01),(31216+0.2*(K129*12-624329.01))/12,((79776+0.25*(K129*12-867123.01))/12))))-M129</f>
        <v>9753.1872916666671</v>
      </c>
      <c r="M129" s="77"/>
      <c r="N129" s="84">
        <v>18622.96</v>
      </c>
      <c r="O129" s="107">
        <f>+N129+I129+H129+G129+L129</f>
        <v>33695.147291666668</v>
      </c>
      <c r="P129" s="78">
        <f>+F129-O129</f>
        <v>56304.852708333332</v>
      </c>
      <c r="Q129" s="39"/>
    </row>
    <row r="130" spans="1:60" s="47" customFormat="1" ht="30" customHeight="1" x14ac:dyDescent="0.25">
      <c r="A130" s="36">
        <f>+A129+1</f>
        <v>70</v>
      </c>
      <c r="B130" s="108" t="s">
        <v>264</v>
      </c>
      <c r="C130" s="36" t="s">
        <v>421</v>
      </c>
      <c r="D130" s="109" t="s">
        <v>51</v>
      </c>
      <c r="E130" s="108" t="s">
        <v>122</v>
      </c>
      <c r="F130" s="110">
        <v>85000</v>
      </c>
      <c r="G130" s="110">
        <f>F130*2.87%</f>
        <v>2439.5</v>
      </c>
      <c r="H130" s="82">
        <f>+F130*3.04%</f>
        <v>2584</v>
      </c>
      <c r="I130" s="82"/>
      <c r="J130" s="77">
        <f>+G130+H130+I130</f>
        <v>5023.5</v>
      </c>
      <c r="K130" s="77">
        <f>+F130-J130</f>
        <v>79976.5</v>
      </c>
      <c r="L130" s="77">
        <f t="shared" si="40"/>
        <v>8577.0622916666671</v>
      </c>
      <c r="M130" s="77"/>
      <c r="N130" s="84">
        <v>1044</v>
      </c>
      <c r="O130" s="107">
        <f>+N130+I130+H130+G130+L130</f>
        <v>14644.562291666667</v>
      </c>
      <c r="P130" s="78">
        <f>+F130-O130</f>
        <v>70355.437708333338</v>
      </c>
    </row>
    <row r="131" spans="1:60" ht="30" customHeight="1" x14ac:dyDescent="0.25">
      <c r="A131" s="36">
        <f>+A130+1</f>
        <v>71</v>
      </c>
      <c r="B131" s="108" t="s">
        <v>195</v>
      </c>
      <c r="C131" s="36" t="s">
        <v>420</v>
      </c>
      <c r="D131" s="109" t="s">
        <v>51</v>
      </c>
      <c r="E131" s="108" t="s">
        <v>122</v>
      </c>
      <c r="F131" s="110">
        <v>80000</v>
      </c>
      <c r="G131" s="82">
        <v>2296</v>
      </c>
      <c r="H131" s="82">
        <v>2432</v>
      </c>
      <c r="I131" s="82">
        <v>3194.62</v>
      </c>
      <c r="J131" s="77">
        <f>+G131+H131+I131</f>
        <v>7922.62</v>
      </c>
      <c r="K131" s="77">
        <f>+F131-J131</f>
        <v>72077.38</v>
      </c>
      <c r="L131" s="77">
        <f t="shared" si="40"/>
        <v>6611.3258333333333</v>
      </c>
      <c r="M131" s="77"/>
      <c r="N131" s="84">
        <v>40705.4</v>
      </c>
      <c r="O131" s="107">
        <f>+N131+I131+H131+G131+L131</f>
        <v>55239.34583333334</v>
      </c>
      <c r="P131" s="78">
        <f>+F131-O131</f>
        <v>24760.65416666666</v>
      </c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</row>
    <row r="132" spans="1:60" s="39" customFormat="1" ht="30" customHeight="1" x14ac:dyDescent="0.25">
      <c r="A132" s="173">
        <f>+A131+1</f>
        <v>72</v>
      </c>
      <c r="B132" s="108" t="s">
        <v>678</v>
      </c>
      <c r="C132" s="36" t="s">
        <v>421</v>
      </c>
      <c r="D132" s="109" t="s">
        <v>51</v>
      </c>
      <c r="E132" s="108" t="s">
        <v>122</v>
      </c>
      <c r="F132" s="110">
        <v>90000</v>
      </c>
      <c r="G132" s="110">
        <f>F132*2.87%</f>
        <v>2583</v>
      </c>
      <c r="H132" s="82">
        <f>+F132*3.04%</f>
        <v>2736</v>
      </c>
      <c r="I132" s="82"/>
      <c r="J132" s="77">
        <f t="shared" ref="J132" si="41">+G132+H132+I132</f>
        <v>5319</v>
      </c>
      <c r="K132" s="77">
        <f t="shared" ref="K132" si="42">+F132-J132</f>
        <v>84681</v>
      </c>
      <c r="L132" s="77">
        <f t="shared" ref="L132" si="43">+IF(K132*12&lt;=416220.01,0,IF(K132*12&lt;=624329.01,(((K132*12-416220.01)*0.15)/12),IF((K132*12&lt;=867123.01),(31216+0.2*(K132*12-624329.01))/12,((79776+0.25*(K132*12-867123.01))/12))))-M132</f>
        <v>9753.1872916666671</v>
      </c>
      <c r="M132" s="77"/>
      <c r="N132" s="84">
        <v>10035.34</v>
      </c>
      <c r="O132" s="107">
        <v>25107.53</v>
      </c>
      <c r="P132" s="78">
        <v>64892.47</v>
      </c>
    </row>
    <row r="133" spans="1:60" s="39" customFormat="1" ht="30" customHeight="1" x14ac:dyDescent="0.25">
      <c r="A133" s="206" t="s">
        <v>125</v>
      </c>
      <c r="B133" s="207"/>
      <c r="C133" s="207"/>
      <c r="D133" s="207"/>
      <c r="E133" s="208"/>
      <c r="F133" s="37">
        <f>SUM(F129:F132)</f>
        <v>345000</v>
      </c>
      <c r="G133" s="37">
        <f t="shared" ref="G133:P133" si="44">SUM(G129:G132)</f>
        <v>9901.5</v>
      </c>
      <c r="H133" s="37">
        <f t="shared" si="44"/>
        <v>10488</v>
      </c>
      <c r="I133" s="37">
        <f t="shared" si="44"/>
        <v>3194.62</v>
      </c>
      <c r="J133" s="37">
        <f t="shared" si="44"/>
        <v>23584.12</v>
      </c>
      <c r="K133" s="37">
        <f t="shared" si="44"/>
        <v>321415.88</v>
      </c>
      <c r="L133" s="37">
        <f t="shared" si="44"/>
        <v>34694.762708333335</v>
      </c>
      <c r="M133" s="37">
        <f t="shared" si="44"/>
        <v>0</v>
      </c>
      <c r="N133" s="37">
        <f t="shared" si="44"/>
        <v>70407.7</v>
      </c>
      <c r="O133" s="37">
        <f t="shared" si="44"/>
        <v>128686.58541666667</v>
      </c>
      <c r="P133" s="37">
        <f t="shared" si="44"/>
        <v>216313.41458333333</v>
      </c>
      <c r="Q133" s="79"/>
    </row>
    <row r="134" spans="1:60" s="53" customFormat="1" ht="30" customHeight="1" thickBot="1" x14ac:dyDescent="0.3">
      <c r="A134" s="44"/>
      <c r="B134" s="42"/>
      <c r="C134" s="44"/>
      <c r="D134" s="42"/>
      <c r="E134" s="42"/>
      <c r="F134" s="39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9"/>
    </row>
    <row r="135" spans="1:60" s="47" customFormat="1" ht="30" customHeight="1" thickBot="1" x14ac:dyDescent="0.3">
      <c r="A135" s="292" t="s">
        <v>170</v>
      </c>
      <c r="B135" s="293"/>
      <c r="C135" s="293"/>
      <c r="D135" s="293"/>
      <c r="E135" s="293"/>
      <c r="F135" s="212"/>
      <c r="G135" s="212"/>
      <c r="H135" s="212"/>
      <c r="I135" s="212"/>
      <c r="J135" s="212"/>
      <c r="K135" s="212"/>
      <c r="L135" s="212"/>
      <c r="M135" s="212"/>
      <c r="N135" s="212"/>
      <c r="O135" s="212"/>
      <c r="P135" s="212"/>
    </row>
    <row r="136" spans="1:60" s="53" customFormat="1" ht="30" customHeight="1" x14ac:dyDescent="0.25">
      <c r="A136" s="80">
        <f>+A132+1</f>
        <v>73</v>
      </c>
      <c r="B136" s="81" t="s">
        <v>102</v>
      </c>
      <c r="C136" s="80" t="s">
        <v>421</v>
      </c>
      <c r="D136" s="85" t="s">
        <v>51</v>
      </c>
      <c r="E136" s="81" t="s">
        <v>121</v>
      </c>
      <c r="F136" s="82">
        <v>90000</v>
      </c>
      <c r="G136" s="82">
        <f t="shared" ref="G136:G141" si="45">F136*2.87%</f>
        <v>2583</v>
      </c>
      <c r="H136" s="82">
        <f t="shared" ref="H136:H141" si="46">+F136*3.04%</f>
        <v>2736</v>
      </c>
      <c r="I136" s="82"/>
      <c r="J136" s="77">
        <f t="shared" ref="J136:J201" si="47">+G136+H136+I136</f>
        <v>5319</v>
      </c>
      <c r="K136" s="77">
        <f>+F136-J136</f>
        <v>84681</v>
      </c>
      <c r="L136" s="77">
        <f>+IF(K136*12&lt;=416220.01,0,IF(K136*12&lt;=624329.01,(((K136*12-416220.01)*0.15)/12),IF((K136*12&lt;=867123.01),(31216+0.2*(K136*12-624329.01))/12,((79776+0.25*(K136*12-867123.01))/12))))-M136</f>
        <v>9753.1872916666671</v>
      </c>
      <c r="M136" s="77"/>
      <c r="N136" s="84">
        <v>65</v>
      </c>
      <c r="O136" s="107">
        <f>+N136+I136+H136+G136+L136</f>
        <v>15137.187291666667</v>
      </c>
      <c r="P136" s="78">
        <f t="shared" ref="P136:P141" si="48">+F136-O136</f>
        <v>74862.812708333338</v>
      </c>
      <c r="Q136" s="39"/>
    </row>
    <row r="137" spans="1:60" s="53" customFormat="1" ht="30" customHeight="1" x14ac:dyDescent="0.25">
      <c r="A137" s="80">
        <f>+A136+1</f>
        <v>74</v>
      </c>
      <c r="B137" s="108" t="s">
        <v>59</v>
      </c>
      <c r="C137" s="36" t="s">
        <v>421</v>
      </c>
      <c r="D137" s="109" t="s">
        <v>51</v>
      </c>
      <c r="E137" s="108" t="s">
        <v>122</v>
      </c>
      <c r="F137" s="110">
        <v>90000</v>
      </c>
      <c r="G137" s="110">
        <f t="shared" si="45"/>
        <v>2583</v>
      </c>
      <c r="H137" s="82">
        <f t="shared" si="46"/>
        <v>2736</v>
      </c>
      <c r="I137" s="82">
        <v>3194.62</v>
      </c>
      <c r="J137" s="77">
        <f t="shared" si="47"/>
        <v>8513.619999999999</v>
      </c>
      <c r="K137" s="77">
        <f>+F137-J137</f>
        <v>81486.38</v>
      </c>
      <c r="L137" s="77">
        <f t="shared" ref="L137:L141" si="49">+IF(K137*12&lt;=416220.01,0,IF(K137*12&lt;=624329.01,(((K137*12-416220.01)*0.15)/12),IF((K137*12&lt;=867123.01),(31216+0.2*(K137*12-624329.01))/12,((79776+0.25*(K137*12-867123.01))/12))))-M137</f>
        <v>8954.5322916666682</v>
      </c>
      <c r="M137" s="77"/>
      <c r="N137" s="84">
        <v>2125</v>
      </c>
      <c r="O137" s="107">
        <f t="shared" ref="O137:O201" si="50">+N137+I137+H137+G137+L137</f>
        <v>19593.152291666665</v>
      </c>
      <c r="P137" s="78">
        <f t="shared" si="48"/>
        <v>70406.847708333342</v>
      </c>
      <c r="Q137" s="39"/>
    </row>
    <row r="138" spans="1:60" s="53" customFormat="1" ht="30" customHeight="1" x14ac:dyDescent="0.25">
      <c r="A138" s="36">
        <f>+A137+1</f>
        <v>75</v>
      </c>
      <c r="B138" s="108" t="s">
        <v>5</v>
      </c>
      <c r="C138" s="36" t="s">
        <v>421</v>
      </c>
      <c r="D138" s="109" t="s">
        <v>51</v>
      </c>
      <c r="E138" s="108" t="s">
        <v>122</v>
      </c>
      <c r="F138" s="110">
        <v>90000</v>
      </c>
      <c r="G138" s="110">
        <f t="shared" si="45"/>
        <v>2583</v>
      </c>
      <c r="H138" s="82">
        <f t="shared" si="46"/>
        <v>2736</v>
      </c>
      <c r="I138" s="82"/>
      <c r="J138" s="77">
        <f t="shared" si="47"/>
        <v>5319</v>
      </c>
      <c r="K138" s="77">
        <f>+F138-J138</f>
        <v>84681</v>
      </c>
      <c r="L138" s="77">
        <f t="shared" si="49"/>
        <v>9753.1872916666671</v>
      </c>
      <c r="M138" s="77"/>
      <c r="N138" s="78">
        <v>20929.900000000001</v>
      </c>
      <c r="O138" s="107">
        <f t="shared" si="50"/>
        <v>36002.08729166667</v>
      </c>
      <c r="P138" s="78">
        <f t="shared" si="48"/>
        <v>53997.91270833333</v>
      </c>
      <c r="Q138" s="39"/>
    </row>
    <row r="139" spans="1:60" ht="30" customHeight="1" x14ac:dyDescent="0.25">
      <c r="A139" s="80">
        <f>+A138+1</f>
        <v>76</v>
      </c>
      <c r="B139" s="108" t="s">
        <v>266</v>
      </c>
      <c r="C139" s="36" t="s">
        <v>421</v>
      </c>
      <c r="D139" s="109" t="s">
        <v>51</v>
      </c>
      <c r="E139" s="108" t="s">
        <v>121</v>
      </c>
      <c r="F139" s="110">
        <v>80000</v>
      </c>
      <c r="G139" s="110">
        <f t="shared" si="45"/>
        <v>2296</v>
      </c>
      <c r="H139" s="82">
        <f t="shared" si="46"/>
        <v>2432</v>
      </c>
      <c r="I139" s="82"/>
      <c r="J139" s="77">
        <f t="shared" si="47"/>
        <v>4728</v>
      </c>
      <c r="K139" s="77">
        <f>+F139-J139</f>
        <v>75272</v>
      </c>
      <c r="L139" s="77">
        <f t="shared" si="49"/>
        <v>7400.9372916666662</v>
      </c>
      <c r="M139" s="77"/>
      <c r="N139" s="84">
        <v>25</v>
      </c>
      <c r="O139" s="107">
        <f t="shared" si="50"/>
        <v>12153.937291666665</v>
      </c>
      <c r="P139" s="78">
        <f t="shared" si="48"/>
        <v>67846.062708333338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</row>
    <row r="140" spans="1:60" s="39" customFormat="1" ht="30" customHeight="1" x14ac:dyDescent="0.25">
      <c r="A140" s="80">
        <f>+A139+1</f>
        <v>77</v>
      </c>
      <c r="B140" s="108" t="s">
        <v>267</v>
      </c>
      <c r="C140" s="36" t="s">
        <v>420</v>
      </c>
      <c r="D140" s="109" t="s">
        <v>51</v>
      </c>
      <c r="E140" s="108" t="s">
        <v>121</v>
      </c>
      <c r="F140" s="110">
        <v>80000</v>
      </c>
      <c r="G140" s="110">
        <f t="shared" si="45"/>
        <v>2296</v>
      </c>
      <c r="H140" s="82">
        <f t="shared" si="46"/>
        <v>2432</v>
      </c>
      <c r="I140" s="82"/>
      <c r="J140" s="77">
        <f t="shared" si="47"/>
        <v>4728</v>
      </c>
      <c r="K140" s="77">
        <f t="shared" ref="K140:K205" si="51">+F140-J140</f>
        <v>75272</v>
      </c>
      <c r="L140" s="77">
        <f t="shared" si="49"/>
        <v>7400.9372916666662</v>
      </c>
      <c r="M140" s="77"/>
      <c r="N140" s="84">
        <v>25</v>
      </c>
      <c r="O140" s="107">
        <f t="shared" si="50"/>
        <v>12153.937291666665</v>
      </c>
      <c r="P140" s="78">
        <f t="shared" si="48"/>
        <v>67846.062708333338</v>
      </c>
    </row>
    <row r="141" spans="1:60" s="53" customFormat="1" ht="30" customHeight="1" x14ac:dyDescent="0.25">
      <c r="A141" s="80">
        <f>+A140+1</f>
        <v>78</v>
      </c>
      <c r="B141" s="108" t="s">
        <v>268</v>
      </c>
      <c r="C141" s="36" t="s">
        <v>421</v>
      </c>
      <c r="D141" s="109" t="s">
        <v>51</v>
      </c>
      <c r="E141" s="108" t="s">
        <v>122</v>
      </c>
      <c r="F141" s="110">
        <v>80000</v>
      </c>
      <c r="G141" s="110">
        <f t="shared" si="45"/>
        <v>2296</v>
      </c>
      <c r="H141" s="82">
        <f t="shared" si="46"/>
        <v>2432</v>
      </c>
      <c r="I141" s="82">
        <v>1597.31</v>
      </c>
      <c r="J141" s="77">
        <f t="shared" si="47"/>
        <v>6325.3099999999995</v>
      </c>
      <c r="K141" s="77">
        <f t="shared" si="51"/>
        <v>73674.69</v>
      </c>
      <c r="L141" s="77">
        <f t="shared" si="49"/>
        <v>7001.6097916666668</v>
      </c>
      <c r="M141" s="77"/>
      <c r="N141" s="84">
        <v>2025</v>
      </c>
      <c r="O141" s="107">
        <f t="shared" si="50"/>
        <v>15351.919791666667</v>
      </c>
      <c r="P141" s="78">
        <f t="shared" si="48"/>
        <v>64648.080208333333</v>
      </c>
      <c r="Q141" s="39"/>
    </row>
    <row r="142" spans="1:60" s="87" customFormat="1" ht="30" customHeight="1" x14ac:dyDescent="0.25">
      <c r="A142" s="206" t="s">
        <v>125</v>
      </c>
      <c r="B142" s="207"/>
      <c r="C142" s="207"/>
      <c r="D142" s="207"/>
      <c r="E142" s="208"/>
      <c r="F142" s="37">
        <f>SUM(F136:F141)</f>
        <v>510000</v>
      </c>
      <c r="G142" s="37">
        <f t="shared" ref="G142:P142" si="52">SUM(G136:G141)</f>
        <v>14637</v>
      </c>
      <c r="H142" s="37">
        <f t="shared" si="52"/>
        <v>15504</v>
      </c>
      <c r="I142" s="37">
        <f t="shared" si="52"/>
        <v>4791.93</v>
      </c>
      <c r="J142" s="37">
        <f t="shared" si="52"/>
        <v>34932.93</v>
      </c>
      <c r="K142" s="37">
        <f t="shared" si="52"/>
        <v>475067.07</v>
      </c>
      <c r="L142" s="37">
        <f t="shared" si="52"/>
        <v>50264.391250000008</v>
      </c>
      <c r="M142" s="37">
        <f t="shared" si="52"/>
        <v>0</v>
      </c>
      <c r="N142" s="37">
        <f t="shared" si="52"/>
        <v>25194.9</v>
      </c>
      <c r="O142" s="37">
        <f t="shared" si="52"/>
        <v>110392.22125</v>
      </c>
      <c r="P142" s="37">
        <f t="shared" si="52"/>
        <v>399607.77875000006</v>
      </c>
      <c r="Q142" s="47"/>
    </row>
    <row r="143" spans="1:60" s="47" customFormat="1" ht="30" customHeight="1" thickBot="1" x14ac:dyDescent="0.3">
      <c r="A143" s="44"/>
      <c r="B143" s="42"/>
      <c r="C143" s="44"/>
      <c r="D143" s="42"/>
      <c r="E143" s="42"/>
      <c r="F143" s="39"/>
      <c r="G143" s="32"/>
      <c r="H143" s="32"/>
      <c r="I143" s="32"/>
      <c r="J143" s="32"/>
      <c r="K143" s="32"/>
      <c r="L143" s="32"/>
      <c r="M143" s="32"/>
      <c r="N143" s="32"/>
      <c r="O143" s="32"/>
      <c r="P143" s="32"/>
    </row>
    <row r="144" spans="1:60" ht="30" customHeight="1" thickBot="1" x14ac:dyDescent="0.3">
      <c r="A144" s="292" t="s">
        <v>171</v>
      </c>
      <c r="B144" s="293"/>
      <c r="C144" s="293"/>
      <c r="D144" s="293"/>
      <c r="E144" s="293"/>
      <c r="F144" s="212"/>
      <c r="G144" s="212"/>
      <c r="H144" s="212"/>
      <c r="I144" s="212"/>
      <c r="J144" s="212"/>
      <c r="K144" s="212"/>
      <c r="L144" s="212"/>
      <c r="M144" s="212"/>
      <c r="N144" s="212"/>
      <c r="O144" s="212"/>
      <c r="P144" s="21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</row>
    <row r="145" spans="1:60" s="39" customFormat="1" ht="30" customHeight="1" x14ac:dyDescent="0.25">
      <c r="A145" s="80">
        <f>+A141+1</f>
        <v>79</v>
      </c>
      <c r="B145" s="81" t="s">
        <v>269</v>
      </c>
      <c r="C145" s="80" t="s">
        <v>421</v>
      </c>
      <c r="D145" s="85" t="s">
        <v>51</v>
      </c>
      <c r="E145" s="81" t="s">
        <v>122</v>
      </c>
      <c r="F145" s="82">
        <v>90000</v>
      </c>
      <c r="G145" s="82">
        <f>F145*2.87%</f>
        <v>2583</v>
      </c>
      <c r="H145" s="82">
        <f>+F145*3.04%</f>
        <v>2736</v>
      </c>
      <c r="I145" s="82">
        <v>1597.31</v>
      </c>
      <c r="J145" s="77">
        <f t="shared" si="47"/>
        <v>6916.3099999999995</v>
      </c>
      <c r="K145" s="77">
        <f t="shared" si="51"/>
        <v>83083.69</v>
      </c>
      <c r="L145" s="77">
        <f>+IF(K145*12&lt;=416220.01,0,IF(K145*12&lt;=624329.01,(((K145*12-416220.01)*0.15)/12),IF((K145*12&lt;=867123.01),(31216+0.2*(K145*12-624329.01))/12,((79776+0.25*(K145*12-867123.01))/12))))-M145</f>
        <v>9353.8597916666677</v>
      </c>
      <c r="M145" s="77"/>
      <c r="N145" s="84">
        <v>25</v>
      </c>
      <c r="O145" s="107">
        <f t="shared" si="50"/>
        <v>16295.169791666667</v>
      </c>
      <c r="P145" s="78">
        <f>+F145-O145</f>
        <v>73704.830208333326</v>
      </c>
    </row>
    <row r="146" spans="1:60" s="53" customFormat="1" ht="30" customHeight="1" x14ac:dyDescent="0.25">
      <c r="A146" s="80">
        <f>+A145+1</f>
        <v>80</v>
      </c>
      <c r="B146" s="108" t="s">
        <v>188</v>
      </c>
      <c r="C146" s="36" t="s">
        <v>420</v>
      </c>
      <c r="D146" s="108" t="s">
        <v>51</v>
      </c>
      <c r="E146" s="108" t="s">
        <v>121</v>
      </c>
      <c r="F146" s="110">
        <v>90000</v>
      </c>
      <c r="G146" s="82">
        <f>F146*2.87%</f>
        <v>2583</v>
      </c>
      <c r="H146" s="82">
        <f>+F146*3.04%</f>
        <v>2736</v>
      </c>
      <c r="I146" s="82"/>
      <c r="J146" s="77">
        <f t="shared" si="47"/>
        <v>5319</v>
      </c>
      <c r="K146" s="77">
        <f t="shared" si="51"/>
        <v>84681</v>
      </c>
      <c r="L146" s="77">
        <f>+IF(K146*12&lt;=416220.01,0,IF(K146*12&lt;=624329.01,(((K146*12-416220.01)*0.15)/12),IF((K146*12&lt;=867123.01),(31216+0.2*(K146*12-624329.01))/12,((79776+0.25*(K146*12-867123.01))/12))))-M146</f>
        <v>9753.1872916666671</v>
      </c>
      <c r="M146" s="77"/>
      <c r="N146" s="84">
        <v>25</v>
      </c>
      <c r="O146" s="107">
        <f t="shared" si="50"/>
        <v>15097.187291666667</v>
      </c>
      <c r="P146" s="78">
        <f>+F146-O146</f>
        <v>74902.812708333338</v>
      </c>
      <c r="Q146" s="39"/>
    </row>
    <row r="147" spans="1:60" s="53" customFormat="1" ht="30" customHeight="1" x14ac:dyDescent="0.25">
      <c r="A147" s="206" t="s">
        <v>125</v>
      </c>
      <c r="B147" s="207"/>
      <c r="C147" s="207"/>
      <c r="D147" s="207"/>
      <c r="E147" s="208"/>
      <c r="F147" s="37">
        <f>SUM(F145:F146)</f>
        <v>180000</v>
      </c>
      <c r="G147" s="37">
        <f t="shared" ref="G147:P147" si="53">SUM(G145:G146)</f>
        <v>5166</v>
      </c>
      <c r="H147" s="37">
        <f t="shared" si="53"/>
        <v>5472</v>
      </c>
      <c r="I147" s="37">
        <f t="shared" si="53"/>
        <v>1597.31</v>
      </c>
      <c r="J147" s="37">
        <f t="shared" si="53"/>
        <v>12235.31</v>
      </c>
      <c r="K147" s="37">
        <f t="shared" si="53"/>
        <v>167764.69</v>
      </c>
      <c r="L147" s="37">
        <f t="shared" si="53"/>
        <v>19107.047083333335</v>
      </c>
      <c r="M147" s="37">
        <f t="shared" si="53"/>
        <v>0</v>
      </c>
      <c r="N147" s="37">
        <f t="shared" si="53"/>
        <v>50</v>
      </c>
      <c r="O147" s="37">
        <f t="shared" si="53"/>
        <v>31392.357083333336</v>
      </c>
      <c r="P147" s="37">
        <f t="shared" si="53"/>
        <v>148607.64291666666</v>
      </c>
      <c r="Q147" s="39"/>
    </row>
    <row r="148" spans="1:60" s="53" customFormat="1" ht="30" customHeight="1" thickBot="1" x14ac:dyDescent="0.3">
      <c r="A148" s="44"/>
      <c r="B148" s="42"/>
      <c r="C148" s="44"/>
      <c r="D148" s="42"/>
      <c r="E148" s="42"/>
      <c r="F148" s="39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9"/>
    </row>
    <row r="149" spans="1:60" s="53" customFormat="1" ht="30" customHeight="1" thickBot="1" x14ac:dyDescent="0.3">
      <c r="A149" s="292" t="s">
        <v>172</v>
      </c>
      <c r="B149" s="293"/>
      <c r="C149" s="293"/>
      <c r="D149" s="293"/>
      <c r="E149" s="293"/>
      <c r="F149" s="212"/>
      <c r="G149" s="212"/>
      <c r="H149" s="212"/>
      <c r="I149" s="212"/>
      <c r="J149" s="212"/>
      <c r="K149" s="212"/>
      <c r="L149" s="212"/>
      <c r="M149" s="212"/>
      <c r="N149" s="212"/>
      <c r="O149" s="212"/>
      <c r="P149" s="212"/>
      <c r="Q149" s="39"/>
    </row>
    <row r="150" spans="1:60" s="53" customFormat="1" ht="30" customHeight="1" x14ac:dyDescent="0.25">
      <c r="A150" s="75">
        <f>+A146+1</f>
        <v>81</v>
      </c>
      <c r="B150" s="112" t="s">
        <v>271</v>
      </c>
      <c r="C150" s="122" t="s">
        <v>420</v>
      </c>
      <c r="D150" s="123" t="s">
        <v>272</v>
      </c>
      <c r="E150" s="108" t="s">
        <v>122</v>
      </c>
      <c r="F150" s="107">
        <v>126500</v>
      </c>
      <c r="G150" s="82">
        <v>3630.55</v>
      </c>
      <c r="H150" s="82">
        <v>3845.6</v>
      </c>
      <c r="I150" s="82">
        <v>1597.31</v>
      </c>
      <c r="J150" s="77">
        <f t="shared" si="47"/>
        <v>9073.4599999999991</v>
      </c>
      <c r="K150" s="77">
        <f t="shared" si="51"/>
        <v>117426.54000000001</v>
      </c>
      <c r="L150" s="77">
        <f>+IF(K150*12&lt;=416220.01,0,IF(K150*12&lt;=624329.01,(((K150*12-416220.01)*0.15)/12),IF((K150*12&lt;=867123.01),(31216+0.2*(K150*12-624329.01))/12,((79776+0.25*(K150*12-867123.01))/12))))-M150</f>
        <v>17939.572291666667</v>
      </c>
      <c r="M150" s="77"/>
      <c r="N150" s="84">
        <v>1125</v>
      </c>
      <c r="O150" s="107">
        <f t="shared" si="50"/>
        <v>28138.032291666666</v>
      </c>
      <c r="P150" s="78">
        <f>+F150-O150</f>
        <v>98361.967708333337</v>
      </c>
      <c r="Q150" s="39"/>
    </row>
    <row r="151" spans="1:60" s="47" customFormat="1" ht="30" customHeight="1" x14ac:dyDescent="0.25">
      <c r="A151" s="80">
        <f>A150+1</f>
        <v>82</v>
      </c>
      <c r="B151" s="108" t="s">
        <v>273</v>
      </c>
      <c r="C151" s="36" t="s">
        <v>421</v>
      </c>
      <c r="D151" s="109" t="s">
        <v>51</v>
      </c>
      <c r="E151" s="108" t="s">
        <v>122</v>
      </c>
      <c r="F151" s="110">
        <v>90000</v>
      </c>
      <c r="G151" s="110">
        <f>F151*2.87%</f>
        <v>2583</v>
      </c>
      <c r="H151" s="82">
        <f>+F151*3.04%</f>
        <v>2736</v>
      </c>
      <c r="I151" s="82"/>
      <c r="J151" s="77">
        <f t="shared" si="47"/>
        <v>5319</v>
      </c>
      <c r="K151" s="77">
        <f t="shared" si="51"/>
        <v>84681</v>
      </c>
      <c r="L151" s="77">
        <f t="shared" ref="L151:L154" si="54">+IF(K151*12&lt;=416220.01,0,IF(K151*12&lt;=624329.01,(((K151*12-416220.01)*0.15)/12),IF((K151*12&lt;=867123.01),(31216+0.2*(K151*12-624329.01))/12,((79776+0.25*(K151*12-867123.01))/12))))-M151</f>
        <v>9753.1872916666671</v>
      </c>
      <c r="M151" s="77"/>
      <c r="N151" s="84">
        <v>25</v>
      </c>
      <c r="O151" s="107">
        <f t="shared" si="50"/>
        <v>15097.187291666667</v>
      </c>
      <c r="P151" s="78">
        <f>+F151-O151</f>
        <v>74902.812708333338</v>
      </c>
    </row>
    <row r="152" spans="1:60" ht="29.25" customHeight="1" x14ac:dyDescent="0.25">
      <c r="A152" s="80">
        <f>+A151+1</f>
        <v>83</v>
      </c>
      <c r="B152" s="108" t="s">
        <v>274</v>
      </c>
      <c r="C152" s="36" t="s">
        <v>421</v>
      </c>
      <c r="D152" s="109" t="s">
        <v>51</v>
      </c>
      <c r="E152" s="108" t="s">
        <v>122</v>
      </c>
      <c r="F152" s="110">
        <v>90000</v>
      </c>
      <c r="G152" s="110">
        <f>F152*2.87%</f>
        <v>2583</v>
      </c>
      <c r="H152" s="82">
        <f>+F152*3.04%</f>
        <v>2736</v>
      </c>
      <c r="I152" s="82"/>
      <c r="J152" s="77">
        <f t="shared" si="47"/>
        <v>5319</v>
      </c>
      <c r="K152" s="77">
        <f t="shared" si="51"/>
        <v>84681</v>
      </c>
      <c r="L152" s="77">
        <f t="shared" si="54"/>
        <v>9753.1872916666671</v>
      </c>
      <c r="M152" s="77"/>
      <c r="N152" s="84">
        <v>1125</v>
      </c>
      <c r="O152" s="107">
        <f t="shared" si="50"/>
        <v>16197.187291666667</v>
      </c>
      <c r="P152" s="78">
        <f>+F152-O152</f>
        <v>73802.812708333338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</row>
    <row r="153" spans="1:60" ht="29.25" customHeight="1" x14ac:dyDescent="0.25">
      <c r="A153" s="75">
        <f>+A152+1</f>
        <v>84</v>
      </c>
      <c r="B153" s="108" t="s">
        <v>140</v>
      </c>
      <c r="C153" s="36" t="s">
        <v>421</v>
      </c>
      <c r="D153" s="109" t="s">
        <v>51</v>
      </c>
      <c r="E153" s="108" t="s">
        <v>122</v>
      </c>
      <c r="F153" s="110">
        <v>80000</v>
      </c>
      <c r="G153" s="110">
        <f>F153*2.87%</f>
        <v>2296</v>
      </c>
      <c r="H153" s="82">
        <f>+F153*3.04%</f>
        <v>2432</v>
      </c>
      <c r="I153" s="82"/>
      <c r="J153" s="77">
        <f t="shared" si="47"/>
        <v>4728</v>
      </c>
      <c r="K153" s="77">
        <f t="shared" si="51"/>
        <v>75272</v>
      </c>
      <c r="L153" s="77">
        <f t="shared" si="54"/>
        <v>7400.9372916666662</v>
      </c>
      <c r="M153" s="77"/>
      <c r="N153" s="84">
        <v>1025</v>
      </c>
      <c r="O153" s="107">
        <f t="shared" si="50"/>
        <v>13153.937291666665</v>
      </c>
      <c r="P153" s="78">
        <f>+F153-O153</f>
        <v>66846.062708333338</v>
      </c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</row>
    <row r="154" spans="1:60" s="53" customFormat="1" ht="30" customHeight="1" x14ac:dyDescent="0.25">
      <c r="A154" s="80">
        <f>+A153+1</f>
        <v>85</v>
      </c>
      <c r="B154" s="108" t="s">
        <v>71</v>
      </c>
      <c r="C154" s="36" t="s">
        <v>420</v>
      </c>
      <c r="D154" s="109" t="s">
        <v>51</v>
      </c>
      <c r="E154" s="108" t="s">
        <v>122</v>
      </c>
      <c r="F154" s="110">
        <v>80000</v>
      </c>
      <c r="G154" s="110">
        <f>F154*2.87%</f>
        <v>2296</v>
      </c>
      <c r="H154" s="82">
        <f>+F154*3.04%</f>
        <v>2432</v>
      </c>
      <c r="I154" s="82">
        <v>1597.31</v>
      </c>
      <c r="J154" s="77">
        <f t="shared" si="47"/>
        <v>6325.3099999999995</v>
      </c>
      <c r="K154" s="77">
        <f t="shared" si="51"/>
        <v>73674.69</v>
      </c>
      <c r="L154" s="77">
        <f t="shared" si="54"/>
        <v>7001.6097916666668</v>
      </c>
      <c r="M154" s="77"/>
      <c r="N154" s="84">
        <v>1525</v>
      </c>
      <c r="O154" s="107">
        <f t="shared" si="50"/>
        <v>14851.919791666667</v>
      </c>
      <c r="P154" s="78">
        <f>+F154-O154</f>
        <v>65148.080208333333</v>
      </c>
      <c r="Q154" s="39"/>
    </row>
    <row r="155" spans="1:60" s="47" customFormat="1" ht="47.45" customHeight="1" x14ac:dyDescent="0.25">
      <c r="A155" s="206" t="s">
        <v>125</v>
      </c>
      <c r="B155" s="207"/>
      <c r="C155" s="207"/>
      <c r="D155" s="207"/>
      <c r="E155" s="208"/>
      <c r="F155" s="37">
        <f>SUM(F150:F154)</f>
        <v>466500</v>
      </c>
      <c r="G155" s="37">
        <f t="shared" ref="G155:P155" si="55">SUM(G150:G154)</f>
        <v>13388.55</v>
      </c>
      <c r="H155" s="37">
        <f t="shared" si="55"/>
        <v>14181.6</v>
      </c>
      <c r="I155" s="37">
        <f t="shared" si="55"/>
        <v>3194.62</v>
      </c>
      <c r="J155" s="37">
        <f t="shared" si="55"/>
        <v>30764.769999999997</v>
      </c>
      <c r="K155" s="37">
        <f t="shared" si="55"/>
        <v>435735.23000000004</v>
      </c>
      <c r="L155" s="37">
        <f t="shared" si="55"/>
        <v>51848.49395833334</v>
      </c>
      <c r="M155" s="37">
        <f t="shared" si="55"/>
        <v>0</v>
      </c>
      <c r="N155" s="37">
        <f t="shared" si="55"/>
        <v>4825</v>
      </c>
      <c r="O155" s="37">
        <f t="shared" si="55"/>
        <v>87438.263958333322</v>
      </c>
      <c r="P155" s="37">
        <f t="shared" si="55"/>
        <v>379061.73604166671</v>
      </c>
    </row>
    <row r="156" spans="1:60" s="47" customFormat="1" ht="37.5" customHeight="1" thickBot="1" x14ac:dyDescent="0.3">
      <c r="A156" s="50"/>
      <c r="B156" s="50"/>
      <c r="C156" s="50"/>
      <c r="D156" s="50"/>
      <c r="E156" s="5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</row>
    <row r="157" spans="1:60" customFormat="1" ht="27" customHeight="1" thickBot="1" x14ac:dyDescent="0.3">
      <c r="A157" s="209" t="s">
        <v>173</v>
      </c>
      <c r="B157" s="210"/>
      <c r="C157" s="210"/>
      <c r="D157" s="210"/>
      <c r="E157" s="210"/>
      <c r="F157" s="210"/>
      <c r="G157" s="210"/>
      <c r="H157" s="210"/>
      <c r="I157" s="210"/>
      <c r="J157" s="210"/>
      <c r="K157" s="210"/>
      <c r="L157" s="210"/>
      <c r="M157" s="210"/>
      <c r="N157" s="210"/>
      <c r="O157" s="210"/>
      <c r="P157" s="210"/>
      <c r="Q157" s="32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79"/>
      <c r="AD157" s="79"/>
      <c r="AE157" s="79"/>
      <c r="AF157" s="79"/>
      <c r="AG157" s="79"/>
      <c r="AH157" s="79"/>
      <c r="AI157" s="79"/>
      <c r="AJ157" s="79"/>
      <c r="AK157" s="79"/>
      <c r="AL157" s="79"/>
      <c r="AM157" s="79"/>
      <c r="AN157" s="79"/>
      <c r="AO157" s="79"/>
      <c r="AP157" s="79"/>
      <c r="AQ157" s="79"/>
      <c r="AR157" s="79"/>
      <c r="AS157" s="79"/>
      <c r="AT157" s="79"/>
      <c r="AU157" s="79"/>
      <c r="AV157" s="79"/>
      <c r="AW157" s="79"/>
      <c r="AX157" s="79"/>
      <c r="AY157" s="79"/>
      <c r="AZ157" s="79"/>
      <c r="BA157" s="79"/>
      <c r="BB157" s="79"/>
      <c r="BC157" s="79"/>
      <c r="BD157" s="79"/>
      <c r="BE157" s="79"/>
      <c r="BF157" s="79"/>
      <c r="BG157" s="79"/>
      <c r="BH157" s="79"/>
    </row>
    <row r="158" spans="1:60" s="39" customFormat="1" ht="30" customHeight="1" x14ac:dyDescent="0.25">
      <c r="A158" s="80">
        <f>+A154+1</f>
        <v>86</v>
      </c>
      <c r="B158" s="108" t="s">
        <v>72</v>
      </c>
      <c r="C158" s="36" t="s">
        <v>421</v>
      </c>
      <c r="D158" s="109" t="s">
        <v>200</v>
      </c>
      <c r="E158" s="108" t="s">
        <v>122</v>
      </c>
      <c r="F158" s="110">
        <v>148500</v>
      </c>
      <c r="G158" s="82">
        <v>4261.95</v>
      </c>
      <c r="H158" s="82">
        <v>4514.3999999999996</v>
      </c>
      <c r="I158" s="82"/>
      <c r="J158" s="77">
        <f t="shared" si="47"/>
        <v>8776.3499999999985</v>
      </c>
      <c r="K158" s="77">
        <f t="shared" si="51"/>
        <v>139723.65</v>
      </c>
      <c r="L158" s="77">
        <f>+IF(K158*12&lt;=416220.01,0,IF(K158*12&lt;=624329.01,(((K158*12-416220.01)*0.15)/12),IF((K158*12&lt;=867123.01),(31216+0.2*(K158*12-624329.01))/12,((79776+0.25*(K158*12-867123.01))/12))))-M158</f>
        <v>23513.849791666664</v>
      </c>
      <c r="M158" s="77"/>
      <c r="N158" s="84">
        <v>13528.73</v>
      </c>
      <c r="O158" s="107">
        <f t="shared" si="50"/>
        <v>45818.929791666662</v>
      </c>
      <c r="P158" s="84">
        <f>+F158-O158</f>
        <v>102681.07020833335</v>
      </c>
    </row>
    <row r="159" spans="1:60" s="53" customFormat="1" ht="30" customHeight="1" x14ac:dyDescent="0.25">
      <c r="A159" s="36">
        <f>+A158+1</f>
        <v>87</v>
      </c>
      <c r="B159" s="108" t="s">
        <v>459</v>
      </c>
      <c r="C159" s="36" t="s">
        <v>421</v>
      </c>
      <c r="D159" s="109" t="s">
        <v>66</v>
      </c>
      <c r="E159" s="108" t="s">
        <v>228</v>
      </c>
      <c r="F159" s="110">
        <v>50000</v>
      </c>
      <c r="G159" s="82">
        <f>+F159*2.87%</f>
        <v>1435</v>
      </c>
      <c r="H159" s="82">
        <f>+F159*3.04%</f>
        <v>1520</v>
      </c>
      <c r="I159" s="82"/>
      <c r="J159" s="77">
        <f t="shared" si="47"/>
        <v>2955</v>
      </c>
      <c r="K159" s="77">
        <f t="shared" si="51"/>
        <v>47045</v>
      </c>
      <c r="L159" s="77">
        <f>+IF(K159*12&lt;=416220.01,0,IF(K159*12&lt;=624329.01,(((K159*12-416220.01)*0.15)/12),IF((K159*12&lt;=867123.01),(31216+0.2*(K159*12-624329.01))/12,((79776+0.25*(K159*12-867123.01))/12))))-M159</f>
        <v>1853.9998749999997</v>
      </c>
      <c r="M159" s="77">
        <v>0</v>
      </c>
      <c r="N159" s="84">
        <v>25</v>
      </c>
      <c r="O159" s="107">
        <f t="shared" si="50"/>
        <v>4833.9998749999995</v>
      </c>
      <c r="P159" s="84">
        <f>+F159-O159</f>
        <v>45166.000124999999</v>
      </c>
      <c r="Q159" s="39"/>
    </row>
    <row r="160" spans="1:60" s="53" customFormat="1" ht="30" customHeight="1" x14ac:dyDescent="0.25">
      <c r="A160" s="206" t="s">
        <v>125</v>
      </c>
      <c r="B160" s="207"/>
      <c r="C160" s="207"/>
      <c r="D160" s="207"/>
      <c r="E160" s="208"/>
      <c r="F160" s="37">
        <f>SUM(F158:F159)</f>
        <v>198500</v>
      </c>
      <c r="G160" s="37">
        <f t="shared" ref="G160:P160" si="56">SUM(G158:G159)</f>
        <v>5696.95</v>
      </c>
      <c r="H160" s="37">
        <f t="shared" si="56"/>
        <v>6034.4</v>
      </c>
      <c r="I160" s="37">
        <f t="shared" si="56"/>
        <v>0</v>
      </c>
      <c r="J160" s="37">
        <f t="shared" si="56"/>
        <v>11731.349999999999</v>
      </c>
      <c r="K160" s="37">
        <f t="shared" si="56"/>
        <v>186768.65</v>
      </c>
      <c r="L160" s="37">
        <f t="shared" si="56"/>
        <v>25367.849666666665</v>
      </c>
      <c r="M160" s="37">
        <f t="shared" si="56"/>
        <v>0</v>
      </c>
      <c r="N160" s="37">
        <f t="shared" si="56"/>
        <v>13553.73</v>
      </c>
      <c r="O160" s="37">
        <f t="shared" si="56"/>
        <v>50652.929666666663</v>
      </c>
      <c r="P160" s="37">
        <f t="shared" si="56"/>
        <v>147847.07033333334</v>
      </c>
      <c r="Q160" s="79"/>
    </row>
    <row r="161" spans="1:60" s="47" customFormat="1" ht="37.5" customHeight="1" thickBot="1" x14ac:dyDescent="0.3">
      <c r="A161" s="220"/>
      <c r="B161" s="220"/>
      <c r="C161" s="220"/>
      <c r="D161" s="220"/>
      <c r="E161" s="22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</row>
    <row r="162" spans="1:60" customFormat="1" ht="27" customHeight="1" thickBot="1" x14ac:dyDescent="0.3">
      <c r="A162" s="209" t="s">
        <v>634</v>
      </c>
      <c r="B162" s="210"/>
      <c r="C162" s="210"/>
      <c r="D162" s="210"/>
      <c r="E162" s="210"/>
      <c r="F162" s="210"/>
      <c r="G162" s="210"/>
      <c r="H162" s="210"/>
      <c r="I162" s="210"/>
      <c r="J162" s="210"/>
      <c r="K162" s="210"/>
      <c r="L162" s="210"/>
      <c r="M162" s="210"/>
      <c r="N162" s="210"/>
      <c r="O162" s="210"/>
      <c r="P162" s="210"/>
      <c r="Q162" s="32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  <c r="AF162" s="79"/>
      <c r="AG162" s="79"/>
      <c r="AH162" s="79"/>
      <c r="AI162" s="79"/>
      <c r="AJ162" s="79"/>
      <c r="AK162" s="79"/>
      <c r="AL162" s="79"/>
      <c r="AM162" s="79"/>
      <c r="AN162" s="79"/>
      <c r="AO162" s="79"/>
      <c r="AP162" s="79"/>
      <c r="AQ162" s="79"/>
      <c r="AR162" s="79"/>
      <c r="AS162" s="79"/>
      <c r="AT162" s="79"/>
      <c r="AU162" s="79"/>
      <c r="AV162" s="79"/>
      <c r="AW162" s="79"/>
      <c r="AX162" s="79"/>
      <c r="AY162" s="79"/>
      <c r="AZ162" s="79"/>
      <c r="BA162" s="79"/>
      <c r="BB162" s="79"/>
      <c r="BC162" s="79"/>
      <c r="BD162" s="79"/>
      <c r="BE162" s="79"/>
      <c r="BF162" s="79"/>
      <c r="BG162" s="79"/>
      <c r="BH162" s="79"/>
    </row>
    <row r="163" spans="1:60" s="53" customFormat="1" ht="30" customHeight="1" x14ac:dyDescent="0.25">
      <c r="A163" s="75">
        <f>+A159+1</f>
        <v>88</v>
      </c>
      <c r="B163" s="108" t="s">
        <v>50</v>
      </c>
      <c r="C163" s="36" t="s">
        <v>421</v>
      </c>
      <c r="D163" s="108" t="s">
        <v>51</v>
      </c>
      <c r="E163" s="108" t="s">
        <v>197</v>
      </c>
      <c r="F163" s="110">
        <v>90000</v>
      </c>
      <c r="G163" s="82">
        <f>+F163*2.87%</f>
        <v>2583</v>
      </c>
      <c r="H163" s="82">
        <f>+F163*3.04%</f>
        <v>2736</v>
      </c>
      <c r="I163" s="82"/>
      <c r="J163" s="77">
        <f t="shared" ref="J163" si="57">+G163+H163+I163</f>
        <v>5319</v>
      </c>
      <c r="K163" s="77">
        <f t="shared" ref="K163" si="58">+F163-J163</f>
        <v>84681</v>
      </c>
      <c r="L163" s="77">
        <f>+IF(K163*12&lt;=416220.01,0,IF(K163*12&lt;=624329.01,(((K163*12-416220.01)*0.15)/12),IF((K163*12&lt;=867123.01),(31216+0.2*(K163*12-624329.01))/12,((79776+0.25*(K163*12-867123.01))/12))))-M163</f>
        <v>9753.1872916666671</v>
      </c>
      <c r="M163" s="77"/>
      <c r="N163" s="84">
        <v>25</v>
      </c>
      <c r="O163" s="107">
        <f t="shared" ref="O163" si="59">+N163+I163+H163+G163+L163</f>
        <v>15097.187291666667</v>
      </c>
      <c r="P163" s="84">
        <f>+F163-O163</f>
        <v>74902.812708333338</v>
      </c>
      <c r="Q163" s="39"/>
    </row>
    <row r="164" spans="1:60" s="53" customFormat="1" ht="30" customHeight="1" x14ac:dyDescent="0.25">
      <c r="A164" s="206" t="s">
        <v>125</v>
      </c>
      <c r="B164" s="207"/>
      <c r="C164" s="207"/>
      <c r="D164" s="207"/>
      <c r="E164" s="208"/>
      <c r="F164" s="37">
        <f>SUM(F163)</f>
        <v>90000</v>
      </c>
      <c r="G164" s="37">
        <f t="shared" ref="G164:P164" si="60">SUM(G163)</f>
        <v>2583</v>
      </c>
      <c r="H164" s="37">
        <f t="shared" si="60"/>
        <v>2736</v>
      </c>
      <c r="I164" s="37">
        <f t="shared" si="60"/>
        <v>0</v>
      </c>
      <c r="J164" s="37">
        <f t="shared" si="60"/>
        <v>5319</v>
      </c>
      <c r="K164" s="37">
        <f t="shared" si="60"/>
        <v>84681</v>
      </c>
      <c r="L164" s="37">
        <f t="shared" si="60"/>
        <v>9753.1872916666671</v>
      </c>
      <c r="M164" s="37">
        <f t="shared" si="60"/>
        <v>0</v>
      </c>
      <c r="N164" s="37">
        <f t="shared" si="60"/>
        <v>25</v>
      </c>
      <c r="O164" s="37">
        <f t="shared" si="60"/>
        <v>15097.187291666667</v>
      </c>
      <c r="P164" s="37">
        <f t="shared" si="60"/>
        <v>74902.812708333338</v>
      </c>
      <c r="Q164" s="39"/>
    </row>
    <row r="165" spans="1:60" s="53" customFormat="1" ht="30" customHeight="1" thickBot="1" x14ac:dyDescent="0.3">
      <c r="A165" s="79"/>
      <c r="B165" s="79"/>
      <c r="C165" s="286"/>
      <c r="D165" s="79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39"/>
    </row>
    <row r="166" spans="1:60" s="31" customFormat="1" ht="30" customHeight="1" thickBot="1" x14ac:dyDescent="0.3">
      <c r="A166" s="292" t="s">
        <v>174</v>
      </c>
      <c r="B166" s="293"/>
      <c r="C166" s="293"/>
      <c r="D166" s="293"/>
      <c r="E166" s="293"/>
      <c r="F166" s="212"/>
      <c r="G166" s="212"/>
      <c r="H166" s="212"/>
      <c r="I166" s="212"/>
      <c r="J166" s="212"/>
      <c r="K166" s="212"/>
      <c r="L166" s="212"/>
      <c r="M166" s="212"/>
      <c r="N166" s="212"/>
      <c r="O166" s="212"/>
      <c r="P166" s="212"/>
      <c r="Q166" s="32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  <c r="AP166" s="79"/>
      <c r="AQ166" s="79"/>
      <c r="AR166" s="79"/>
      <c r="AS166" s="79"/>
      <c r="AT166" s="79"/>
      <c r="AU166" s="79"/>
      <c r="AV166" s="79"/>
      <c r="AW166" s="79"/>
      <c r="AX166" s="79"/>
      <c r="AY166" s="79"/>
      <c r="AZ166" s="79"/>
      <c r="BA166" s="79"/>
      <c r="BB166" s="79"/>
      <c r="BC166" s="79"/>
      <c r="BD166" s="79"/>
      <c r="BE166" s="79"/>
      <c r="BF166" s="79"/>
      <c r="BG166" s="79"/>
      <c r="BH166" s="79"/>
    </row>
    <row r="167" spans="1:60" s="39" customFormat="1" ht="30" customHeight="1" x14ac:dyDescent="0.25">
      <c r="A167" s="80">
        <f>+A163+1</f>
        <v>89</v>
      </c>
      <c r="B167" s="108" t="s">
        <v>189</v>
      </c>
      <c r="C167" s="36" t="s">
        <v>421</v>
      </c>
      <c r="D167" s="109" t="s">
        <v>51</v>
      </c>
      <c r="E167" s="108" t="s">
        <v>122</v>
      </c>
      <c r="F167" s="110">
        <v>100000</v>
      </c>
      <c r="G167" s="110">
        <f>F167*2.87%</f>
        <v>2870</v>
      </c>
      <c r="H167" s="82">
        <f>+F167*3.04%</f>
        <v>3040</v>
      </c>
      <c r="I167" s="82">
        <v>3194.62</v>
      </c>
      <c r="J167" s="77">
        <f t="shared" si="47"/>
        <v>9104.619999999999</v>
      </c>
      <c r="K167" s="77">
        <f>+F167-J167</f>
        <v>90895.38</v>
      </c>
      <c r="L167" s="77">
        <f>+IF(K167*12&lt;=416220.01,0,IF(K167*12&lt;=624329.01,(((K167*12-416220.01)*0.15)/12),IF((K167*12&lt;=867123.01),(31216+0.2*(K167*12-624329.01))/12,((79776+0.25*(K167*12-867123.01))/12))))-M167</f>
        <v>11306.782291666668</v>
      </c>
      <c r="M167" s="77"/>
      <c r="N167" s="84">
        <v>25</v>
      </c>
      <c r="O167" s="107">
        <f t="shared" si="50"/>
        <v>20436.402291666665</v>
      </c>
      <c r="P167" s="78">
        <f>+F167-O167</f>
        <v>79563.597708333342</v>
      </c>
    </row>
    <row r="168" spans="1:60" s="39" customFormat="1" ht="30" customHeight="1" x14ac:dyDescent="0.25">
      <c r="A168" s="80">
        <f>+A167+1</f>
        <v>90</v>
      </c>
      <c r="B168" s="108" t="s">
        <v>276</v>
      </c>
      <c r="C168" s="36" t="s">
        <v>421</v>
      </c>
      <c r="D168" s="109" t="s">
        <v>51</v>
      </c>
      <c r="E168" s="108" t="s">
        <v>122</v>
      </c>
      <c r="F168" s="110">
        <v>95000</v>
      </c>
      <c r="G168" s="110">
        <f>F168*2.87%</f>
        <v>2726.5</v>
      </c>
      <c r="H168" s="82">
        <f>+F168*3.04%</f>
        <v>2888</v>
      </c>
      <c r="I168" s="82"/>
      <c r="J168" s="77">
        <f t="shared" si="47"/>
        <v>5614.5</v>
      </c>
      <c r="K168" s="77">
        <f t="shared" si="51"/>
        <v>89385.5</v>
      </c>
      <c r="L168" s="77">
        <f t="shared" ref="L168:L170" si="61">+IF(K168*12&lt;=416220.01,0,IF(K168*12&lt;=624329.01,(((K168*12-416220.01)*0.15)/12),IF((K168*12&lt;=867123.01),(31216+0.2*(K168*12-624329.01))/12,((79776+0.25*(K168*12-867123.01))/12))))-M168</f>
        <v>10929.312291666667</v>
      </c>
      <c r="M168" s="77"/>
      <c r="N168" s="84">
        <v>105</v>
      </c>
      <c r="O168" s="107">
        <f t="shared" si="50"/>
        <v>16648.812291666669</v>
      </c>
      <c r="P168" s="78">
        <f>+F168-O168</f>
        <v>78351.187708333338</v>
      </c>
    </row>
    <row r="169" spans="1:60" s="39" customFormat="1" ht="30" customHeight="1" x14ac:dyDescent="0.25">
      <c r="A169" s="80">
        <f>+A168+1</f>
        <v>91</v>
      </c>
      <c r="B169" s="108" t="s">
        <v>277</v>
      </c>
      <c r="C169" s="36" t="s">
        <v>420</v>
      </c>
      <c r="D169" s="109" t="s">
        <v>51</v>
      </c>
      <c r="E169" s="108" t="s">
        <v>122</v>
      </c>
      <c r="F169" s="110">
        <v>90000</v>
      </c>
      <c r="G169" s="110">
        <f>F169*2.87%</f>
        <v>2583</v>
      </c>
      <c r="H169" s="82">
        <f>F169*3.04%</f>
        <v>2736</v>
      </c>
      <c r="I169" s="82"/>
      <c r="J169" s="77">
        <f t="shared" si="47"/>
        <v>5319</v>
      </c>
      <c r="K169" s="77">
        <f t="shared" si="51"/>
        <v>84681</v>
      </c>
      <c r="L169" s="77">
        <f t="shared" si="61"/>
        <v>9753.1872916666671</v>
      </c>
      <c r="M169" s="77"/>
      <c r="N169" s="84">
        <v>65</v>
      </c>
      <c r="O169" s="107">
        <f t="shared" si="50"/>
        <v>15137.187291666667</v>
      </c>
      <c r="P169" s="78">
        <f>+F169-O169</f>
        <v>74862.812708333338</v>
      </c>
    </row>
    <row r="170" spans="1:60" s="39" customFormat="1" ht="30" customHeight="1" x14ac:dyDescent="0.25">
      <c r="A170" s="75">
        <f>+A169+1</f>
        <v>92</v>
      </c>
      <c r="B170" s="108" t="s">
        <v>47</v>
      </c>
      <c r="C170" s="36" t="s">
        <v>420</v>
      </c>
      <c r="D170" s="108" t="s">
        <v>51</v>
      </c>
      <c r="E170" s="108" t="s">
        <v>121</v>
      </c>
      <c r="F170" s="110">
        <v>80000</v>
      </c>
      <c r="G170" s="110">
        <f>F170*2.87%</f>
        <v>2296</v>
      </c>
      <c r="H170" s="82">
        <f>+F170*3.04%</f>
        <v>2432</v>
      </c>
      <c r="I170" s="82">
        <v>1597.31</v>
      </c>
      <c r="J170" s="77">
        <f t="shared" si="47"/>
        <v>6325.3099999999995</v>
      </c>
      <c r="K170" s="77">
        <f t="shared" si="51"/>
        <v>73674.69</v>
      </c>
      <c r="L170" s="77">
        <f t="shared" si="61"/>
        <v>7001.6097916666668</v>
      </c>
      <c r="M170" s="77"/>
      <c r="N170" s="84">
        <v>205</v>
      </c>
      <c r="O170" s="107">
        <f t="shared" si="50"/>
        <v>13531.919791666667</v>
      </c>
      <c r="P170" s="78">
        <f>+F170-O170</f>
        <v>66468.080208333326</v>
      </c>
    </row>
    <row r="171" spans="1:60" s="53" customFormat="1" ht="30" customHeight="1" x14ac:dyDescent="0.25">
      <c r="A171" s="206" t="s">
        <v>125</v>
      </c>
      <c r="B171" s="207"/>
      <c r="C171" s="207"/>
      <c r="D171" s="207"/>
      <c r="E171" s="208"/>
      <c r="F171" s="37">
        <f>SUM(F167:F170)</f>
        <v>365000</v>
      </c>
      <c r="G171" s="37">
        <f t="shared" ref="G171:P171" si="62">SUM(G167:G170)</f>
        <v>10475.5</v>
      </c>
      <c r="H171" s="37">
        <f t="shared" si="62"/>
        <v>11096</v>
      </c>
      <c r="I171" s="37">
        <f t="shared" si="62"/>
        <v>4791.93</v>
      </c>
      <c r="J171" s="37">
        <f t="shared" si="62"/>
        <v>26363.43</v>
      </c>
      <c r="K171" s="37">
        <f t="shared" si="62"/>
        <v>338636.57</v>
      </c>
      <c r="L171" s="37">
        <f t="shared" si="62"/>
        <v>38990.89166666667</v>
      </c>
      <c r="M171" s="37">
        <f t="shared" si="62"/>
        <v>0</v>
      </c>
      <c r="N171" s="37">
        <f t="shared" si="62"/>
        <v>400</v>
      </c>
      <c r="O171" s="37">
        <f t="shared" si="62"/>
        <v>65754.32166666667</v>
      </c>
      <c r="P171" s="37">
        <f t="shared" si="62"/>
        <v>299245.67833333334</v>
      </c>
      <c r="Q171" s="39"/>
    </row>
    <row r="172" spans="1:60" s="39" customFormat="1" ht="30" customHeight="1" thickBot="1" x14ac:dyDescent="0.3">
      <c r="A172" s="220"/>
      <c r="B172" s="220"/>
      <c r="C172" s="220"/>
      <c r="D172" s="220"/>
      <c r="E172" s="22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</row>
    <row r="173" spans="1:60" s="39" customFormat="1" ht="30" customHeight="1" thickBot="1" x14ac:dyDescent="0.3">
      <c r="A173" s="209" t="s">
        <v>290</v>
      </c>
      <c r="B173" s="210"/>
      <c r="C173" s="210"/>
      <c r="D173" s="210"/>
      <c r="E173" s="210"/>
      <c r="F173" s="210"/>
      <c r="G173" s="210"/>
      <c r="H173" s="210"/>
      <c r="I173" s="210"/>
      <c r="J173" s="210"/>
      <c r="K173" s="210"/>
      <c r="L173" s="210"/>
      <c r="M173" s="210"/>
      <c r="N173" s="210"/>
      <c r="O173" s="210"/>
      <c r="P173" s="210"/>
    </row>
    <row r="174" spans="1:60" s="47" customFormat="1" ht="30.75" customHeight="1" thickBot="1" x14ac:dyDescent="0.3">
      <c r="A174" s="209" t="s">
        <v>291</v>
      </c>
      <c r="B174" s="210"/>
      <c r="C174" s="210"/>
      <c r="D174" s="210"/>
      <c r="E174" s="210"/>
      <c r="F174" s="210"/>
      <c r="G174" s="210"/>
      <c r="H174" s="210"/>
      <c r="I174" s="210"/>
      <c r="J174" s="210"/>
      <c r="K174" s="210"/>
      <c r="L174" s="210"/>
      <c r="M174" s="210"/>
      <c r="N174" s="210"/>
      <c r="O174" s="210"/>
      <c r="P174" s="210"/>
    </row>
    <row r="175" spans="1:60" s="47" customFormat="1" ht="30.75" customHeight="1" x14ac:dyDescent="0.25">
      <c r="A175" s="80">
        <f>+A170+1</f>
        <v>93</v>
      </c>
      <c r="B175" s="108" t="s">
        <v>279</v>
      </c>
      <c r="C175" s="36" t="s">
        <v>421</v>
      </c>
      <c r="D175" s="126" t="s">
        <v>566</v>
      </c>
      <c r="E175" s="108" t="s">
        <v>121</v>
      </c>
      <c r="F175" s="110">
        <v>120000</v>
      </c>
      <c r="G175" s="110">
        <f>F175*2.87%</f>
        <v>3444</v>
      </c>
      <c r="H175" s="82">
        <f>+F175*3.04%</f>
        <v>3648</v>
      </c>
      <c r="I175" s="82"/>
      <c r="J175" s="77">
        <f t="shared" si="47"/>
        <v>7092</v>
      </c>
      <c r="K175" s="77">
        <f t="shared" si="51"/>
        <v>112908</v>
      </c>
      <c r="L175" s="77">
        <f>+IF(K175*12&lt;=416220.01,0,IF(K175*12&lt;=624329.01,(((K175*12-416220.01)*0.15)/12),IF((K175*12&lt;=867123.01),(31216+0.2*(K175*12-624329.01))/12,((79776+0.25*(K175*12-867123.01))/12))))-M175</f>
        <v>16809.937291666665</v>
      </c>
      <c r="M175" s="77"/>
      <c r="N175" s="84">
        <v>25</v>
      </c>
      <c r="O175" s="107">
        <f t="shared" si="50"/>
        <v>23926.937291666665</v>
      </c>
      <c r="P175" s="84">
        <f>+F175-O175</f>
        <v>96073.062708333338</v>
      </c>
    </row>
    <row r="176" spans="1:60" s="53" customFormat="1" ht="30" customHeight="1" x14ac:dyDescent="0.25">
      <c r="A176" s="157">
        <f>+A175+1</f>
        <v>94</v>
      </c>
      <c r="B176" s="113" t="s">
        <v>565</v>
      </c>
      <c r="C176" s="172" t="s">
        <v>421</v>
      </c>
      <c r="D176" s="126" t="s">
        <v>278</v>
      </c>
      <c r="E176" s="108" t="s">
        <v>121</v>
      </c>
      <c r="F176" s="110">
        <v>90000</v>
      </c>
      <c r="G176" s="110">
        <f>F176*2.87%</f>
        <v>2583</v>
      </c>
      <c r="H176" s="82">
        <f>+F176*3.04%</f>
        <v>2736</v>
      </c>
      <c r="I176" s="82"/>
      <c r="J176" s="77">
        <f t="shared" si="47"/>
        <v>5319</v>
      </c>
      <c r="K176" s="77">
        <f t="shared" si="51"/>
        <v>84681</v>
      </c>
      <c r="L176" s="77">
        <f>+IF(K176*12&lt;=416220.01,0,IF(K176*12&lt;=624329.01,(((K176*12-416220.01)*0.15)/12),IF((K176*12&lt;=867123.01),(31216+0.2*(K176*12-624329.01))/12,((79776+0.25*(K176*12-867123.01))/12))))-M176</f>
        <v>9753.1872916666671</v>
      </c>
      <c r="M176" s="77"/>
      <c r="N176" s="84">
        <v>25</v>
      </c>
      <c r="O176" s="107">
        <f t="shared" si="50"/>
        <v>15097.187291666667</v>
      </c>
      <c r="P176" s="84">
        <f>+F176-O176</f>
        <v>74902.812708333338</v>
      </c>
      <c r="Q176" s="39"/>
    </row>
    <row r="177" spans="1:17" s="39" customFormat="1" ht="30" customHeight="1" x14ac:dyDescent="0.25">
      <c r="A177" s="206" t="s">
        <v>125</v>
      </c>
      <c r="B177" s="207"/>
      <c r="C177" s="207"/>
      <c r="D177" s="207"/>
      <c r="E177" s="208"/>
      <c r="F177" s="37">
        <f>SUM(F175:F176)</f>
        <v>210000</v>
      </c>
      <c r="G177" s="37">
        <f t="shared" ref="G177:P177" si="63">SUM(G175:G176)</f>
        <v>6027</v>
      </c>
      <c r="H177" s="37">
        <f t="shared" si="63"/>
        <v>6384</v>
      </c>
      <c r="I177" s="37">
        <f t="shared" si="63"/>
        <v>0</v>
      </c>
      <c r="J177" s="37">
        <f t="shared" si="63"/>
        <v>12411</v>
      </c>
      <c r="K177" s="37">
        <f t="shared" si="63"/>
        <v>197589</v>
      </c>
      <c r="L177" s="37">
        <f t="shared" si="63"/>
        <v>26563.124583333331</v>
      </c>
      <c r="M177" s="37">
        <f t="shared" si="63"/>
        <v>0</v>
      </c>
      <c r="N177" s="37">
        <f t="shared" si="63"/>
        <v>50</v>
      </c>
      <c r="O177" s="37">
        <f t="shared" si="63"/>
        <v>39024.124583333331</v>
      </c>
      <c r="P177" s="37">
        <f t="shared" si="63"/>
        <v>170975.87541666668</v>
      </c>
    </row>
    <row r="178" spans="1:17" s="39" customFormat="1" ht="24" customHeight="1" thickBot="1" x14ac:dyDescent="0.3">
      <c r="C178" s="41"/>
    </row>
    <row r="179" spans="1:17" s="53" customFormat="1" ht="51" customHeight="1" thickBot="1" x14ac:dyDescent="0.3">
      <c r="A179" s="209" t="s">
        <v>90</v>
      </c>
      <c r="B179" s="210"/>
      <c r="C179" s="210"/>
      <c r="D179" s="210"/>
      <c r="E179" s="210"/>
      <c r="F179" s="210"/>
      <c r="G179" s="210"/>
      <c r="H179" s="210"/>
      <c r="I179" s="210"/>
      <c r="J179" s="210"/>
      <c r="K179" s="210"/>
      <c r="L179" s="210"/>
      <c r="M179" s="210"/>
      <c r="N179" s="210"/>
      <c r="O179" s="210"/>
      <c r="P179" s="210"/>
      <c r="Q179" s="39"/>
    </row>
    <row r="180" spans="1:17" s="53" customFormat="1" ht="30" customHeight="1" x14ac:dyDescent="0.25">
      <c r="A180" s="80">
        <f>+A176+1</f>
        <v>95</v>
      </c>
      <c r="B180" s="108" t="s">
        <v>77</v>
      </c>
      <c r="C180" s="36" t="s">
        <v>420</v>
      </c>
      <c r="D180" s="126" t="s">
        <v>567</v>
      </c>
      <c r="E180" s="108" t="s">
        <v>121</v>
      </c>
      <c r="F180" s="107">
        <v>120000</v>
      </c>
      <c r="G180" s="77">
        <f>F180*2.87%</f>
        <v>3444</v>
      </c>
      <c r="H180" s="77">
        <f>+F180*3.04%</f>
        <v>3648</v>
      </c>
      <c r="I180" s="77"/>
      <c r="J180" s="77">
        <f t="shared" si="47"/>
        <v>7092</v>
      </c>
      <c r="K180" s="77">
        <f t="shared" si="51"/>
        <v>112908</v>
      </c>
      <c r="L180" s="77">
        <f>+IF(K180*12&lt;=416220.01,0,IF(K180*12&lt;=624329.01,(((K180*12-416220.01)*0.15)/12),IF((K180*12&lt;=867123.01),(31216+0.2*(K180*12-624329.01))/12,((79776+0.25*(K180*12-867123.01))/12))))-M180</f>
        <v>16809.937291666665</v>
      </c>
      <c r="M180" s="77"/>
      <c r="N180" s="84">
        <v>125</v>
      </c>
      <c r="O180" s="107">
        <f t="shared" si="50"/>
        <v>24026.937291666665</v>
      </c>
      <c r="P180" s="84">
        <f>+F180-O180</f>
        <v>95973.062708333338</v>
      </c>
      <c r="Q180" s="39"/>
    </row>
    <row r="181" spans="1:17" s="53" customFormat="1" ht="30" customHeight="1" thickBot="1" x14ac:dyDescent="0.3">
      <c r="A181" s="206" t="s">
        <v>125</v>
      </c>
      <c r="B181" s="207"/>
      <c r="C181" s="207"/>
      <c r="D181" s="207"/>
      <c r="E181" s="208"/>
      <c r="F181" s="37">
        <f>SUM(F180)</f>
        <v>120000</v>
      </c>
      <c r="G181" s="37">
        <f t="shared" ref="G181:P181" si="64">SUM(G180)</f>
        <v>3444</v>
      </c>
      <c r="H181" s="37">
        <f t="shared" si="64"/>
        <v>3648</v>
      </c>
      <c r="I181" s="37">
        <f t="shared" si="64"/>
        <v>0</v>
      </c>
      <c r="J181" s="37">
        <f t="shared" si="64"/>
        <v>7092</v>
      </c>
      <c r="K181" s="37">
        <f t="shared" si="64"/>
        <v>112908</v>
      </c>
      <c r="L181" s="37">
        <f t="shared" si="64"/>
        <v>16809.937291666665</v>
      </c>
      <c r="M181" s="37">
        <f t="shared" si="64"/>
        <v>0</v>
      </c>
      <c r="N181" s="37">
        <f t="shared" si="64"/>
        <v>125</v>
      </c>
      <c r="O181" s="37">
        <f t="shared" si="64"/>
        <v>24026.937291666665</v>
      </c>
      <c r="P181" s="37">
        <f t="shared" si="64"/>
        <v>95973.062708333338</v>
      </c>
      <c r="Q181" s="39"/>
    </row>
    <row r="182" spans="1:17" s="39" customFormat="1" ht="30" customHeight="1" thickBot="1" x14ac:dyDescent="0.3">
      <c r="A182" s="209" t="s">
        <v>91</v>
      </c>
      <c r="B182" s="210"/>
      <c r="C182" s="210"/>
      <c r="D182" s="210"/>
      <c r="E182" s="210"/>
      <c r="F182" s="210"/>
      <c r="G182" s="210"/>
      <c r="H182" s="210"/>
      <c r="I182" s="210"/>
      <c r="J182" s="210"/>
      <c r="K182" s="210"/>
      <c r="L182" s="210"/>
      <c r="M182" s="210"/>
      <c r="N182" s="210"/>
      <c r="O182" s="210"/>
      <c r="P182" s="210"/>
    </row>
    <row r="183" spans="1:17" s="39" customFormat="1" ht="25.5" customHeight="1" x14ac:dyDescent="0.25">
      <c r="A183" s="75">
        <f>+A180+1</f>
        <v>96</v>
      </c>
      <c r="B183" s="112" t="s">
        <v>280</v>
      </c>
      <c r="C183" s="122" t="s">
        <v>421</v>
      </c>
      <c r="D183" s="123" t="s">
        <v>464</v>
      </c>
      <c r="E183" s="108" t="s">
        <v>122</v>
      </c>
      <c r="F183" s="107">
        <v>170500</v>
      </c>
      <c r="G183" s="82">
        <v>4893.3500000000004</v>
      </c>
      <c r="H183" s="107">
        <f>+F183*3.04%</f>
        <v>5183.2</v>
      </c>
      <c r="I183" s="82">
        <v>1597.31</v>
      </c>
      <c r="J183" s="77">
        <f t="shared" si="47"/>
        <v>11673.859999999999</v>
      </c>
      <c r="K183" s="77">
        <f>+F183-J183</f>
        <v>158826.14000000001</v>
      </c>
      <c r="L183" s="77">
        <f>+IF(K183*12&lt;=416220.01,0,IF(K183*12&lt;=624329.01,(((K183*12-416220.01)*0.15)/12),IF((K183*12&lt;=867123.01),(31216+0.2*(K183*12-624329.01))/12,((79776+0.25*(K183*12-867123.01))/12))))-M183</f>
        <v>28289.472291666669</v>
      </c>
      <c r="M183" s="77"/>
      <c r="N183" s="84">
        <v>25</v>
      </c>
      <c r="O183" s="107">
        <f t="shared" si="50"/>
        <v>39988.332291666666</v>
      </c>
      <c r="P183" s="84">
        <f>+F183-O183</f>
        <v>130511.66770833333</v>
      </c>
    </row>
    <row r="184" spans="1:17" s="53" customFormat="1" ht="30" customHeight="1" x14ac:dyDescent="0.25">
      <c r="A184" s="75">
        <f>+A183+1</f>
        <v>97</v>
      </c>
      <c r="B184" s="112" t="s">
        <v>14</v>
      </c>
      <c r="C184" s="122" t="s">
        <v>421</v>
      </c>
      <c r="D184" s="147" t="s">
        <v>107</v>
      </c>
      <c r="E184" s="112" t="s">
        <v>197</v>
      </c>
      <c r="F184" s="107">
        <v>135000</v>
      </c>
      <c r="G184" s="107">
        <f>F184*2.87%</f>
        <v>3874.5</v>
      </c>
      <c r="H184" s="107">
        <f>+F184*3.04%</f>
        <v>4104</v>
      </c>
      <c r="I184" s="107"/>
      <c r="J184" s="77">
        <f t="shared" si="47"/>
        <v>7978.5</v>
      </c>
      <c r="K184" s="77">
        <f>+F184-J184</f>
        <v>127021.5</v>
      </c>
      <c r="L184" s="77">
        <f>+IF(K184*12&lt;=416220.01,0,IF(K184*12&lt;=624329.01,(((K184*12-416220.01)*0.15)/12),IF((K184*12&lt;=867123.01),(31216+0.2*(K184*12-624329.01))/12,((79776+0.25*(K184*12-867123.01))/12))))-M184</f>
        <v>20338.312291666665</v>
      </c>
      <c r="M184" s="77"/>
      <c r="N184" s="78">
        <v>25</v>
      </c>
      <c r="O184" s="107">
        <f t="shared" si="50"/>
        <v>28341.812291666665</v>
      </c>
      <c r="P184" s="111">
        <f>+F184-O184</f>
        <v>106658.18770833334</v>
      </c>
      <c r="Q184" s="39"/>
    </row>
    <row r="185" spans="1:17" s="53" customFormat="1" ht="30" customHeight="1" x14ac:dyDescent="0.25">
      <c r="A185" s="75">
        <f>+A184+1</f>
        <v>98</v>
      </c>
      <c r="B185" s="108" t="s">
        <v>15</v>
      </c>
      <c r="C185" s="122" t="s">
        <v>421</v>
      </c>
      <c r="D185" s="123" t="s">
        <v>538</v>
      </c>
      <c r="E185" s="108" t="s">
        <v>121</v>
      </c>
      <c r="F185" s="110">
        <v>110000</v>
      </c>
      <c r="G185" s="110">
        <f>F185*2.87%</f>
        <v>3157</v>
      </c>
      <c r="H185" s="82">
        <f>+F185*3.04%</f>
        <v>3344</v>
      </c>
      <c r="I185" s="82"/>
      <c r="J185" s="77">
        <f>+G185+H185+I185</f>
        <v>6501</v>
      </c>
      <c r="K185" s="77">
        <f>+F185-J185</f>
        <v>103499</v>
      </c>
      <c r="L185" s="77">
        <f>+IF(K185*12&lt;=416220.01,0,IF(K185*12&lt;=624329.01,(((K185*12-416220.01)*0.15)/12),IF((K185*12&lt;=867123.01),(31216+0.2*(K185*12-624329.01))/12,((79776+0.25*(K185*12-867123.01))/12))))-M185</f>
        <v>14457.687291666667</v>
      </c>
      <c r="M185" s="77"/>
      <c r="N185" s="78">
        <v>25</v>
      </c>
      <c r="O185" s="107">
        <f>+N185+I185+H185+G185+L185</f>
        <v>20983.687291666669</v>
      </c>
      <c r="P185" s="78">
        <f>+F185-O185</f>
        <v>89016.312708333338</v>
      </c>
      <c r="Q185" s="39"/>
    </row>
    <row r="186" spans="1:17" s="53" customFormat="1" ht="30" customHeight="1" x14ac:dyDescent="0.25">
      <c r="A186" s="206" t="s">
        <v>125</v>
      </c>
      <c r="B186" s="207"/>
      <c r="C186" s="207"/>
      <c r="D186" s="207"/>
      <c r="E186" s="208"/>
      <c r="F186" s="37">
        <f>SUM(F183:F185)</f>
        <v>415500</v>
      </c>
      <c r="G186" s="37">
        <f t="shared" ref="G186:P186" si="65">SUM(G183:G185)</f>
        <v>11924.85</v>
      </c>
      <c r="H186" s="37">
        <f t="shared" si="65"/>
        <v>12631.2</v>
      </c>
      <c r="I186" s="37">
        <f t="shared" si="65"/>
        <v>1597.31</v>
      </c>
      <c r="J186" s="37">
        <f t="shared" si="65"/>
        <v>26153.360000000001</v>
      </c>
      <c r="K186" s="37">
        <f t="shared" si="65"/>
        <v>389346.64</v>
      </c>
      <c r="L186" s="37">
        <f t="shared" si="65"/>
        <v>63085.471875000003</v>
      </c>
      <c r="M186" s="37">
        <f t="shared" si="65"/>
        <v>0</v>
      </c>
      <c r="N186" s="37">
        <f t="shared" si="65"/>
        <v>75</v>
      </c>
      <c r="O186" s="37">
        <f t="shared" si="65"/>
        <v>89313.831875000003</v>
      </c>
      <c r="P186" s="37">
        <f t="shared" si="65"/>
        <v>326186.16812499997</v>
      </c>
      <c r="Q186" s="39"/>
    </row>
    <row r="187" spans="1:17" s="53" customFormat="1" ht="30" customHeight="1" thickBot="1" x14ac:dyDescent="0.3">
      <c r="A187" s="50"/>
      <c r="B187" s="50"/>
      <c r="C187" s="50"/>
      <c r="D187" s="50"/>
      <c r="E187" s="50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39"/>
    </row>
    <row r="188" spans="1:17" s="39" customFormat="1" ht="30" customHeight="1" thickBot="1" x14ac:dyDescent="0.3">
      <c r="A188" s="209" t="s">
        <v>289</v>
      </c>
      <c r="B188" s="210"/>
      <c r="C188" s="210"/>
      <c r="D188" s="210"/>
      <c r="E188" s="210"/>
      <c r="F188" s="210"/>
      <c r="G188" s="210"/>
      <c r="H188" s="210"/>
      <c r="I188" s="210"/>
      <c r="J188" s="210"/>
      <c r="K188" s="210"/>
      <c r="L188" s="210"/>
      <c r="M188" s="210"/>
      <c r="N188" s="210"/>
      <c r="O188" s="210"/>
      <c r="P188" s="210"/>
    </row>
    <row r="189" spans="1:17" s="39" customFormat="1" ht="33" customHeight="1" x14ac:dyDescent="0.25">
      <c r="A189" s="75">
        <f>+A185+1</f>
        <v>99</v>
      </c>
      <c r="B189" s="81" t="s">
        <v>58</v>
      </c>
      <c r="C189" s="80" t="s">
        <v>421</v>
      </c>
      <c r="D189" s="85" t="s">
        <v>536</v>
      </c>
      <c r="E189" s="81" t="s">
        <v>121</v>
      </c>
      <c r="F189" s="82">
        <v>115000</v>
      </c>
      <c r="G189" s="82">
        <f>F189*2.87%</f>
        <v>3300.5</v>
      </c>
      <c r="H189" s="82">
        <f>+F189*3.04%</f>
        <v>3496</v>
      </c>
      <c r="I189" s="82">
        <v>1597.31</v>
      </c>
      <c r="J189" s="77">
        <f t="shared" si="47"/>
        <v>8393.81</v>
      </c>
      <c r="K189" s="77">
        <f t="shared" si="51"/>
        <v>106606.19</v>
      </c>
      <c r="L189" s="77">
        <f t="shared" ref="L189:L192" si="66">+IF(K189*12&lt;=416220.01,0,IF(K189*12&lt;=624329.01,(((K189*12-416220.01)*0.15)/12),IF((K189*12&lt;=867123.01),(31216+0.2*(K189*12-624329.01))/12,((79776+0.25*(K189*12-867123.01))/12))))-M189</f>
        <v>15234.484791666668</v>
      </c>
      <c r="M189" s="77"/>
      <c r="N189" s="84">
        <v>25</v>
      </c>
      <c r="O189" s="107">
        <f t="shared" si="50"/>
        <v>23653.294791666667</v>
      </c>
      <c r="P189" s="78">
        <f>+F189-O189</f>
        <v>91346.705208333326</v>
      </c>
    </row>
    <row r="190" spans="1:17" s="53" customFormat="1" ht="30" customHeight="1" x14ac:dyDescent="0.25">
      <c r="A190" s="75">
        <f t="shared" ref="A190:A192" si="67">+A189+1</f>
        <v>100</v>
      </c>
      <c r="B190" s="81" t="s">
        <v>251</v>
      </c>
      <c r="C190" s="80" t="s">
        <v>421</v>
      </c>
      <c r="D190" s="85" t="s">
        <v>51</v>
      </c>
      <c r="E190" s="81" t="s">
        <v>121</v>
      </c>
      <c r="F190" s="82">
        <v>85000</v>
      </c>
      <c r="G190" s="82">
        <f>F190*2.87%</f>
        <v>2439.5</v>
      </c>
      <c r="H190" s="82">
        <f>+F190*3.04%</f>
        <v>2584</v>
      </c>
      <c r="I190" s="82"/>
      <c r="J190" s="77">
        <f t="shared" si="47"/>
        <v>5023.5</v>
      </c>
      <c r="K190" s="77">
        <f t="shared" si="51"/>
        <v>79976.5</v>
      </c>
      <c r="L190" s="77">
        <f t="shared" si="66"/>
        <v>8577.0622916666671</v>
      </c>
      <c r="M190" s="77"/>
      <c r="N190" s="84">
        <v>7625</v>
      </c>
      <c r="O190" s="107">
        <f t="shared" si="50"/>
        <v>21225.562291666669</v>
      </c>
      <c r="P190" s="78">
        <f>+F190-O190</f>
        <v>63774.437708333331</v>
      </c>
      <c r="Q190" s="39"/>
    </row>
    <row r="191" spans="1:17" s="39" customFormat="1" ht="29.25" customHeight="1" x14ac:dyDescent="0.25">
      <c r="A191" s="75">
        <f t="shared" si="67"/>
        <v>101</v>
      </c>
      <c r="B191" s="244" t="s">
        <v>285</v>
      </c>
      <c r="C191" s="169" t="s">
        <v>421</v>
      </c>
      <c r="D191" s="109" t="s">
        <v>284</v>
      </c>
      <c r="E191" s="170" t="s">
        <v>122</v>
      </c>
      <c r="F191" s="110">
        <v>90000</v>
      </c>
      <c r="G191" s="110">
        <f>F191*2.87%</f>
        <v>2583</v>
      </c>
      <c r="H191" s="82">
        <f>+F191*3.04%</f>
        <v>2736</v>
      </c>
      <c r="I191" s="82"/>
      <c r="J191" s="77">
        <f t="shared" si="47"/>
        <v>5319</v>
      </c>
      <c r="K191" s="77">
        <f t="shared" si="51"/>
        <v>84681</v>
      </c>
      <c r="L191" s="77">
        <f t="shared" si="66"/>
        <v>9753.1872916666671</v>
      </c>
      <c r="M191" s="77"/>
      <c r="N191" s="84">
        <v>25</v>
      </c>
      <c r="O191" s="107">
        <f t="shared" si="50"/>
        <v>15097.187291666667</v>
      </c>
      <c r="P191" s="78">
        <f>+F191-O191</f>
        <v>74902.812708333338</v>
      </c>
    </row>
    <row r="192" spans="1:17" s="53" customFormat="1" ht="30" customHeight="1" x14ac:dyDescent="0.25">
      <c r="A192" s="75">
        <f t="shared" si="67"/>
        <v>102</v>
      </c>
      <c r="B192" s="108" t="s">
        <v>282</v>
      </c>
      <c r="C192" s="36" t="s">
        <v>421</v>
      </c>
      <c r="D192" s="108" t="s">
        <v>66</v>
      </c>
      <c r="E192" s="108" t="s">
        <v>122</v>
      </c>
      <c r="F192" s="110">
        <v>50000</v>
      </c>
      <c r="G192" s="82">
        <f>F192*2.87%</f>
        <v>1435</v>
      </c>
      <c r="H192" s="82">
        <f>+F192*3.04%</f>
        <v>1520</v>
      </c>
      <c r="I192" s="82">
        <v>1597.31</v>
      </c>
      <c r="J192" s="77">
        <f t="shared" si="47"/>
        <v>4552.3099999999995</v>
      </c>
      <c r="K192" s="77">
        <f t="shared" si="51"/>
        <v>45447.69</v>
      </c>
      <c r="L192" s="77">
        <f t="shared" si="66"/>
        <v>1614.4033750000001</v>
      </c>
      <c r="M192" s="77"/>
      <c r="N192" s="78">
        <v>13526.36</v>
      </c>
      <c r="O192" s="107">
        <f t="shared" si="50"/>
        <v>19693.073375</v>
      </c>
      <c r="P192" s="84">
        <f>+F192-O192</f>
        <v>30306.926625</v>
      </c>
      <c r="Q192" s="39"/>
    </row>
    <row r="193" spans="1:17" s="87" customFormat="1" ht="30" customHeight="1" x14ac:dyDescent="0.25">
      <c r="A193" s="206" t="s">
        <v>125</v>
      </c>
      <c r="B193" s="207"/>
      <c r="C193" s="207"/>
      <c r="D193" s="207"/>
      <c r="E193" s="208"/>
      <c r="F193" s="37">
        <f>SUM(F189:F192)</f>
        <v>340000</v>
      </c>
      <c r="G193" s="37">
        <f t="shared" ref="G193:P193" si="68">SUM(G189:G192)</f>
        <v>9758</v>
      </c>
      <c r="H193" s="37">
        <f t="shared" si="68"/>
        <v>10336</v>
      </c>
      <c r="I193" s="37">
        <f t="shared" si="68"/>
        <v>3194.62</v>
      </c>
      <c r="J193" s="37">
        <f t="shared" si="68"/>
        <v>23288.619999999995</v>
      </c>
      <c r="K193" s="37">
        <f t="shared" si="68"/>
        <v>316711.38</v>
      </c>
      <c r="L193" s="37">
        <f t="shared" si="68"/>
        <v>35179.137750000002</v>
      </c>
      <c r="M193" s="37">
        <f t="shared" si="68"/>
        <v>0</v>
      </c>
      <c r="N193" s="37">
        <f t="shared" si="68"/>
        <v>21201.360000000001</v>
      </c>
      <c r="O193" s="37">
        <f t="shared" si="68"/>
        <v>79669.117750000005</v>
      </c>
      <c r="P193" s="37">
        <f t="shared" si="68"/>
        <v>260330.88225</v>
      </c>
      <c r="Q193" s="47"/>
    </row>
    <row r="194" spans="1:17" s="53" customFormat="1" ht="30" customHeight="1" thickBot="1" x14ac:dyDescent="0.3">
      <c r="A194" s="41"/>
      <c r="B194" s="48"/>
      <c r="C194" s="139"/>
      <c r="D194" s="48"/>
      <c r="E194" s="48"/>
      <c r="F194" s="4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</row>
    <row r="195" spans="1:17" s="39" customFormat="1" ht="30" customHeight="1" thickBot="1" x14ac:dyDescent="0.3">
      <c r="A195" s="209" t="s">
        <v>92</v>
      </c>
      <c r="B195" s="210"/>
      <c r="C195" s="210"/>
      <c r="D195" s="210"/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</row>
    <row r="196" spans="1:17" s="53" customFormat="1" ht="30" customHeight="1" x14ac:dyDescent="0.25">
      <c r="A196" s="80">
        <f>+A192+1</f>
        <v>103</v>
      </c>
      <c r="B196" s="112" t="s">
        <v>74</v>
      </c>
      <c r="C196" s="122" t="s">
        <v>421</v>
      </c>
      <c r="D196" s="123" t="s">
        <v>568</v>
      </c>
      <c r="E196" s="112" t="s">
        <v>121</v>
      </c>
      <c r="F196" s="110">
        <v>110000</v>
      </c>
      <c r="G196" s="82">
        <f t="shared" ref="G196:G199" si="69">F196*2.87%</f>
        <v>3157</v>
      </c>
      <c r="H196" s="82">
        <f t="shared" ref="H196:H199" si="70">+F196*3.04%</f>
        <v>3344</v>
      </c>
      <c r="I196" s="82"/>
      <c r="J196" s="77">
        <f t="shared" si="47"/>
        <v>6501</v>
      </c>
      <c r="K196" s="77">
        <f t="shared" si="51"/>
        <v>103499</v>
      </c>
      <c r="L196" s="77">
        <f>+IF(K196*12&lt;=416220.01,0,IF(K196*12&lt;=624329.01,(((K196*12-416220.01)*0.15)/12),IF((K196*12&lt;=867123.01),(31216+0.2*(K196*12-624329.01))/12,((79776+0.25*(K196*12-867123.01))/12))))-M196</f>
        <v>14457.687291666667</v>
      </c>
      <c r="M196" s="77"/>
      <c r="N196" s="78">
        <v>3025</v>
      </c>
      <c r="O196" s="107">
        <f t="shared" si="50"/>
        <v>23983.687291666669</v>
      </c>
      <c r="P196" s="78">
        <f t="shared" ref="P196:P201" si="71">+F196-O196</f>
        <v>86016.312708333338</v>
      </c>
      <c r="Q196" s="39"/>
    </row>
    <row r="197" spans="1:17" s="39" customFormat="1" ht="31.5" customHeight="1" x14ac:dyDescent="0.25">
      <c r="A197" s="80">
        <f t="shared" ref="A197:A200" si="72">+A196+1</f>
        <v>104</v>
      </c>
      <c r="B197" s="108" t="s">
        <v>86</v>
      </c>
      <c r="C197" s="36" t="s">
        <v>421</v>
      </c>
      <c r="D197" s="109" t="s">
        <v>286</v>
      </c>
      <c r="E197" s="108" t="s">
        <v>121</v>
      </c>
      <c r="F197" s="110">
        <v>90000</v>
      </c>
      <c r="G197" s="82">
        <f t="shared" si="69"/>
        <v>2583</v>
      </c>
      <c r="H197" s="82">
        <f t="shared" si="70"/>
        <v>2736</v>
      </c>
      <c r="I197" s="82">
        <v>1597.31</v>
      </c>
      <c r="J197" s="77">
        <f t="shared" si="47"/>
        <v>6916.3099999999995</v>
      </c>
      <c r="K197" s="77">
        <f t="shared" si="51"/>
        <v>83083.69</v>
      </c>
      <c r="L197" s="77">
        <f t="shared" ref="L197:L201" si="73">+IF(K197*12&lt;=416220.01,0,IF(K197*12&lt;=624329.01,(((K197*12-416220.01)*0.15)/12),IF((K197*12&lt;=867123.01),(31216+0.2*(K197*12-624329.01))/12,((79776+0.25*(K197*12-867123.01))/12))))-M197</f>
        <v>9353.8597916666677</v>
      </c>
      <c r="M197" s="77"/>
      <c r="N197" s="84">
        <v>25</v>
      </c>
      <c r="O197" s="107">
        <f t="shared" si="50"/>
        <v>16295.169791666667</v>
      </c>
      <c r="P197" s="78">
        <f t="shared" si="71"/>
        <v>73704.830208333326</v>
      </c>
    </row>
    <row r="198" spans="1:17" s="39" customFormat="1" ht="33" customHeight="1" x14ac:dyDescent="0.25">
      <c r="A198" s="80">
        <f>+A197+1</f>
        <v>105</v>
      </c>
      <c r="B198" s="108" t="s">
        <v>73</v>
      </c>
      <c r="C198" s="36" t="s">
        <v>421</v>
      </c>
      <c r="D198" s="109" t="s">
        <v>568</v>
      </c>
      <c r="E198" s="108" t="s">
        <v>121</v>
      </c>
      <c r="F198" s="110">
        <v>110000</v>
      </c>
      <c r="G198" s="82">
        <f t="shared" si="69"/>
        <v>3157</v>
      </c>
      <c r="H198" s="82">
        <f t="shared" si="70"/>
        <v>3344</v>
      </c>
      <c r="I198" s="82"/>
      <c r="J198" s="77">
        <f t="shared" si="47"/>
        <v>6501</v>
      </c>
      <c r="K198" s="77">
        <f t="shared" si="51"/>
        <v>103499</v>
      </c>
      <c r="L198" s="77">
        <f t="shared" si="73"/>
        <v>14457.687291666667</v>
      </c>
      <c r="M198" s="77"/>
      <c r="N198" s="84">
        <v>2025</v>
      </c>
      <c r="O198" s="107">
        <f>+N198+I198+H198+G198+L198</f>
        <v>22983.687291666669</v>
      </c>
      <c r="P198" s="78">
        <f t="shared" si="71"/>
        <v>87016.312708333338</v>
      </c>
    </row>
    <row r="199" spans="1:17" s="53" customFormat="1" ht="30" customHeight="1" x14ac:dyDescent="0.25">
      <c r="A199" s="80">
        <f t="shared" si="72"/>
        <v>106</v>
      </c>
      <c r="B199" s="108" t="s">
        <v>260</v>
      </c>
      <c r="C199" s="36" t="s">
        <v>421</v>
      </c>
      <c r="D199" s="109" t="s">
        <v>286</v>
      </c>
      <c r="E199" s="108" t="s">
        <v>121</v>
      </c>
      <c r="F199" s="110">
        <v>80000</v>
      </c>
      <c r="G199" s="82">
        <f t="shared" si="69"/>
        <v>2296</v>
      </c>
      <c r="H199" s="82">
        <f t="shared" si="70"/>
        <v>2432</v>
      </c>
      <c r="I199" s="82"/>
      <c r="J199" s="77">
        <f t="shared" si="47"/>
        <v>4728</v>
      </c>
      <c r="K199" s="77">
        <f t="shared" si="51"/>
        <v>75272</v>
      </c>
      <c r="L199" s="77">
        <f t="shared" si="73"/>
        <v>7400.9372916666662</v>
      </c>
      <c r="M199" s="77"/>
      <c r="N199" s="84">
        <v>25</v>
      </c>
      <c r="O199" s="107">
        <f t="shared" si="50"/>
        <v>12153.937291666665</v>
      </c>
      <c r="P199" s="78">
        <f t="shared" si="71"/>
        <v>67846.062708333338</v>
      </c>
      <c r="Q199" s="39"/>
    </row>
    <row r="200" spans="1:17" s="39" customFormat="1" ht="30" customHeight="1" x14ac:dyDescent="0.25">
      <c r="A200" s="75">
        <f t="shared" si="72"/>
        <v>107</v>
      </c>
      <c r="B200" s="167" t="s">
        <v>283</v>
      </c>
      <c r="C200" s="168" t="s">
        <v>421</v>
      </c>
      <c r="D200" s="109" t="s">
        <v>286</v>
      </c>
      <c r="E200" s="108" t="s">
        <v>121</v>
      </c>
      <c r="F200" s="110">
        <v>80000</v>
      </c>
      <c r="G200" s="110">
        <f>F200*2.87%</f>
        <v>2296</v>
      </c>
      <c r="H200" s="82">
        <f>+F200*3.04%</f>
        <v>2432</v>
      </c>
      <c r="I200" s="82">
        <v>3194.62</v>
      </c>
      <c r="J200" s="77">
        <f t="shared" si="47"/>
        <v>7922.62</v>
      </c>
      <c r="K200" s="77">
        <f t="shared" si="51"/>
        <v>72077.38</v>
      </c>
      <c r="L200" s="77">
        <f t="shared" si="73"/>
        <v>6611.3258333333333</v>
      </c>
      <c r="M200" s="77"/>
      <c r="N200" s="84">
        <v>25</v>
      </c>
      <c r="O200" s="107">
        <f t="shared" si="50"/>
        <v>14558.945833333333</v>
      </c>
      <c r="P200" s="78">
        <f t="shared" si="71"/>
        <v>65441.054166666669</v>
      </c>
    </row>
    <row r="201" spans="1:17" s="39" customFormat="1" ht="37.5" customHeight="1" x14ac:dyDescent="0.25">
      <c r="A201" s="122">
        <f>+A200+1</f>
        <v>108</v>
      </c>
      <c r="B201" s="108" t="s">
        <v>137</v>
      </c>
      <c r="C201" s="36" t="s">
        <v>421</v>
      </c>
      <c r="D201" s="108" t="s">
        <v>66</v>
      </c>
      <c r="E201" s="108" t="s">
        <v>228</v>
      </c>
      <c r="F201" s="110">
        <v>45000</v>
      </c>
      <c r="G201" s="110">
        <f>F201*2.87%</f>
        <v>1291.5</v>
      </c>
      <c r="H201" s="110">
        <f>+F201*3.04%</f>
        <v>1368</v>
      </c>
      <c r="I201" s="110"/>
      <c r="J201" s="77">
        <f t="shared" si="47"/>
        <v>2659.5</v>
      </c>
      <c r="K201" s="77">
        <f t="shared" si="51"/>
        <v>42340.5</v>
      </c>
      <c r="L201" s="77">
        <f t="shared" si="73"/>
        <v>1148.3248749999998</v>
      </c>
      <c r="M201" s="77"/>
      <c r="N201" s="78">
        <f>1000+25</f>
        <v>1025</v>
      </c>
      <c r="O201" s="107">
        <f t="shared" si="50"/>
        <v>4832.8248750000002</v>
      </c>
      <c r="P201" s="111">
        <f t="shared" si="71"/>
        <v>40167.175125000002</v>
      </c>
    </row>
    <row r="202" spans="1:17" s="39" customFormat="1" ht="28.5" customHeight="1" x14ac:dyDescent="0.25">
      <c r="A202" s="206" t="s">
        <v>125</v>
      </c>
      <c r="B202" s="207"/>
      <c r="C202" s="207"/>
      <c r="D202" s="207"/>
      <c r="E202" s="208"/>
      <c r="F202" s="37">
        <f>SUM(F196:F201)</f>
        <v>515000</v>
      </c>
      <c r="G202" s="37">
        <f t="shared" ref="G202:P202" si="74">SUM(G196:G201)</f>
        <v>14780.5</v>
      </c>
      <c r="H202" s="37">
        <f t="shared" si="74"/>
        <v>15656</v>
      </c>
      <c r="I202" s="37">
        <f t="shared" si="74"/>
        <v>4791.93</v>
      </c>
      <c r="J202" s="37">
        <f t="shared" si="74"/>
        <v>35228.429999999993</v>
      </c>
      <c r="K202" s="37">
        <f t="shared" si="74"/>
        <v>479771.57</v>
      </c>
      <c r="L202" s="37">
        <f t="shared" si="74"/>
        <v>53429.822375000003</v>
      </c>
      <c r="M202" s="37">
        <f t="shared" si="74"/>
        <v>0</v>
      </c>
      <c r="N202" s="37">
        <f t="shared" si="74"/>
        <v>6150</v>
      </c>
      <c r="O202" s="37">
        <f t="shared" si="74"/>
        <v>94808.252375000011</v>
      </c>
      <c r="P202" s="37">
        <f t="shared" si="74"/>
        <v>420191.74762500002</v>
      </c>
    </row>
    <row r="203" spans="1:17" s="39" customFormat="1" ht="30" customHeight="1" thickBot="1" x14ac:dyDescent="0.3">
      <c r="A203" s="50"/>
      <c r="B203" s="50"/>
      <c r="C203" s="50"/>
      <c r="D203" s="50"/>
      <c r="E203" s="50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</row>
    <row r="204" spans="1:17" s="53" customFormat="1" ht="30" customHeight="1" thickBot="1" x14ac:dyDescent="0.3">
      <c r="A204" s="209" t="s">
        <v>204</v>
      </c>
      <c r="B204" s="210"/>
      <c r="C204" s="210"/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39"/>
    </row>
    <row r="205" spans="1:17" s="39" customFormat="1" ht="30" customHeight="1" x14ac:dyDescent="0.25">
      <c r="A205" s="122">
        <f>+A201+1</f>
        <v>109</v>
      </c>
      <c r="B205" s="112" t="s">
        <v>183</v>
      </c>
      <c r="C205" s="122" t="s">
        <v>421</v>
      </c>
      <c r="D205" s="112" t="s">
        <v>288</v>
      </c>
      <c r="E205" s="112" t="s">
        <v>121</v>
      </c>
      <c r="F205" s="134">
        <v>55000</v>
      </c>
      <c r="G205" s="77">
        <f>F205*2.87%</f>
        <v>1578.5</v>
      </c>
      <c r="H205" s="77">
        <f>+F205*3.04%</f>
        <v>1672</v>
      </c>
      <c r="I205" s="135"/>
      <c r="J205" s="77">
        <f t="shared" ref="J205:J261" si="75">+G205+H205+I205</f>
        <v>3250.5</v>
      </c>
      <c r="K205" s="77">
        <f t="shared" si="51"/>
        <v>51749.5</v>
      </c>
      <c r="L205" s="77">
        <f t="shared" ref="L205:L209" si="76">+IF(K205*12&lt;=416220.01,0,IF(K205*12&lt;=624329.01,(((K205*12-416220.01)*0.15)/12),IF((K205*12&lt;=867123.01),(31216+0.2*(K205*12-624329.01))/12,((79776+0.25*(K205*12-867123.01))/12))))</f>
        <v>2559.6748749999997</v>
      </c>
      <c r="M205" s="77"/>
      <c r="N205" s="78">
        <v>11290.95</v>
      </c>
      <c r="O205" s="107">
        <f t="shared" ref="O205:O261" si="77">+N205+I205+H205+G205+L205</f>
        <v>17101.124875000001</v>
      </c>
      <c r="P205" s="78">
        <f>+F205-O205</f>
        <v>37898.875124999999</v>
      </c>
    </row>
    <row r="206" spans="1:17" s="39" customFormat="1" ht="30" customHeight="1" x14ac:dyDescent="0.25">
      <c r="A206" s="206" t="s">
        <v>125</v>
      </c>
      <c r="B206" s="207"/>
      <c r="C206" s="207"/>
      <c r="D206" s="207"/>
      <c r="E206" s="208"/>
      <c r="F206" s="37">
        <f>SUM(F205)</f>
        <v>55000</v>
      </c>
      <c r="G206" s="37">
        <f t="shared" ref="G206:P206" si="78">SUM(G205)</f>
        <v>1578.5</v>
      </c>
      <c r="H206" s="37">
        <f t="shared" si="78"/>
        <v>1672</v>
      </c>
      <c r="I206" s="37">
        <f t="shared" si="78"/>
        <v>0</v>
      </c>
      <c r="J206" s="37">
        <f t="shared" si="78"/>
        <v>3250.5</v>
      </c>
      <c r="K206" s="37">
        <f t="shared" si="78"/>
        <v>51749.5</v>
      </c>
      <c r="L206" s="37">
        <f t="shared" si="78"/>
        <v>2559.6748749999997</v>
      </c>
      <c r="M206" s="37">
        <f t="shared" si="78"/>
        <v>0</v>
      </c>
      <c r="N206" s="37">
        <f t="shared" si="78"/>
        <v>11290.95</v>
      </c>
      <c r="O206" s="37">
        <f t="shared" si="78"/>
        <v>17101.124875000001</v>
      </c>
      <c r="P206" s="37">
        <f t="shared" si="78"/>
        <v>37898.875124999999</v>
      </c>
    </row>
    <row r="207" spans="1:17" s="53" customFormat="1" ht="30" customHeight="1" thickBot="1" x14ac:dyDescent="0.3">
      <c r="A207" s="50"/>
      <c r="B207" s="50"/>
      <c r="C207" s="50"/>
      <c r="D207" s="50"/>
      <c r="E207" s="50"/>
      <c r="F207" s="287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39"/>
    </row>
    <row r="208" spans="1:17" s="79" customFormat="1" ht="30" customHeight="1" thickBot="1" x14ac:dyDescent="0.3">
      <c r="A208" s="209" t="s">
        <v>292</v>
      </c>
      <c r="B208" s="210"/>
      <c r="C208" s="210"/>
      <c r="D208" s="210"/>
      <c r="E208" s="210"/>
      <c r="F208" s="210"/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32"/>
    </row>
    <row r="209" spans="1:17" s="53" customFormat="1" ht="30" customHeight="1" x14ac:dyDescent="0.25">
      <c r="A209" s="75">
        <f>+A205+1</f>
        <v>110</v>
      </c>
      <c r="B209" s="112" t="s">
        <v>11</v>
      </c>
      <c r="C209" s="122" t="s">
        <v>421</v>
      </c>
      <c r="D209" s="123" t="s">
        <v>111</v>
      </c>
      <c r="E209" s="112" t="s">
        <v>121</v>
      </c>
      <c r="F209" s="107">
        <v>190000</v>
      </c>
      <c r="G209" s="107">
        <f>F209*2.87%</f>
        <v>5453</v>
      </c>
      <c r="H209" s="77">
        <f>187020*3.04%</f>
        <v>5685.4080000000004</v>
      </c>
      <c r="I209" s="77"/>
      <c r="J209" s="77">
        <f t="shared" si="75"/>
        <v>11138.407999999999</v>
      </c>
      <c r="K209" s="77">
        <f t="shared" ref="K209:K266" si="79">+F209-J209</f>
        <v>178861.592</v>
      </c>
      <c r="L209" s="77">
        <f t="shared" si="76"/>
        <v>33298.33529166667</v>
      </c>
      <c r="M209" s="77"/>
      <c r="N209" s="78">
        <v>25</v>
      </c>
      <c r="O209" s="107">
        <f t="shared" si="77"/>
        <v>44461.743291666673</v>
      </c>
      <c r="P209" s="78">
        <f>+F209-O209</f>
        <v>145538.25670833333</v>
      </c>
      <c r="Q209" s="39"/>
    </row>
    <row r="210" spans="1:17" s="39" customFormat="1" ht="30" customHeight="1" x14ac:dyDescent="0.25">
      <c r="A210" s="36">
        <f>+A209+1</f>
        <v>111</v>
      </c>
      <c r="B210" s="108" t="s">
        <v>101</v>
      </c>
      <c r="C210" s="36" t="s">
        <v>420</v>
      </c>
      <c r="D210" s="108" t="s">
        <v>96</v>
      </c>
      <c r="E210" s="108" t="s">
        <v>122</v>
      </c>
      <c r="F210" s="110">
        <v>70000</v>
      </c>
      <c r="G210" s="110">
        <f t="shared" ref="G210" si="80">F210*2.87%</f>
        <v>2009</v>
      </c>
      <c r="H210" s="110">
        <f t="shared" ref="H210" si="81">+F210*3.04%</f>
        <v>2128</v>
      </c>
      <c r="I210" s="110">
        <v>1597.31</v>
      </c>
      <c r="J210" s="77">
        <f>+G210+H210+I210</f>
        <v>5734.3099999999995</v>
      </c>
      <c r="K210" s="77">
        <f>+F210-J210</f>
        <v>64265.69</v>
      </c>
      <c r="L210" s="77">
        <f>+IF(K210*12&lt;=416220.01,0,IF(K210*12&lt;=624329.01,(((K210*12-416220.01)*0.15)/12),IF((K210*12&lt;=867123.01),(31216+0.2*(K210*12-624329.01))/12,((79776+0.25*(K210*12-867123.01))/12))))-M210</f>
        <v>5048.9878333333336</v>
      </c>
      <c r="M210" s="77"/>
      <c r="N210" s="78">
        <v>9208.18</v>
      </c>
      <c r="O210" s="107">
        <f>+N210+I210+H210+G210+L210</f>
        <v>19991.477833333334</v>
      </c>
      <c r="P210" s="111">
        <f>+F210-O210</f>
        <v>50008.522166666662</v>
      </c>
    </row>
    <row r="211" spans="1:17" s="39" customFormat="1" ht="30" customHeight="1" thickBot="1" x14ac:dyDescent="0.3">
      <c r="A211" s="206" t="s">
        <v>125</v>
      </c>
      <c r="B211" s="207"/>
      <c r="C211" s="207"/>
      <c r="D211" s="207"/>
      <c r="E211" s="208"/>
      <c r="F211" s="37">
        <f>SUM(F209:F210)</f>
        <v>260000</v>
      </c>
      <c r="G211" s="37">
        <f t="shared" ref="G211:P211" si="82">SUM(G209:G210)</f>
        <v>7462</v>
      </c>
      <c r="H211" s="37">
        <f t="shared" si="82"/>
        <v>7813.4080000000004</v>
      </c>
      <c r="I211" s="37">
        <f t="shared" si="82"/>
        <v>1597.31</v>
      </c>
      <c r="J211" s="37">
        <f t="shared" si="82"/>
        <v>16872.718000000001</v>
      </c>
      <c r="K211" s="37">
        <f t="shared" si="82"/>
        <v>243127.28200000001</v>
      </c>
      <c r="L211" s="37">
        <f t="shared" si="82"/>
        <v>38347.323125000003</v>
      </c>
      <c r="M211" s="37">
        <f t="shared" si="82"/>
        <v>0</v>
      </c>
      <c r="N211" s="37">
        <f t="shared" si="82"/>
        <v>9233.18</v>
      </c>
      <c r="O211" s="37">
        <f t="shared" si="82"/>
        <v>64453.221125000011</v>
      </c>
      <c r="P211" s="37">
        <f t="shared" si="82"/>
        <v>195546.77887499999</v>
      </c>
    </row>
    <row r="212" spans="1:17" s="47" customFormat="1" ht="30" customHeight="1" thickBot="1" x14ac:dyDescent="0.3">
      <c r="A212" s="214" t="s">
        <v>293</v>
      </c>
      <c r="B212" s="215"/>
      <c r="C212" s="215"/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</row>
    <row r="213" spans="1:17" s="40" customFormat="1" ht="30" customHeight="1" x14ac:dyDescent="0.25">
      <c r="A213" s="75">
        <f>+A210+1</f>
        <v>112</v>
      </c>
      <c r="B213" s="112" t="s">
        <v>12</v>
      </c>
      <c r="C213" s="122" t="s">
        <v>421</v>
      </c>
      <c r="D213" s="147" t="s">
        <v>112</v>
      </c>
      <c r="E213" s="108" t="s">
        <v>121</v>
      </c>
      <c r="F213" s="107">
        <v>135000</v>
      </c>
      <c r="G213" s="77">
        <f>F213*2.87%</f>
        <v>3874.5</v>
      </c>
      <c r="H213" s="77">
        <f>+F213*3.04%</f>
        <v>4104</v>
      </c>
      <c r="I213" s="77"/>
      <c r="J213" s="77">
        <f t="shared" si="75"/>
        <v>7978.5</v>
      </c>
      <c r="K213" s="77">
        <f t="shared" si="79"/>
        <v>127021.5</v>
      </c>
      <c r="L213" s="77">
        <f>+IF(K213*12&lt;=416220.01,0,IF(K213*12&lt;=624329.01,(((K213*12-416220.01)*0.15)/12),IF((K213*12&lt;=867123.01),(31216+0.2*(K213*12-624329.01))/12,((79776+0.25*(K213*12-867123.01))/12))))-M213</f>
        <v>20338.312291666665</v>
      </c>
      <c r="M213" s="77"/>
      <c r="N213" s="78">
        <v>2185</v>
      </c>
      <c r="O213" s="107">
        <f t="shared" si="77"/>
        <v>30501.812291666665</v>
      </c>
      <c r="P213" s="78">
        <f>+F213-O213</f>
        <v>104498.18770833334</v>
      </c>
    </row>
    <row r="214" spans="1:17" s="53" customFormat="1" ht="30" customHeight="1" x14ac:dyDescent="0.25">
      <c r="A214" s="80">
        <f>+A213+1</f>
        <v>113</v>
      </c>
      <c r="B214" s="108" t="s">
        <v>294</v>
      </c>
      <c r="C214" s="36" t="s">
        <v>420</v>
      </c>
      <c r="D214" s="108" t="s">
        <v>113</v>
      </c>
      <c r="E214" s="108" t="s">
        <v>122</v>
      </c>
      <c r="F214" s="110">
        <v>70000</v>
      </c>
      <c r="G214" s="82">
        <f>F214*2.87%</f>
        <v>2009</v>
      </c>
      <c r="H214" s="82">
        <f>+F214*3.04%</f>
        <v>2128</v>
      </c>
      <c r="I214" s="77"/>
      <c r="J214" s="77">
        <f t="shared" si="75"/>
        <v>4137</v>
      </c>
      <c r="K214" s="77">
        <f t="shared" si="79"/>
        <v>65863</v>
      </c>
      <c r="L214" s="77">
        <f t="shared" ref="L214:L215" si="83">+IF(K214*12&lt;=416220.01,0,IF(K214*12&lt;=624329.01,(((K214*12-416220.01)*0.15)/12),IF((K214*12&lt;=867123.01),(31216+0.2*(K214*12-624329.01))/12,((79776+0.25*(K214*12-867123.01))/12))))-M214</f>
        <v>5368.4498333333331</v>
      </c>
      <c r="M214" s="77"/>
      <c r="N214" s="78">
        <f>21844.41+25</f>
        <v>21869.41</v>
      </c>
      <c r="O214" s="107">
        <f t="shared" si="77"/>
        <v>31374.859833333332</v>
      </c>
      <c r="P214" s="78">
        <f>+F214-O214</f>
        <v>38625.140166666664</v>
      </c>
      <c r="Q214" s="39"/>
    </row>
    <row r="215" spans="1:17" s="39" customFormat="1" ht="30" customHeight="1" x14ac:dyDescent="0.25">
      <c r="A215" s="75">
        <f>+A214+1</f>
        <v>114</v>
      </c>
      <c r="B215" s="108" t="s">
        <v>347</v>
      </c>
      <c r="C215" s="36" t="s">
        <v>421</v>
      </c>
      <c r="D215" s="108" t="s">
        <v>508</v>
      </c>
      <c r="E215" s="108" t="s">
        <v>121</v>
      </c>
      <c r="F215" s="110">
        <v>45000</v>
      </c>
      <c r="G215" s="82">
        <f>F215*2.87%</f>
        <v>1291.5</v>
      </c>
      <c r="H215" s="82">
        <f>+F215*3.04%</f>
        <v>1368</v>
      </c>
      <c r="I215" s="82"/>
      <c r="J215" s="77">
        <f t="shared" si="75"/>
        <v>2659.5</v>
      </c>
      <c r="K215" s="77">
        <f t="shared" si="79"/>
        <v>42340.5</v>
      </c>
      <c r="L215" s="77">
        <f t="shared" si="83"/>
        <v>1148.3248749999998</v>
      </c>
      <c r="M215" s="77"/>
      <c r="N215" s="78">
        <v>3065</v>
      </c>
      <c r="O215" s="107">
        <f t="shared" si="77"/>
        <v>6872.8248750000002</v>
      </c>
      <c r="P215" s="84">
        <f>+F215-O215</f>
        <v>38127.175125000002</v>
      </c>
    </row>
    <row r="216" spans="1:17" s="39" customFormat="1" ht="30" customHeight="1" x14ac:dyDescent="0.25">
      <c r="A216" s="206" t="s">
        <v>125</v>
      </c>
      <c r="B216" s="207"/>
      <c r="C216" s="207"/>
      <c r="D216" s="207"/>
      <c r="E216" s="208"/>
      <c r="F216" s="37">
        <f>SUM(F213:F215)</f>
        <v>250000</v>
      </c>
      <c r="G216" s="37">
        <f t="shared" ref="G216:P216" si="84">SUM(G213:G215)</f>
        <v>7175</v>
      </c>
      <c r="H216" s="37">
        <f t="shared" si="84"/>
        <v>7600</v>
      </c>
      <c r="I216" s="37">
        <f t="shared" si="84"/>
        <v>0</v>
      </c>
      <c r="J216" s="37">
        <f t="shared" si="84"/>
        <v>14775</v>
      </c>
      <c r="K216" s="37">
        <f t="shared" si="84"/>
        <v>235225</v>
      </c>
      <c r="L216" s="37">
        <f t="shared" si="84"/>
        <v>26855.086999999996</v>
      </c>
      <c r="M216" s="37">
        <f t="shared" si="84"/>
        <v>0</v>
      </c>
      <c r="N216" s="37">
        <f t="shared" si="84"/>
        <v>27119.41</v>
      </c>
      <c r="O216" s="37">
        <f t="shared" si="84"/>
        <v>68749.497000000003</v>
      </c>
      <c r="P216" s="37">
        <f t="shared" si="84"/>
        <v>181250.50300000003</v>
      </c>
    </row>
    <row r="217" spans="1:17" s="39" customFormat="1" ht="30" customHeight="1" thickBot="1" x14ac:dyDescent="0.3">
      <c r="A217" s="44"/>
      <c r="B217" s="42"/>
      <c r="C217" s="44"/>
      <c r="D217" s="43"/>
      <c r="E217" s="43"/>
      <c r="G217" s="32"/>
      <c r="H217" s="32"/>
      <c r="I217" s="32"/>
      <c r="J217" s="32"/>
      <c r="K217" s="32"/>
      <c r="L217" s="32"/>
      <c r="M217" s="32"/>
      <c r="N217" s="32"/>
      <c r="O217" s="32"/>
      <c r="P217" s="32"/>
    </row>
    <row r="218" spans="1:17" s="53" customFormat="1" ht="30" customHeight="1" thickBot="1" x14ac:dyDescent="0.3">
      <c r="A218" s="214" t="s">
        <v>295</v>
      </c>
      <c r="B218" s="215"/>
      <c r="C218" s="215"/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39"/>
    </row>
    <row r="219" spans="1:17" s="87" customFormat="1" ht="30" customHeight="1" x14ac:dyDescent="0.25">
      <c r="A219" s="80">
        <f>+A215+1</f>
        <v>115</v>
      </c>
      <c r="B219" s="108" t="s">
        <v>296</v>
      </c>
      <c r="C219" s="36" t="s">
        <v>420</v>
      </c>
      <c r="D219" s="108" t="s">
        <v>93</v>
      </c>
      <c r="E219" s="108" t="s">
        <v>197</v>
      </c>
      <c r="F219" s="110">
        <v>100000</v>
      </c>
      <c r="G219" s="110">
        <f>F219*2.87%</f>
        <v>2870</v>
      </c>
      <c r="H219" s="110">
        <f>+F219*3.04%</f>
        <v>3040</v>
      </c>
      <c r="I219" s="110"/>
      <c r="J219" s="77">
        <f t="shared" si="75"/>
        <v>5910</v>
      </c>
      <c r="K219" s="77">
        <f>+F219-J219</f>
        <v>94090</v>
      </c>
      <c r="L219" s="77">
        <f t="shared" ref="L219:L256" si="85">+IF(K219*12&lt;=416220.01,0,IF(K219*12&lt;=624329.01,(((K219*12-416220.01)*0.15)/12),IF((K219*12&lt;=867123.01),(31216+0.2*(K219*12-624329.01))/12,((79776+0.25*(K219*12-867123.01))/12))))</f>
        <v>12105.437291666667</v>
      </c>
      <c r="M219" s="77"/>
      <c r="N219" s="78">
        <v>25</v>
      </c>
      <c r="O219" s="107">
        <f t="shared" si="77"/>
        <v>18040.437291666669</v>
      </c>
      <c r="P219" s="78">
        <f>+F219-O219</f>
        <v>81959.562708333338</v>
      </c>
      <c r="Q219" s="47"/>
    </row>
    <row r="220" spans="1:17" s="87" customFormat="1" ht="30" customHeight="1" x14ac:dyDescent="0.25">
      <c r="A220" s="206" t="s">
        <v>125</v>
      </c>
      <c r="B220" s="207"/>
      <c r="C220" s="207"/>
      <c r="D220" s="207"/>
      <c r="E220" s="208"/>
      <c r="F220" s="37">
        <f>SUM(F219)</f>
        <v>100000</v>
      </c>
      <c r="G220" s="37">
        <f t="shared" ref="G220:P220" si="86">SUM(G219)</f>
        <v>2870</v>
      </c>
      <c r="H220" s="37">
        <f t="shared" si="86"/>
        <v>3040</v>
      </c>
      <c r="I220" s="37">
        <f t="shared" si="86"/>
        <v>0</v>
      </c>
      <c r="J220" s="37">
        <f t="shared" si="86"/>
        <v>5910</v>
      </c>
      <c r="K220" s="37">
        <f t="shared" si="86"/>
        <v>94090</v>
      </c>
      <c r="L220" s="37">
        <f t="shared" si="86"/>
        <v>12105.437291666667</v>
      </c>
      <c r="M220" s="37">
        <f t="shared" si="86"/>
        <v>0</v>
      </c>
      <c r="N220" s="37">
        <f t="shared" si="86"/>
        <v>25</v>
      </c>
      <c r="O220" s="37">
        <f t="shared" si="86"/>
        <v>18040.437291666669</v>
      </c>
      <c r="P220" s="37">
        <f t="shared" si="86"/>
        <v>81959.562708333338</v>
      </c>
      <c r="Q220" s="47"/>
    </row>
    <row r="221" spans="1:17" s="39" customFormat="1" ht="30" customHeight="1" thickBot="1" x14ac:dyDescent="0.3">
      <c r="A221" s="50"/>
      <c r="B221" s="50"/>
      <c r="C221" s="50"/>
      <c r="D221" s="50"/>
      <c r="E221" s="5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</row>
    <row r="222" spans="1:17" s="39" customFormat="1" ht="30" customHeight="1" thickBot="1" x14ac:dyDescent="0.3">
      <c r="A222" s="214" t="s">
        <v>449</v>
      </c>
      <c r="B222" s="215"/>
      <c r="C222" s="215"/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</row>
    <row r="223" spans="1:17" s="79" customFormat="1" ht="30" customHeight="1" x14ac:dyDescent="0.25">
      <c r="A223" s="80">
        <f>+A219+1</f>
        <v>116</v>
      </c>
      <c r="B223" s="108" t="s">
        <v>13</v>
      </c>
      <c r="C223" s="36" t="s">
        <v>420</v>
      </c>
      <c r="D223" s="126" t="s">
        <v>93</v>
      </c>
      <c r="E223" s="108" t="s">
        <v>197</v>
      </c>
      <c r="F223" s="110">
        <v>2833</v>
      </c>
      <c r="G223" s="82">
        <v>81.31</v>
      </c>
      <c r="H223" s="82">
        <v>86.12</v>
      </c>
      <c r="I223" s="82">
        <v>0</v>
      </c>
      <c r="J223" s="77">
        <f t="shared" si="75"/>
        <v>167.43</v>
      </c>
      <c r="K223" s="77">
        <f t="shared" si="79"/>
        <v>2665.57</v>
      </c>
      <c r="L223" s="77">
        <f t="shared" si="85"/>
        <v>0</v>
      </c>
      <c r="M223" s="77"/>
      <c r="N223" s="78">
        <v>25</v>
      </c>
      <c r="O223" s="107">
        <f t="shared" si="77"/>
        <v>192.43</v>
      </c>
      <c r="P223" s="78">
        <f>+F223-O223</f>
        <v>2640.57</v>
      </c>
      <c r="Q223" s="32"/>
    </row>
    <row r="224" spans="1:17" s="39" customFormat="1" ht="30" customHeight="1" x14ac:dyDescent="0.25">
      <c r="A224" s="206" t="s">
        <v>125</v>
      </c>
      <c r="B224" s="207"/>
      <c r="C224" s="207"/>
      <c r="D224" s="207"/>
      <c r="E224" s="208"/>
      <c r="F224" s="37">
        <f>SUM(F223)</f>
        <v>2833</v>
      </c>
      <c r="G224" s="37">
        <f t="shared" ref="G224:P224" si="87">SUM(G223)</f>
        <v>81.31</v>
      </c>
      <c r="H224" s="37">
        <f t="shared" si="87"/>
        <v>86.12</v>
      </c>
      <c r="I224" s="37">
        <f t="shared" si="87"/>
        <v>0</v>
      </c>
      <c r="J224" s="37">
        <f t="shared" si="87"/>
        <v>167.43</v>
      </c>
      <c r="K224" s="37">
        <f t="shared" si="87"/>
        <v>2665.57</v>
      </c>
      <c r="L224" s="37">
        <f t="shared" si="87"/>
        <v>0</v>
      </c>
      <c r="M224" s="37">
        <f t="shared" si="87"/>
        <v>0</v>
      </c>
      <c r="N224" s="37">
        <f t="shared" si="87"/>
        <v>25</v>
      </c>
      <c r="O224" s="37">
        <f t="shared" si="87"/>
        <v>192.43</v>
      </c>
      <c r="P224" s="37">
        <f t="shared" si="87"/>
        <v>2640.57</v>
      </c>
    </row>
    <row r="225" spans="1:17" s="39" customFormat="1" ht="30" customHeight="1" thickBot="1" x14ac:dyDescent="0.3">
      <c r="C225" s="41"/>
    </row>
    <row r="226" spans="1:17" s="39" customFormat="1" ht="30" customHeight="1" thickBot="1" x14ac:dyDescent="0.3">
      <c r="A226" s="209" t="s">
        <v>298</v>
      </c>
      <c r="B226" s="210"/>
      <c r="C226" s="210"/>
      <c r="D226" s="210"/>
      <c r="E226" s="210"/>
      <c r="F226" s="210"/>
      <c r="G226" s="210"/>
      <c r="H226" s="210"/>
      <c r="I226" s="210"/>
      <c r="J226" s="210"/>
      <c r="K226" s="210"/>
      <c r="L226" s="210"/>
      <c r="M226" s="210"/>
      <c r="N226" s="210"/>
      <c r="O226" s="210"/>
      <c r="P226" s="210"/>
    </row>
    <row r="227" spans="1:17" s="53" customFormat="1" ht="30" customHeight="1" x14ac:dyDescent="0.25">
      <c r="A227" s="75">
        <f>+A223+1</f>
        <v>117</v>
      </c>
      <c r="B227" s="112" t="s">
        <v>299</v>
      </c>
      <c r="C227" s="122" t="s">
        <v>421</v>
      </c>
      <c r="D227" s="147" t="s">
        <v>300</v>
      </c>
      <c r="E227" s="108" t="s">
        <v>121</v>
      </c>
      <c r="F227" s="107">
        <v>135000</v>
      </c>
      <c r="G227" s="77">
        <f>F227*2.87%</f>
        <v>3874.5</v>
      </c>
      <c r="H227" s="77">
        <f>F227*3.04%</f>
        <v>4104</v>
      </c>
      <c r="I227" s="77">
        <v>1597.31</v>
      </c>
      <c r="J227" s="77">
        <f t="shared" si="75"/>
        <v>9575.81</v>
      </c>
      <c r="K227" s="77">
        <f t="shared" si="79"/>
        <v>125424.19</v>
      </c>
      <c r="L227" s="77">
        <f>+IF(K227*12&lt;=416220.01,0,IF(K227*12&lt;=624329.01,(((K227*12-416220.01)*0.15)/12),IF((K227*12&lt;=867123.01),(31216+0.2*(K227*12-624329.01))/12,((79776+0.25*(K227*12-867123.01))/12))))-M227</f>
        <v>19938.984791666666</v>
      </c>
      <c r="M227" s="77"/>
      <c r="N227" s="78">
        <v>25</v>
      </c>
      <c r="O227" s="107">
        <f t="shared" si="77"/>
        <v>29539.794791666667</v>
      </c>
      <c r="P227" s="77">
        <f>+F227-O227</f>
        <v>105460.20520833333</v>
      </c>
      <c r="Q227" s="39"/>
    </row>
    <row r="228" spans="1:17" s="90" customFormat="1" ht="30" customHeight="1" x14ac:dyDescent="0.25">
      <c r="A228" s="80">
        <f>+A227+1</f>
        <v>118</v>
      </c>
      <c r="B228" s="108" t="s">
        <v>16</v>
      </c>
      <c r="C228" s="36" t="s">
        <v>421</v>
      </c>
      <c r="D228" s="108" t="s">
        <v>301</v>
      </c>
      <c r="E228" s="108" t="s">
        <v>122</v>
      </c>
      <c r="F228" s="110">
        <v>80000</v>
      </c>
      <c r="G228" s="82">
        <f>F228*2.87%</f>
        <v>2296</v>
      </c>
      <c r="H228" s="82">
        <f>+F228*3.04%</f>
        <v>2432</v>
      </c>
      <c r="I228" s="82">
        <v>4791.93</v>
      </c>
      <c r="J228" s="77">
        <f t="shared" si="75"/>
        <v>9519.93</v>
      </c>
      <c r="K228" s="77">
        <f t="shared" si="79"/>
        <v>70480.070000000007</v>
      </c>
      <c r="L228" s="77">
        <f>+IF(K228*12&lt;=416220.01,0,IF(K228*12&lt;=624329.01,(((K228*12-416220.01)*0.15)/12),IF((K228*12&lt;=867123.01),(31216+0.2*(K228*12-624329.01))/12,((79776+0.25*(K228*12-867123.01))/12))))-M228</f>
        <v>6291.8638333333338</v>
      </c>
      <c r="M228" s="77"/>
      <c r="N228" s="78">
        <v>1825</v>
      </c>
      <c r="O228" s="107">
        <f t="shared" si="77"/>
        <v>17636.793833333333</v>
      </c>
      <c r="P228" s="77">
        <f>+F228-O228</f>
        <v>62363.20616666667</v>
      </c>
      <c r="Q228" s="240"/>
    </row>
    <row r="229" spans="1:17" s="90" customFormat="1" ht="30" customHeight="1" x14ac:dyDescent="0.25">
      <c r="A229" s="206" t="s">
        <v>125</v>
      </c>
      <c r="B229" s="207"/>
      <c r="C229" s="207"/>
      <c r="D229" s="207"/>
      <c r="E229" s="208"/>
      <c r="F229" s="37">
        <f>SUM(F227:F228)</f>
        <v>215000</v>
      </c>
      <c r="G229" s="37">
        <f t="shared" ref="G229:P229" si="88">SUM(G227:G228)</f>
        <v>6170.5</v>
      </c>
      <c r="H229" s="37">
        <f t="shared" si="88"/>
        <v>6536</v>
      </c>
      <c r="I229" s="37">
        <f t="shared" si="88"/>
        <v>6389.24</v>
      </c>
      <c r="J229" s="37">
        <f t="shared" si="88"/>
        <v>19095.739999999998</v>
      </c>
      <c r="K229" s="37">
        <f t="shared" si="88"/>
        <v>195904.26</v>
      </c>
      <c r="L229" s="37">
        <f t="shared" si="88"/>
        <v>26230.848624999999</v>
      </c>
      <c r="M229" s="37">
        <f t="shared" si="88"/>
        <v>0</v>
      </c>
      <c r="N229" s="37">
        <f t="shared" si="88"/>
        <v>1850</v>
      </c>
      <c r="O229" s="37">
        <f t="shared" si="88"/>
        <v>47176.588625000004</v>
      </c>
      <c r="P229" s="37">
        <f t="shared" si="88"/>
        <v>167823.411375</v>
      </c>
      <c r="Q229" s="240"/>
    </row>
    <row r="230" spans="1:17" s="39" customFormat="1" ht="30" customHeight="1" thickBot="1" x14ac:dyDescent="0.3">
      <c r="A230" s="50"/>
      <c r="B230" s="50"/>
      <c r="C230" s="50"/>
      <c r="D230" s="50"/>
      <c r="E230" s="50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</row>
    <row r="231" spans="1:17" s="39" customFormat="1" ht="30" customHeight="1" thickBot="1" x14ac:dyDescent="0.3">
      <c r="A231" s="209" t="s">
        <v>302</v>
      </c>
      <c r="B231" s="210"/>
      <c r="C231" s="210"/>
      <c r="D231" s="210"/>
      <c r="E231" s="210"/>
      <c r="F231" s="210"/>
      <c r="G231" s="210"/>
      <c r="H231" s="210"/>
      <c r="I231" s="210"/>
      <c r="J231" s="210"/>
      <c r="K231" s="210"/>
      <c r="L231" s="210"/>
      <c r="M231" s="210"/>
      <c r="N231" s="210"/>
      <c r="O231" s="210"/>
      <c r="P231" s="210"/>
    </row>
    <row r="232" spans="1:17" s="53" customFormat="1" ht="30" customHeight="1" x14ac:dyDescent="0.25">
      <c r="A232" s="80">
        <f>+A228+1</f>
        <v>119</v>
      </c>
      <c r="B232" s="108" t="s">
        <v>109</v>
      </c>
      <c r="C232" s="36" t="s">
        <v>421</v>
      </c>
      <c r="D232" s="108" t="s">
        <v>110</v>
      </c>
      <c r="E232" s="108" t="s">
        <v>122</v>
      </c>
      <c r="F232" s="110">
        <v>100000</v>
      </c>
      <c r="G232" s="82">
        <f>F232*2.87%</f>
        <v>2870</v>
      </c>
      <c r="H232" s="82">
        <f>+F232*3.04%</f>
        <v>3040</v>
      </c>
      <c r="I232" s="82"/>
      <c r="J232" s="77">
        <f t="shared" si="75"/>
        <v>5910</v>
      </c>
      <c r="K232" s="77">
        <f>+F232-J232</f>
        <v>94090</v>
      </c>
      <c r="L232" s="77">
        <f>+IF(K232*12&lt;=416220.01,0,IF(K232*12&lt;=624329.01,(((K232*12-416220.01)*0.15)/12),IF((K232*12&lt;=867123.01),(31216+0.2*(K232*12-624329.01))/12,((79776+0.25*(K232*12-867123.01))/12))))-M232</f>
        <v>12105.437291666667</v>
      </c>
      <c r="M232" s="77"/>
      <c r="N232" s="78">
        <v>5025</v>
      </c>
      <c r="O232" s="107">
        <f t="shared" si="77"/>
        <v>23040.437291666669</v>
      </c>
      <c r="P232" s="77">
        <f>+F232-O232</f>
        <v>76959.562708333338</v>
      </c>
      <c r="Q232" s="39"/>
    </row>
    <row r="233" spans="1:17" s="39" customFormat="1" ht="30" customHeight="1" x14ac:dyDescent="0.25">
      <c r="A233" s="206" t="s">
        <v>125</v>
      </c>
      <c r="B233" s="207"/>
      <c r="C233" s="207"/>
      <c r="D233" s="207"/>
      <c r="E233" s="208"/>
      <c r="F233" s="37">
        <f>SUM(F232)</f>
        <v>100000</v>
      </c>
      <c r="G233" s="37">
        <f t="shared" ref="G233:P233" si="89">SUM(G232)</f>
        <v>2870</v>
      </c>
      <c r="H233" s="37">
        <f t="shared" si="89"/>
        <v>3040</v>
      </c>
      <c r="I233" s="37">
        <f t="shared" si="89"/>
        <v>0</v>
      </c>
      <c r="J233" s="37">
        <f t="shared" si="89"/>
        <v>5910</v>
      </c>
      <c r="K233" s="37">
        <f t="shared" si="89"/>
        <v>94090</v>
      </c>
      <c r="L233" s="37">
        <f t="shared" si="89"/>
        <v>12105.437291666667</v>
      </c>
      <c r="M233" s="37">
        <f t="shared" si="89"/>
        <v>0</v>
      </c>
      <c r="N233" s="37">
        <f t="shared" si="89"/>
        <v>5025</v>
      </c>
      <c r="O233" s="37">
        <f t="shared" si="89"/>
        <v>23040.437291666669</v>
      </c>
      <c r="P233" s="37">
        <f t="shared" si="89"/>
        <v>76959.562708333338</v>
      </c>
    </row>
    <row r="234" spans="1:17" s="39" customFormat="1" ht="30" customHeight="1" thickBot="1" x14ac:dyDescent="0.3">
      <c r="A234" s="41"/>
      <c r="B234" s="48"/>
      <c r="C234" s="139"/>
      <c r="D234" s="48"/>
      <c r="E234" s="48"/>
      <c r="F234" s="49"/>
    </row>
    <row r="235" spans="1:17" s="39" customFormat="1" ht="30" customHeight="1" x14ac:dyDescent="0.25">
      <c r="A235" s="218" t="s">
        <v>205</v>
      </c>
      <c r="B235" s="219"/>
      <c r="C235" s="219"/>
      <c r="D235" s="219"/>
      <c r="E235" s="219"/>
      <c r="F235" s="219"/>
      <c r="G235" s="219"/>
      <c r="H235" s="219"/>
      <c r="I235" s="219"/>
      <c r="J235" s="219"/>
      <c r="K235" s="219"/>
      <c r="L235" s="219"/>
      <c r="M235" s="219"/>
      <c r="N235" s="219"/>
      <c r="O235" s="219"/>
      <c r="P235" s="219"/>
    </row>
    <row r="236" spans="1:17" s="39" customFormat="1" ht="30" customHeight="1" x14ac:dyDescent="0.25">
      <c r="A236" s="80">
        <f>+A232+1</f>
        <v>120</v>
      </c>
      <c r="B236" s="108" t="s">
        <v>588</v>
      </c>
      <c r="C236" s="36" t="s">
        <v>421</v>
      </c>
      <c r="D236" s="108" t="s">
        <v>22</v>
      </c>
      <c r="E236" s="170" t="s">
        <v>228</v>
      </c>
      <c r="F236" s="110">
        <v>35000</v>
      </c>
      <c r="G236" s="82">
        <f>F236*2.87%</f>
        <v>1004.5</v>
      </c>
      <c r="H236" s="82">
        <f>+F236*3.04%</f>
        <v>1064</v>
      </c>
      <c r="I236" s="82"/>
      <c r="J236" s="77">
        <f t="shared" si="75"/>
        <v>2068.5</v>
      </c>
      <c r="K236" s="77">
        <f t="shared" si="79"/>
        <v>32931.5</v>
      </c>
      <c r="L236" s="77">
        <f t="shared" si="85"/>
        <v>0</v>
      </c>
      <c r="M236" s="77"/>
      <c r="N236" s="82">
        <v>5343.89</v>
      </c>
      <c r="O236" s="107">
        <f t="shared" si="77"/>
        <v>7412.39</v>
      </c>
      <c r="P236" s="77">
        <f>+F236-O236</f>
        <v>27587.61</v>
      </c>
    </row>
    <row r="237" spans="1:17" s="39" customFormat="1" ht="30" customHeight="1" x14ac:dyDescent="0.25">
      <c r="A237" s="157">
        <f>+A236+1</f>
        <v>121</v>
      </c>
      <c r="B237" s="108" t="s">
        <v>212</v>
      </c>
      <c r="C237" s="172" t="s">
        <v>421</v>
      </c>
      <c r="D237" s="108" t="s">
        <v>679</v>
      </c>
      <c r="E237" s="170" t="s">
        <v>228</v>
      </c>
      <c r="F237" s="110">
        <v>25000</v>
      </c>
      <c r="G237" s="82">
        <f>F237*2.87%</f>
        <v>717.5</v>
      </c>
      <c r="H237" s="82">
        <f>+F237*3.04%</f>
        <v>760</v>
      </c>
      <c r="I237" s="82">
        <v>0</v>
      </c>
      <c r="J237" s="77">
        <f t="shared" ref="J237" si="90">+G237+H237+I237</f>
        <v>1477.5</v>
      </c>
      <c r="K237" s="77">
        <v>23522.5</v>
      </c>
      <c r="L237" s="77">
        <v>0</v>
      </c>
      <c r="M237" s="82">
        <f t="shared" ref="M237" si="91">L237*2.87%</f>
        <v>0</v>
      </c>
      <c r="N237" s="82">
        <v>2625</v>
      </c>
      <c r="O237" s="107">
        <f t="shared" ref="O237" si="92">+N237+I237+H237+G237+L237</f>
        <v>4102.5</v>
      </c>
      <c r="P237" s="77">
        <f>+F237-O237</f>
        <v>20897.5</v>
      </c>
    </row>
    <row r="238" spans="1:17" s="39" customFormat="1" ht="30" customHeight="1" x14ac:dyDescent="0.25">
      <c r="A238" s="206" t="s">
        <v>125</v>
      </c>
      <c r="B238" s="207"/>
      <c r="C238" s="207"/>
      <c r="D238" s="207"/>
      <c r="E238" s="208"/>
      <c r="F238" s="37">
        <f>SUM(F236:F237)</f>
        <v>60000</v>
      </c>
      <c r="G238" s="37">
        <f t="shared" ref="G238:P238" si="93">SUM(G236:G237)</f>
        <v>1722</v>
      </c>
      <c r="H238" s="37">
        <f t="shared" si="93"/>
        <v>1824</v>
      </c>
      <c r="I238" s="37">
        <f t="shared" si="93"/>
        <v>0</v>
      </c>
      <c r="J238" s="37">
        <f t="shared" si="93"/>
        <v>3546</v>
      </c>
      <c r="K238" s="37">
        <f t="shared" si="93"/>
        <v>56454</v>
      </c>
      <c r="L238" s="37">
        <f t="shared" si="93"/>
        <v>0</v>
      </c>
      <c r="M238" s="37">
        <f t="shared" si="93"/>
        <v>0</v>
      </c>
      <c r="N238" s="37">
        <f t="shared" si="93"/>
        <v>7968.89</v>
      </c>
      <c r="O238" s="37">
        <f t="shared" si="93"/>
        <v>11514.89</v>
      </c>
      <c r="P238" s="37">
        <f t="shared" si="93"/>
        <v>48485.11</v>
      </c>
    </row>
    <row r="239" spans="1:17" s="53" customFormat="1" ht="30" customHeight="1" thickBot="1" x14ac:dyDescent="0.3">
      <c r="A239" s="51"/>
      <c r="B239" s="45"/>
      <c r="C239" s="50"/>
      <c r="D239" s="52"/>
      <c r="E239" s="52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39"/>
    </row>
    <row r="240" spans="1:17" s="53" customFormat="1" ht="30" customHeight="1" thickBot="1" x14ac:dyDescent="0.3">
      <c r="A240" s="209" t="s">
        <v>85</v>
      </c>
      <c r="B240" s="210"/>
      <c r="C240" s="210"/>
      <c r="D240" s="210"/>
      <c r="E240" s="210"/>
      <c r="F240" s="210"/>
      <c r="G240" s="210"/>
      <c r="H240" s="210"/>
      <c r="I240" s="210"/>
      <c r="J240" s="210"/>
      <c r="K240" s="210"/>
      <c r="L240" s="210"/>
      <c r="M240" s="210"/>
      <c r="N240" s="210"/>
      <c r="O240" s="210"/>
      <c r="P240" s="210"/>
      <c r="Q240" s="39"/>
    </row>
    <row r="241" spans="1:17" s="53" customFormat="1" ht="30" customHeight="1" x14ac:dyDescent="0.25">
      <c r="A241" s="80">
        <f>+A237+1</f>
        <v>122</v>
      </c>
      <c r="B241" s="108" t="s">
        <v>10</v>
      </c>
      <c r="C241" s="36" t="s">
        <v>421</v>
      </c>
      <c r="D241" s="108" t="s">
        <v>94</v>
      </c>
      <c r="E241" s="108" t="s">
        <v>122</v>
      </c>
      <c r="F241" s="110">
        <v>60000</v>
      </c>
      <c r="G241" s="110">
        <f>F241*2.87%</f>
        <v>1722</v>
      </c>
      <c r="H241" s="82">
        <f>+F241*3.04%</f>
        <v>1824</v>
      </c>
      <c r="I241" s="82"/>
      <c r="J241" s="77">
        <f t="shared" si="75"/>
        <v>3546</v>
      </c>
      <c r="K241" s="77">
        <f t="shared" si="79"/>
        <v>56454</v>
      </c>
      <c r="L241" s="77">
        <f>+IF(K241*12&lt;=416220.01,0,IF(K241*12&lt;=624329.01,(((K241*12-416220.01)*0.15)/12),IF((K241*12&lt;=867123.01),(31216+0.2*(K241*12-624329.01))/12,((79776+0.25*(K241*12-867123.01))/12))))-M241</f>
        <v>3486.6498333333329</v>
      </c>
      <c r="M241" s="77"/>
      <c r="N241" s="78">
        <v>125</v>
      </c>
      <c r="O241" s="107">
        <f t="shared" si="77"/>
        <v>7157.6498333333329</v>
      </c>
      <c r="P241" s="77">
        <f>+F241-O241</f>
        <v>52842.350166666671</v>
      </c>
      <c r="Q241" s="39"/>
    </row>
    <row r="242" spans="1:17" s="39" customFormat="1" ht="30" customHeight="1" x14ac:dyDescent="0.25">
      <c r="A242" s="206" t="s">
        <v>125</v>
      </c>
      <c r="B242" s="207"/>
      <c r="C242" s="207"/>
      <c r="D242" s="207"/>
      <c r="E242" s="208"/>
      <c r="F242" s="37">
        <f>SUM(F241:F241)</f>
        <v>60000</v>
      </c>
      <c r="G242" s="37">
        <f t="shared" ref="G242:P242" si="94">SUM(G241:G241)</f>
        <v>1722</v>
      </c>
      <c r="H242" s="37">
        <f t="shared" si="94"/>
        <v>1824</v>
      </c>
      <c r="I242" s="37">
        <f t="shared" si="94"/>
        <v>0</v>
      </c>
      <c r="J242" s="37">
        <f t="shared" si="94"/>
        <v>3546</v>
      </c>
      <c r="K242" s="37">
        <f t="shared" si="94"/>
        <v>56454</v>
      </c>
      <c r="L242" s="37">
        <f t="shared" si="94"/>
        <v>3486.6498333333329</v>
      </c>
      <c r="M242" s="37">
        <f t="shared" si="94"/>
        <v>0</v>
      </c>
      <c r="N242" s="37">
        <f t="shared" si="94"/>
        <v>125</v>
      </c>
      <c r="O242" s="37">
        <f t="shared" si="94"/>
        <v>7157.6498333333329</v>
      </c>
      <c r="P242" s="37">
        <f t="shared" si="94"/>
        <v>52842.350166666671</v>
      </c>
    </row>
    <row r="243" spans="1:17" s="53" customFormat="1" ht="30" customHeight="1" thickBot="1" x14ac:dyDescent="0.3">
      <c r="A243" s="50"/>
      <c r="B243" s="50"/>
      <c r="C243" s="50"/>
      <c r="D243" s="50"/>
      <c r="E243" s="50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39"/>
    </row>
    <row r="244" spans="1:17" s="39" customFormat="1" ht="30" customHeight="1" thickBot="1" x14ac:dyDescent="0.3">
      <c r="A244" s="209" t="s">
        <v>175</v>
      </c>
      <c r="B244" s="210"/>
      <c r="C244" s="210"/>
      <c r="D244" s="210"/>
      <c r="E244" s="210"/>
      <c r="F244" s="210"/>
      <c r="G244" s="210"/>
      <c r="H244" s="210"/>
      <c r="I244" s="210"/>
      <c r="J244" s="210"/>
      <c r="K244" s="210"/>
      <c r="L244" s="210"/>
      <c r="M244" s="210"/>
      <c r="N244" s="210"/>
      <c r="O244" s="210"/>
      <c r="P244" s="210"/>
    </row>
    <row r="245" spans="1:17" s="87" customFormat="1" ht="30" customHeight="1" x14ac:dyDescent="0.25">
      <c r="A245" s="75">
        <f>+A241+1</f>
        <v>123</v>
      </c>
      <c r="B245" s="76" t="s">
        <v>7</v>
      </c>
      <c r="C245" s="75" t="s">
        <v>421</v>
      </c>
      <c r="D245" s="76" t="s">
        <v>6</v>
      </c>
      <c r="E245" s="76" t="s">
        <v>122</v>
      </c>
      <c r="F245" s="77">
        <v>54500</v>
      </c>
      <c r="G245" s="77">
        <f>F245*2.87%</f>
        <v>1564.15</v>
      </c>
      <c r="H245" s="77">
        <f>+F245*3.04%</f>
        <v>1656.8</v>
      </c>
      <c r="I245" s="77">
        <v>3194.62</v>
      </c>
      <c r="J245" s="77">
        <f t="shared" si="75"/>
        <v>6415.57</v>
      </c>
      <c r="K245" s="77">
        <f t="shared" si="79"/>
        <v>48084.43</v>
      </c>
      <c r="L245" s="77">
        <f>+IF(K245*12&lt;=416220.01,0,IF(K245*12&lt;=624329.01,(((K245*12-416220.01)*0.15)/12),IF((K245*12&lt;=867123.01),(31216+0.2*(K245*12-624329.01))/12,((79776+0.25*(K245*12-867123.01))/12))))-M245</f>
        <v>2009.9143750000003</v>
      </c>
      <c r="M245" s="77"/>
      <c r="N245" s="78">
        <v>2325</v>
      </c>
      <c r="O245" s="107">
        <f t="shared" si="77"/>
        <v>10750.484375</v>
      </c>
      <c r="P245" s="77">
        <f>+F245-O245</f>
        <v>43749.515625</v>
      </c>
      <c r="Q245" s="47"/>
    </row>
    <row r="246" spans="1:17" s="53" customFormat="1" ht="30" customHeight="1" x14ac:dyDescent="0.25">
      <c r="A246" s="36">
        <f>+A245+1</f>
        <v>124</v>
      </c>
      <c r="B246" s="108" t="s">
        <v>511</v>
      </c>
      <c r="C246" s="36" t="s">
        <v>420</v>
      </c>
      <c r="D246" s="108" t="s">
        <v>196</v>
      </c>
      <c r="E246" s="108" t="s">
        <v>228</v>
      </c>
      <c r="F246" s="110">
        <v>60000</v>
      </c>
      <c r="G246" s="110">
        <f>F246*2.87%</f>
        <v>1722</v>
      </c>
      <c r="H246" s="110">
        <f>+F246*3.04%</f>
        <v>1824</v>
      </c>
      <c r="I246" s="110"/>
      <c r="J246" s="77">
        <f t="shared" si="75"/>
        <v>3546</v>
      </c>
      <c r="K246" s="77">
        <f t="shared" si="79"/>
        <v>56454</v>
      </c>
      <c r="L246" s="77">
        <f t="shared" ref="L246:L247" si="95">+IF(K246*12&lt;=416220.01,0,IF(K246*12&lt;=624329.01,(((K246*12-416220.01)*0.15)/12),IF((K246*12&lt;=867123.01),(31216+0.2*(K246*12-624329.01))/12,((79776+0.25*(K246*12-867123.01))/12))))-M246</f>
        <v>3486.6498333333329</v>
      </c>
      <c r="M246" s="77"/>
      <c r="N246" s="84">
        <v>25</v>
      </c>
      <c r="O246" s="107">
        <f t="shared" si="77"/>
        <v>7057.6498333333329</v>
      </c>
      <c r="P246" s="107">
        <f>+F246-O246</f>
        <v>52942.350166666671</v>
      </c>
      <c r="Q246" s="39"/>
    </row>
    <row r="247" spans="1:17" s="53" customFormat="1" ht="30" customHeight="1" x14ac:dyDescent="0.25">
      <c r="A247" s="80">
        <f>+A246+1</f>
        <v>125</v>
      </c>
      <c r="B247" s="81" t="s">
        <v>304</v>
      </c>
      <c r="C247" s="80" t="s">
        <v>420</v>
      </c>
      <c r="D247" s="81" t="s">
        <v>6</v>
      </c>
      <c r="E247" s="81" t="s">
        <v>122</v>
      </c>
      <c r="F247" s="82">
        <v>49500</v>
      </c>
      <c r="G247" s="82">
        <f>F247*2.87%</f>
        <v>1420.65</v>
      </c>
      <c r="H247" s="82">
        <f>+F247*3.04%</f>
        <v>1504.8</v>
      </c>
      <c r="I247" s="82"/>
      <c r="J247" s="77">
        <f t="shared" si="75"/>
        <v>2925.45</v>
      </c>
      <c r="K247" s="77">
        <f t="shared" si="79"/>
        <v>46574.55</v>
      </c>
      <c r="L247" s="77">
        <f t="shared" si="95"/>
        <v>1783.432375000001</v>
      </c>
      <c r="M247" s="77"/>
      <c r="N247" s="78">
        <v>125</v>
      </c>
      <c r="O247" s="107">
        <f t="shared" si="77"/>
        <v>4833.882375000001</v>
      </c>
      <c r="P247" s="77">
        <f>+F247-O247</f>
        <v>44666.117624999999</v>
      </c>
      <c r="Q247" s="39"/>
    </row>
    <row r="248" spans="1:17" s="39" customFormat="1" ht="30" customHeight="1" x14ac:dyDescent="0.25">
      <c r="A248" s="206" t="s">
        <v>125</v>
      </c>
      <c r="B248" s="207"/>
      <c r="C248" s="207"/>
      <c r="D248" s="207"/>
      <c r="E248" s="208"/>
      <c r="F248" s="37">
        <f>SUM(F245:F247)</f>
        <v>164000</v>
      </c>
      <c r="G248" s="37">
        <f t="shared" ref="G248:P248" si="96">SUM(G245:G247)</f>
        <v>4706.8</v>
      </c>
      <c r="H248" s="37">
        <f t="shared" si="96"/>
        <v>4985.6000000000004</v>
      </c>
      <c r="I248" s="37">
        <f t="shared" si="96"/>
        <v>3194.62</v>
      </c>
      <c r="J248" s="37">
        <f t="shared" si="96"/>
        <v>12887.02</v>
      </c>
      <c r="K248" s="37">
        <f t="shared" si="96"/>
        <v>151112.97999999998</v>
      </c>
      <c r="L248" s="37">
        <f t="shared" si="96"/>
        <v>7279.9965833333345</v>
      </c>
      <c r="M248" s="37">
        <f t="shared" si="96"/>
        <v>0</v>
      </c>
      <c r="N248" s="37">
        <f t="shared" si="96"/>
        <v>2475</v>
      </c>
      <c r="O248" s="37">
        <f t="shared" si="96"/>
        <v>22642.016583333334</v>
      </c>
      <c r="P248" s="37">
        <f t="shared" si="96"/>
        <v>141357.98341666668</v>
      </c>
    </row>
    <row r="249" spans="1:17" s="39" customFormat="1" ht="30" customHeight="1" thickBot="1" x14ac:dyDescent="0.3">
      <c r="A249" s="44"/>
      <c r="B249" s="42"/>
      <c r="C249" s="44"/>
      <c r="D249" s="42"/>
      <c r="E249" s="42"/>
    </row>
    <row r="250" spans="1:17" s="53" customFormat="1" ht="30" customHeight="1" thickBot="1" x14ac:dyDescent="0.3">
      <c r="A250" s="209" t="s">
        <v>176</v>
      </c>
      <c r="B250" s="210"/>
      <c r="C250" s="210"/>
      <c r="D250" s="210"/>
      <c r="E250" s="210"/>
      <c r="F250" s="210"/>
      <c r="G250" s="210"/>
      <c r="H250" s="210"/>
      <c r="I250" s="210"/>
      <c r="J250" s="210"/>
      <c r="K250" s="210"/>
      <c r="L250" s="210"/>
      <c r="M250" s="210"/>
      <c r="N250" s="210"/>
      <c r="O250" s="210"/>
      <c r="P250" s="210"/>
      <c r="Q250" s="39"/>
    </row>
    <row r="251" spans="1:17" s="53" customFormat="1" ht="30" customHeight="1" x14ac:dyDescent="0.25">
      <c r="A251" s="80">
        <f>+A247+1</f>
        <v>126</v>
      </c>
      <c r="B251" s="108" t="s">
        <v>191</v>
      </c>
      <c r="C251" s="36" t="s">
        <v>420</v>
      </c>
      <c r="D251" s="108" t="s">
        <v>9</v>
      </c>
      <c r="E251" s="108" t="s">
        <v>122</v>
      </c>
      <c r="F251" s="110">
        <v>80000</v>
      </c>
      <c r="G251" s="110">
        <f>F251*2.87%</f>
        <v>2296</v>
      </c>
      <c r="H251" s="82">
        <f>+F251*3.04%</f>
        <v>2432</v>
      </c>
      <c r="I251" s="82"/>
      <c r="J251" s="77">
        <f t="shared" si="75"/>
        <v>4728</v>
      </c>
      <c r="K251" s="77">
        <f t="shared" si="79"/>
        <v>75272</v>
      </c>
      <c r="L251" s="77">
        <f>+IF(K251*12&lt;=416220.01,0,IF(K251*12&lt;=624329.01,(((K251*12-416220.01)*0.15)/12),IF((K251*12&lt;=867123.01),(31216+0.2*(K251*12-624329.01))/12,((79776+0.25*(K251*12-867123.01))/12))))-M251</f>
        <v>7400.9372916666662</v>
      </c>
      <c r="M251" s="77"/>
      <c r="N251" s="78">
        <v>2733.48</v>
      </c>
      <c r="O251" s="107">
        <f t="shared" si="77"/>
        <v>14862.417291666665</v>
      </c>
      <c r="P251" s="78">
        <f>+F251-O251</f>
        <v>65137.582708333335</v>
      </c>
      <c r="Q251" s="39"/>
    </row>
    <row r="252" spans="1:17" s="39" customFormat="1" ht="30" customHeight="1" x14ac:dyDescent="0.25">
      <c r="A252" s="75">
        <f>+A251+1</f>
        <v>127</v>
      </c>
      <c r="B252" s="112" t="s">
        <v>303</v>
      </c>
      <c r="C252" s="122" t="s">
        <v>420</v>
      </c>
      <c r="D252" s="112" t="s">
        <v>196</v>
      </c>
      <c r="E252" s="112" t="s">
        <v>228</v>
      </c>
      <c r="F252" s="107">
        <v>60000</v>
      </c>
      <c r="G252" s="171">
        <f>F252*2.87%</f>
        <v>1722</v>
      </c>
      <c r="H252" s="89">
        <f>+F252*3.04%</f>
        <v>1824</v>
      </c>
      <c r="I252" s="89"/>
      <c r="J252" s="77">
        <f t="shared" si="75"/>
        <v>3546</v>
      </c>
      <c r="K252" s="77">
        <f t="shared" si="79"/>
        <v>56454</v>
      </c>
      <c r="L252" s="77">
        <f>+IF(K252*12&lt;=416220.01,0,IF(K252*12&lt;=624329.01,(((K252*12-416220.01)*0.15)/12),IF((K252*12&lt;=867123.01),(31216+0.2*(K252*12-624329.01))/12,((79776+0.25*(K252*12-867123.01))/12))))-M252</f>
        <v>3486.6498333333329</v>
      </c>
      <c r="M252" s="77"/>
      <c r="N252" s="78">
        <v>25</v>
      </c>
      <c r="O252" s="107">
        <f t="shared" si="77"/>
        <v>7057.6498333333329</v>
      </c>
      <c r="P252" s="89">
        <f>+F252-O252</f>
        <v>52942.350166666671</v>
      </c>
    </row>
    <row r="253" spans="1:17" s="39" customFormat="1" ht="30" customHeight="1" x14ac:dyDescent="0.25">
      <c r="A253" s="206" t="s">
        <v>125</v>
      </c>
      <c r="B253" s="207"/>
      <c r="C253" s="207"/>
      <c r="D253" s="207"/>
      <c r="E253" s="208"/>
      <c r="F253" s="37">
        <f>SUM(F251:F252)</f>
        <v>140000</v>
      </c>
      <c r="G253" s="37">
        <f t="shared" ref="G253:P253" si="97">SUM(G251:G252)</f>
        <v>4018</v>
      </c>
      <c r="H253" s="37">
        <f t="shared" si="97"/>
        <v>4256</v>
      </c>
      <c r="I253" s="37">
        <f t="shared" si="97"/>
        <v>0</v>
      </c>
      <c r="J253" s="37">
        <f t="shared" si="97"/>
        <v>8274</v>
      </c>
      <c r="K253" s="37">
        <f t="shared" si="97"/>
        <v>131726</v>
      </c>
      <c r="L253" s="37">
        <f t="shared" si="97"/>
        <v>10887.587124999998</v>
      </c>
      <c r="M253" s="37">
        <f t="shared" si="97"/>
        <v>0</v>
      </c>
      <c r="N253" s="37">
        <f t="shared" si="97"/>
        <v>2758.48</v>
      </c>
      <c r="O253" s="37">
        <f t="shared" si="97"/>
        <v>21920.067124999998</v>
      </c>
      <c r="P253" s="37">
        <f t="shared" si="97"/>
        <v>118079.932875</v>
      </c>
    </row>
    <row r="254" spans="1:17" s="39" customFormat="1" ht="30" customHeight="1" thickBot="1" x14ac:dyDescent="0.3">
      <c r="A254" s="44"/>
      <c r="B254" s="42"/>
      <c r="C254" s="44"/>
      <c r="D254" s="42"/>
      <c r="E254" s="42"/>
    </row>
    <row r="255" spans="1:17" s="53" customFormat="1" ht="30" customHeight="1" thickBot="1" x14ac:dyDescent="0.3">
      <c r="A255" s="292" t="s">
        <v>306</v>
      </c>
      <c r="B255" s="293"/>
      <c r="C255" s="293"/>
      <c r="D255" s="293"/>
      <c r="E255" s="212"/>
      <c r="F255" s="212"/>
      <c r="G255" s="212"/>
      <c r="H255" s="212"/>
      <c r="I255" s="212"/>
      <c r="J255" s="212"/>
      <c r="K255" s="212"/>
      <c r="L255" s="212"/>
      <c r="M255" s="212"/>
      <c r="N255" s="212"/>
      <c r="O255" s="212"/>
      <c r="P255" s="212"/>
      <c r="Q255" s="39"/>
    </row>
    <row r="256" spans="1:17" s="53" customFormat="1" ht="30" customHeight="1" x14ac:dyDescent="0.25">
      <c r="A256" s="80">
        <f>+A252+1</f>
        <v>128</v>
      </c>
      <c r="B256" s="108" t="s">
        <v>4</v>
      </c>
      <c r="C256" s="36" t="s">
        <v>420</v>
      </c>
      <c r="D256" s="108" t="s">
        <v>448</v>
      </c>
      <c r="E256" s="108" t="s">
        <v>122</v>
      </c>
      <c r="F256" s="110">
        <v>105000</v>
      </c>
      <c r="G256" s="110">
        <f>F256*2.87%</f>
        <v>3013.5</v>
      </c>
      <c r="H256" s="82">
        <f>+F256*3.04%</f>
        <v>3192</v>
      </c>
      <c r="I256" s="82">
        <v>3194.62</v>
      </c>
      <c r="J256" s="77">
        <f t="shared" si="75"/>
        <v>9400.119999999999</v>
      </c>
      <c r="K256" s="77">
        <f t="shared" si="79"/>
        <v>95599.88</v>
      </c>
      <c r="L256" s="77">
        <f t="shared" si="85"/>
        <v>12482.907291666668</v>
      </c>
      <c r="M256" s="77"/>
      <c r="N256" s="78">
        <v>25</v>
      </c>
      <c r="O256" s="107">
        <f t="shared" si="77"/>
        <v>21908.027291666665</v>
      </c>
      <c r="P256" s="78">
        <f>+F256-O256</f>
        <v>83091.972708333342</v>
      </c>
      <c r="Q256" s="39"/>
    </row>
    <row r="257" spans="1:17" s="39" customFormat="1" ht="30" customHeight="1" x14ac:dyDescent="0.25">
      <c r="A257" s="206" t="s">
        <v>125</v>
      </c>
      <c r="B257" s="207"/>
      <c r="C257" s="207"/>
      <c r="D257" s="207"/>
      <c r="E257" s="208"/>
      <c r="F257" s="37">
        <f>SUM(F256:F256)</f>
        <v>105000</v>
      </c>
      <c r="G257" s="37">
        <f t="shared" ref="G257:P257" si="98">SUM(G256:G256)</f>
        <v>3013.5</v>
      </c>
      <c r="H257" s="37">
        <f t="shared" si="98"/>
        <v>3192</v>
      </c>
      <c r="I257" s="37">
        <f t="shared" si="98"/>
        <v>3194.62</v>
      </c>
      <c r="J257" s="37">
        <f t="shared" si="98"/>
        <v>9400.119999999999</v>
      </c>
      <c r="K257" s="37">
        <f t="shared" si="98"/>
        <v>95599.88</v>
      </c>
      <c r="L257" s="37">
        <f t="shared" si="98"/>
        <v>12482.907291666668</v>
      </c>
      <c r="M257" s="37">
        <f t="shared" si="98"/>
        <v>0</v>
      </c>
      <c r="N257" s="37">
        <f t="shared" si="98"/>
        <v>25</v>
      </c>
      <c r="O257" s="37">
        <f t="shared" si="98"/>
        <v>21908.027291666665</v>
      </c>
      <c r="P257" s="37">
        <f t="shared" si="98"/>
        <v>83091.972708333342</v>
      </c>
    </row>
    <row r="258" spans="1:17" s="39" customFormat="1" ht="30" customHeight="1" thickBot="1" x14ac:dyDescent="0.3">
      <c r="A258" s="50"/>
      <c r="B258" s="50"/>
      <c r="C258" s="50"/>
      <c r="D258" s="50"/>
      <c r="E258" s="50"/>
      <c r="F258" s="79"/>
      <c r="G258" s="79"/>
      <c r="H258" s="79"/>
      <c r="I258" s="79"/>
      <c r="J258" s="79"/>
      <c r="K258" s="79"/>
      <c r="L258" s="79"/>
      <c r="M258" s="79"/>
      <c r="N258" s="79"/>
      <c r="O258" s="79"/>
      <c r="P258" s="79"/>
    </row>
    <row r="259" spans="1:17" s="53" customFormat="1" ht="30" customHeight="1" thickBot="1" x14ac:dyDescent="0.3">
      <c r="A259" s="214" t="s">
        <v>307</v>
      </c>
      <c r="B259" s="215"/>
      <c r="C259" s="215"/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39"/>
    </row>
    <row r="260" spans="1:17" s="87" customFormat="1" ht="30" customHeight="1" x14ac:dyDescent="0.25">
      <c r="A260" s="80">
        <f>+A256+1</f>
        <v>129</v>
      </c>
      <c r="B260" s="108" t="s">
        <v>308</v>
      </c>
      <c r="C260" s="36" t="s">
        <v>420</v>
      </c>
      <c r="D260" s="108" t="s">
        <v>83</v>
      </c>
      <c r="E260" s="108" t="s">
        <v>121</v>
      </c>
      <c r="F260" s="110">
        <v>90000</v>
      </c>
      <c r="G260" s="82">
        <f>F260*2.87%</f>
        <v>2583</v>
      </c>
      <c r="H260" s="82">
        <f>+F260*3.04%</f>
        <v>2736</v>
      </c>
      <c r="I260" s="82"/>
      <c r="J260" s="77">
        <f t="shared" si="75"/>
        <v>5319</v>
      </c>
      <c r="K260" s="77">
        <f t="shared" si="79"/>
        <v>84681</v>
      </c>
      <c r="L260" s="77">
        <f>+IF(K260*12&lt;=416220.01,0,IF(K260*12&lt;=624329.01,(((K260*12-416220.01)*0.15)/12),IF((K260*12&lt;=867123.01),(31216+0.2*(K260*12-624329.01))/12,((79776+0.25*(K260*12-867123.01))/12))))-M260</f>
        <v>9753.1872916666671</v>
      </c>
      <c r="M260" s="77"/>
      <c r="N260" s="78">
        <v>25</v>
      </c>
      <c r="O260" s="107">
        <f t="shared" si="77"/>
        <v>15097.187291666667</v>
      </c>
      <c r="P260" s="78">
        <f>+F260-O260</f>
        <v>74902.812708333338</v>
      </c>
      <c r="Q260" s="47"/>
    </row>
    <row r="261" spans="1:17" s="53" customFormat="1" ht="30" customHeight="1" x14ac:dyDescent="0.25">
      <c r="A261" s="80">
        <f>+A260+1</f>
        <v>130</v>
      </c>
      <c r="B261" s="108" t="s">
        <v>19</v>
      </c>
      <c r="C261" s="36" t="s">
        <v>420</v>
      </c>
      <c r="D261" s="126" t="s">
        <v>309</v>
      </c>
      <c r="E261" s="108" t="s">
        <v>122</v>
      </c>
      <c r="F261" s="82">
        <v>68000</v>
      </c>
      <c r="G261" s="82">
        <f>F261*2.87%</f>
        <v>1951.6</v>
      </c>
      <c r="H261" s="82">
        <f>+F261*3.04%</f>
        <v>2067.1999999999998</v>
      </c>
      <c r="I261" s="82"/>
      <c r="J261" s="77">
        <f t="shared" si="75"/>
        <v>4018.7999999999997</v>
      </c>
      <c r="K261" s="77">
        <f t="shared" si="79"/>
        <v>63981.2</v>
      </c>
      <c r="L261" s="77">
        <f>+IF(K261*12&lt;=416220.01,0,IF(K261*12&lt;=624329.01,(((K261*12-416220.01)*0.15)/12),IF((K261*12&lt;=867123.01),(31216+0.2*(K261*12-624329.01))/12,((79776+0.25*(K261*12-867123.01))/12))))-M261</f>
        <v>4992.0898333333316</v>
      </c>
      <c r="M261" s="77"/>
      <c r="N261" s="78">
        <f>11471.45+100+25</f>
        <v>11596.45</v>
      </c>
      <c r="O261" s="107">
        <f t="shared" si="77"/>
        <v>20607.339833333332</v>
      </c>
      <c r="P261" s="78">
        <f>+F261-O261</f>
        <v>47392.660166666668</v>
      </c>
      <c r="Q261" s="39"/>
    </row>
    <row r="262" spans="1:17" s="39" customFormat="1" ht="30" customHeight="1" x14ac:dyDescent="0.25">
      <c r="A262" s="206" t="s">
        <v>125</v>
      </c>
      <c r="B262" s="207"/>
      <c r="C262" s="207"/>
      <c r="D262" s="207"/>
      <c r="E262" s="208"/>
      <c r="F262" s="37">
        <f>SUM(F260:F261)</f>
        <v>158000</v>
      </c>
      <c r="G262" s="37">
        <f t="shared" ref="G262:P262" si="99">SUM(G260:G261)</f>
        <v>4534.6000000000004</v>
      </c>
      <c r="H262" s="37">
        <f t="shared" si="99"/>
        <v>4803.2</v>
      </c>
      <c r="I262" s="37">
        <f t="shared" si="99"/>
        <v>0</v>
      </c>
      <c r="J262" s="37">
        <f t="shared" si="99"/>
        <v>9337.7999999999993</v>
      </c>
      <c r="K262" s="37">
        <f t="shared" si="99"/>
        <v>148662.20000000001</v>
      </c>
      <c r="L262" s="37">
        <f t="shared" si="99"/>
        <v>14745.277124999999</v>
      </c>
      <c r="M262" s="37">
        <f t="shared" si="99"/>
        <v>0</v>
      </c>
      <c r="N262" s="37">
        <f t="shared" si="99"/>
        <v>11621.45</v>
      </c>
      <c r="O262" s="37">
        <f t="shared" si="99"/>
        <v>35704.527125000001</v>
      </c>
      <c r="P262" s="37">
        <f t="shared" si="99"/>
        <v>122295.47287500001</v>
      </c>
    </row>
    <row r="263" spans="1:17" s="39" customFormat="1" ht="30" customHeight="1" thickBot="1" x14ac:dyDescent="0.3">
      <c r="A263" s="50"/>
      <c r="B263" s="50"/>
      <c r="C263" s="50"/>
      <c r="D263" s="50"/>
      <c r="E263" s="50"/>
      <c r="F263" s="79"/>
      <c r="G263" s="79"/>
      <c r="H263" s="79"/>
      <c r="I263" s="79"/>
      <c r="J263" s="79"/>
      <c r="K263" s="79"/>
      <c r="L263" s="79"/>
      <c r="M263" s="79"/>
      <c r="N263" s="79"/>
      <c r="O263" s="79"/>
      <c r="P263" s="79"/>
    </row>
    <row r="264" spans="1:17" s="53" customFormat="1" ht="30" customHeight="1" thickBot="1" x14ac:dyDescent="0.3">
      <c r="A264" s="214" t="s">
        <v>311</v>
      </c>
      <c r="B264" s="215"/>
      <c r="C264" s="215"/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39"/>
    </row>
    <row r="265" spans="1:17" s="53" customFormat="1" ht="30" customHeight="1" x14ac:dyDescent="0.25">
      <c r="A265" s="80">
        <f>+A261+1</f>
        <v>131</v>
      </c>
      <c r="B265" s="108" t="s">
        <v>310</v>
      </c>
      <c r="C265" s="36" t="s">
        <v>420</v>
      </c>
      <c r="D265" s="108" t="s">
        <v>95</v>
      </c>
      <c r="E265" s="108" t="s">
        <v>122</v>
      </c>
      <c r="F265" s="110">
        <v>90000</v>
      </c>
      <c r="G265" s="110">
        <f>F265*2.87%</f>
        <v>2583</v>
      </c>
      <c r="H265" s="110">
        <f>+F265*3.04%</f>
        <v>2736</v>
      </c>
      <c r="I265" s="110">
        <v>1597.31</v>
      </c>
      <c r="J265" s="77">
        <f t="shared" ref="J265:J330" si="100">+G265+H265+I265</f>
        <v>6916.3099999999995</v>
      </c>
      <c r="K265" s="77">
        <f t="shared" si="79"/>
        <v>83083.69</v>
      </c>
      <c r="L265" s="77">
        <f>+IF(K265*12&lt;=416220.01,0,IF(K265*12&lt;=624329.01,(((K265*12-416220.01)*0.15)/12),IF((K265*12&lt;=867123.01),(31216+0.2*(K265*12-624329.01))/12,((79776+0.25*(K265*12-867123.01))/12))))-M265</f>
        <v>9353.8597916666677</v>
      </c>
      <c r="M265" s="77"/>
      <c r="N265" s="78">
        <v>125</v>
      </c>
      <c r="O265" s="107">
        <f t="shared" ref="O265:O331" si="101">+N265+I265+H265+G265+L265</f>
        <v>16395.169791666667</v>
      </c>
      <c r="P265" s="78">
        <f>+F265-O265</f>
        <v>73604.830208333326</v>
      </c>
      <c r="Q265" s="39"/>
    </row>
    <row r="266" spans="1:17" s="53" customFormat="1" ht="30" customHeight="1" x14ac:dyDescent="0.25">
      <c r="A266" s="80">
        <f>+A265+1</f>
        <v>132</v>
      </c>
      <c r="B266" s="108" t="s">
        <v>18</v>
      </c>
      <c r="C266" s="36" t="s">
        <v>420</v>
      </c>
      <c r="D266" s="126" t="s">
        <v>309</v>
      </c>
      <c r="E266" s="108" t="s">
        <v>122</v>
      </c>
      <c r="F266" s="110">
        <v>68000</v>
      </c>
      <c r="G266" s="82">
        <f>F266*2.87%</f>
        <v>1951.6</v>
      </c>
      <c r="H266" s="82">
        <f>+F266*3.04%</f>
        <v>2067.1999999999998</v>
      </c>
      <c r="I266" s="82"/>
      <c r="J266" s="77">
        <f t="shared" si="100"/>
        <v>4018.7999999999997</v>
      </c>
      <c r="K266" s="77">
        <f t="shared" si="79"/>
        <v>63981.2</v>
      </c>
      <c r="L266" s="77">
        <f>+IF(K266*12&lt;=416220.01,0,IF(K266*12&lt;=624329.01,(((K266*12-416220.01)*0.15)/12),IF((K266*12&lt;=867123.01),(31216+0.2*(K266*12-624329.01))/12,((79776+0.25*(K266*12-867123.01))/12))))-M266</f>
        <v>4992.0898333333316</v>
      </c>
      <c r="M266" s="77"/>
      <c r="N266" s="78">
        <v>15321.23</v>
      </c>
      <c r="O266" s="107">
        <f t="shared" si="101"/>
        <v>24332.11983333333</v>
      </c>
      <c r="P266" s="78">
        <f>+F266-O266</f>
        <v>43667.88016666667</v>
      </c>
      <c r="Q266" s="39"/>
    </row>
    <row r="267" spans="1:17" s="53" customFormat="1" ht="30" customHeight="1" x14ac:dyDescent="0.25">
      <c r="A267" s="206" t="s">
        <v>125</v>
      </c>
      <c r="B267" s="207"/>
      <c r="C267" s="207"/>
      <c r="D267" s="207"/>
      <c r="E267" s="208"/>
      <c r="F267" s="37">
        <f>SUM(F265:F266)</f>
        <v>158000</v>
      </c>
      <c r="G267" s="37">
        <f t="shared" ref="G267:P267" si="102">SUM(G265:G266)</f>
        <v>4534.6000000000004</v>
      </c>
      <c r="H267" s="37">
        <f t="shared" si="102"/>
        <v>4803.2</v>
      </c>
      <c r="I267" s="37">
        <f t="shared" si="102"/>
        <v>1597.31</v>
      </c>
      <c r="J267" s="37">
        <f t="shared" si="102"/>
        <v>10935.109999999999</v>
      </c>
      <c r="K267" s="37">
        <f t="shared" si="102"/>
        <v>147064.89000000001</v>
      </c>
      <c r="L267" s="37">
        <f t="shared" si="102"/>
        <v>14345.949624999999</v>
      </c>
      <c r="M267" s="37">
        <f t="shared" si="102"/>
        <v>0</v>
      </c>
      <c r="N267" s="37">
        <f t="shared" si="102"/>
        <v>15446.23</v>
      </c>
      <c r="O267" s="37">
        <f t="shared" si="102"/>
        <v>40727.289624999998</v>
      </c>
      <c r="P267" s="37">
        <f t="shared" si="102"/>
        <v>117272.710375</v>
      </c>
      <c r="Q267" s="39"/>
    </row>
    <row r="268" spans="1:17" s="39" customFormat="1" ht="30" customHeight="1" thickBot="1" x14ac:dyDescent="0.3">
      <c r="A268" s="50"/>
      <c r="B268" s="50"/>
      <c r="C268" s="50"/>
      <c r="D268" s="50"/>
      <c r="E268" s="5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</row>
    <row r="269" spans="1:17" s="39" customFormat="1" ht="30" customHeight="1" thickBot="1" x14ac:dyDescent="0.3">
      <c r="A269" s="214" t="s">
        <v>229</v>
      </c>
      <c r="B269" s="215"/>
      <c r="C269" s="215"/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</row>
    <row r="270" spans="1:17" s="39" customFormat="1" ht="30" customHeight="1" x14ac:dyDescent="0.25">
      <c r="A270" s="80">
        <f>+A266+1</f>
        <v>133</v>
      </c>
      <c r="B270" s="108" t="s">
        <v>230</v>
      </c>
      <c r="C270" s="36" t="s">
        <v>420</v>
      </c>
      <c r="D270" s="108" t="s">
        <v>20</v>
      </c>
      <c r="E270" s="108" t="s">
        <v>122</v>
      </c>
      <c r="F270" s="110">
        <v>65000</v>
      </c>
      <c r="G270" s="110">
        <f>F270*2.87%</f>
        <v>1865.5</v>
      </c>
      <c r="H270" s="82">
        <f>+F270*3.04%</f>
        <v>1976</v>
      </c>
      <c r="I270" s="110">
        <v>1597.31</v>
      </c>
      <c r="J270" s="77">
        <f t="shared" si="100"/>
        <v>5438.8099999999995</v>
      </c>
      <c r="K270" s="77">
        <f t="shared" ref="K270:K334" si="103">+F270-J270</f>
        <v>59561.19</v>
      </c>
      <c r="L270" s="77">
        <f>+IF(K270*12&lt;=416220.01,0,IF(K270*12&lt;=624329.01,(((K270*12-416220.01)*0.15)/12),IF((K270*12&lt;=867123.01),(31216+0.2*(K270*12-624329.01))/12,((79776+0.25*(K270*12-867123.01))/12))))-M270</f>
        <v>4108.0878333333339</v>
      </c>
      <c r="M270" s="77"/>
      <c r="N270" s="78">
        <v>12367.23</v>
      </c>
      <c r="O270" s="107">
        <f t="shared" si="101"/>
        <v>21914.127833333336</v>
      </c>
      <c r="P270" s="78">
        <f>+F270-O270</f>
        <v>43085.872166666668</v>
      </c>
    </row>
    <row r="271" spans="1:17" s="39" customFormat="1" ht="30" customHeight="1" x14ac:dyDescent="0.25">
      <c r="A271" s="80">
        <f>+A270+1</f>
        <v>134</v>
      </c>
      <c r="B271" s="108" t="s">
        <v>81</v>
      </c>
      <c r="C271" s="36" t="s">
        <v>420</v>
      </c>
      <c r="D271" s="108" t="s">
        <v>20</v>
      </c>
      <c r="E271" s="108" t="s">
        <v>122</v>
      </c>
      <c r="F271" s="110">
        <v>60000</v>
      </c>
      <c r="G271" s="110">
        <f>F271*2.87%</f>
        <v>1722</v>
      </c>
      <c r="H271" s="82">
        <f>+F271*3.04%</f>
        <v>1824</v>
      </c>
      <c r="I271" s="82"/>
      <c r="J271" s="77">
        <f t="shared" si="100"/>
        <v>3546</v>
      </c>
      <c r="K271" s="77">
        <f t="shared" si="103"/>
        <v>56454</v>
      </c>
      <c r="L271" s="77">
        <f t="shared" ref="L271:L272" si="104">+IF(K271*12&lt;=416220.01,0,IF(K271*12&lt;=624329.01,(((K271*12-416220.01)*0.15)/12),IF((K271*12&lt;=867123.01),(31216+0.2*(K271*12-624329.01))/12,((79776+0.25*(K271*12-867123.01))/12))))-M271</f>
        <v>3486.6498333333329</v>
      </c>
      <c r="M271" s="77"/>
      <c r="N271" s="78">
        <v>125</v>
      </c>
      <c r="O271" s="107">
        <f t="shared" si="101"/>
        <v>7157.6498333333329</v>
      </c>
      <c r="P271" s="78">
        <f>+F271-O271</f>
        <v>52842.350166666671</v>
      </c>
    </row>
    <row r="272" spans="1:17" s="53" customFormat="1" ht="30" customHeight="1" x14ac:dyDescent="0.25">
      <c r="A272" s="80">
        <f>+A271+1</f>
        <v>135</v>
      </c>
      <c r="B272" s="108" t="s">
        <v>457</v>
      </c>
      <c r="C272" s="36" t="s">
        <v>420</v>
      </c>
      <c r="D272" s="108" t="s">
        <v>20</v>
      </c>
      <c r="E272" s="108" t="s">
        <v>122</v>
      </c>
      <c r="F272" s="110">
        <v>60000</v>
      </c>
      <c r="G272" s="110">
        <f>F272*2.87%</f>
        <v>1722</v>
      </c>
      <c r="H272" s="82">
        <f>+F272*3.04%</f>
        <v>1824</v>
      </c>
      <c r="I272" s="82">
        <v>3194.62</v>
      </c>
      <c r="J272" s="77">
        <f t="shared" si="100"/>
        <v>6740.62</v>
      </c>
      <c r="K272" s="77">
        <f t="shared" si="103"/>
        <v>53259.38</v>
      </c>
      <c r="L272" s="77">
        <f t="shared" si="104"/>
        <v>2847.725833333332</v>
      </c>
      <c r="M272" s="77"/>
      <c r="N272" s="78">
        <v>125</v>
      </c>
      <c r="O272" s="107">
        <f t="shared" si="101"/>
        <v>9713.3458333333328</v>
      </c>
      <c r="P272" s="78">
        <f>+F272-O272</f>
        <v>50286.654166666667</v>
      </c>
      <c r="Q272" s="39"/>
    </row>
    <row r="273" spans="1:17" s="53" customFormat="1" ht="30" customHeight="1" x14ac:dyDescent="0.25">
      <c r="A273" s="206" t="s">
        <v>125</v>
      </c>
      <c r="B273" s="207"/>
      <c r="C273" s="207"/>
      <c r="D273" s="207"/>
      <c r="E273" s="208"/>
      <c r="F273" s="37">
        <f>SUM(F270:F272)</f>
        <v>185000</v>
      </c>
      <c r="G273" s="37">
        <f t="shared" ref="G273:P273" si="105">SUM(G270:G272)</f>
        <v>5309.5</v>
      </c>
      <c r="H273" s="37">
        <f t="shared" si="105"/>
        <v>5624</v>
      </c>
      <c r="I273" s="37">
        <f t="shared" si="105"/>
        <v>4791.93</v>
      </c>
      <c r="J273" s="37">
        <f t="shared" si="105"/>
        <v>15725.43</v>
      </c>
      <c r="K273" s="37">
        <f t="shared" si="105"/>
        <v>169274.57</v>
      </c>
      <c r="L273" s="37">
        <f t="shared" si="105"/>
        <v>10442.463499999998</v>
      </c>
      <c r="M273" s="37">
        <f t="shared" si="105"/>
        <v>0</v>
      </c>
      <c r="N273" s="37">
        <f t="shared" si="105"/>
        <v>12617.23</v>
      </c>
      <c r="O273" s="37">
        <f t="shared" si="105"/>
        <v>38785.123500000002</v>
      </c>
      <c r="P273" s="37">
        <f t="shared" si="105"/>
        <v>146214.87650000001</v>
      </c>
      <c r="Q273" s="39"/>
    </row>
    <row r="274" spans="1:17" s="53" customFormat="1" ht="30" customHeight="1" thickBot="1" x14ac:dyDescent="0.3">
      <c r="A274" s="50"/>
      <c r="B274" s="50"/>
      <c r="C274" s="50"/>
      <c r="D274" s="50"/>
      <c r="E274" s="5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39"/>
    </row>
    <row r="275" spans="1:17" s="53" customFormat="1" ht="30" customHeight="1" thickBot="1" x14ac:dyDescent="0.3">
      <c r="A275" s="209" t="s">
        <v>590</v>
      </c>
      <c r="B275" s="210"/>
      <c r="C275" s="210"/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39"/>
    </row>
    <row r="276" spans="1:17" s="53" customFormat="1" ht="30" customHeight="1" x14ac:dyDescent="0.25">
      <c r="A276" s="80">
        <f>+A272+1</f>
        <v>136</v>
      </c>
      <c r="B276" s="112" t="s">
        <v>589</v>
      </c>
      <c r="C276" s="122" t="s">
        <v>421</v>
      </c>
      <c r="D276" s="123" t="s">
        <v>22</v>
      </c>
      <c r="E276" s="108" t="s">
        <v>121</v>
      </c>
      <c r="F276" s="107">
        <v>40000</v>
      </c>
      <c r="G276" s="107">
        <f>F276*2.87%</f>
        <v>1148</v>
      </c>
      <c r="H276" s="77">
        <f>+F276*3.04%</f>
        <v>1216</v>
      </c>
      <c r="I276" s="77"/>
      <c r="J276" s="77">
        <f t="shared" ref="J276" si="106">+G276+H276+I276</f>
        <v>2364</v>
      </c>
      <c r="K276" s="77">
        <f t="shared" ref="K276" si="107">+F276-J276</f>
        <v>37636</v>
      </c>
      <c r="L276" s="77">
        <v>442.65</v>
      </c>
      <c r="M276" s="77">
        <v>0</v>
      </c>
      <c r="N276" s="84">
        <v>4944.26</v>
      </c>
      <c r="O276" s="107">
        <f>+N276+I276+H276+G276+L276</f>
        <v>7750.91</v>
      </c>
      <c r="P276" s="78">
        <f>+F276-O276</f>
        <v>32249.09</v>
      </c>
      <c r="Q276" s="39"/>
    </row>
    <row r="277" spans="1:17" s="39" customFormat="1" ht="30" customHeight="1" x14ac:dyDescent="0.25">
      <c r="A277" s="206" t="s">
        <v>125</v>
      </c>
      <c r="B277" s="207"/>
      <c r="C277" s="207"/>
      <c r="D277" s="207"/>
      <c r="E277" s="208"/>
      <c r="F277" s="37">
        <f>SUM(F276:F276)</f>
        <v>40000</v>
      </c>
      <c r="G277" s="37">
        <f t="shared" ref="G277:P277" si="108">SUM(G276:G276)</f>
        <v>1148</v>
      </c>
      <c r="H277" s="37">
        <f t="shared" si="108"/>
        <v>1216</v>
      </c>
      <c r="I277" s="37">
        <f t="shared" si="108"/>
        <v>0</v>
      </c>
      <c r="J277" s="37">
        <f t="shared" si="108"/>
        <v>2364</v>
      </c>
      <c r="K277" s="37">
        <f t="shared" si="108"/>
        <v>37636</v>
      </c>
      <c r="L277" s="37">
        <f t="shared" si="108"/>
        <v>442.65</v>
      </c>
      <c r="M277" s="37">
        <f t="shared" si="108"/>
        <v>0</v>
      </c>
      <c r="N277" s="37">
        <f t="shared" si="108"/>
        <v>4944.26</v>
      </c>
      <c r="O277" s="37">
        <f t="shared" si="108"/>
        <v>7750.91</v>
      </c>
      <c r="P277" s="37">
        <f t="shared" si="108"/>
        <v>32249.09</v>
      </c>
    </row>
    <row r="278" spans="1:17" s="79" customFormat="1" ht="30" customHeight="1" thickBot="1" x14ac:dyDescent="0.3">
      <c r="A278" s="50"/>
      <c r="B278" s="50"/>
      <c r="C278" s="50"/>
      <c r="D278" s="50"/>
      <c r="E278" s="5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32"/>
    </row>
    <row r="279" spans="1:17" s="79" customFormat="1" ht="30" customHeight="1" thickBot="1" x14ac:dyDescent="0.3">
      <c r="A279" s="209" t="s">
        <v>312</v>
      </c>
      <c r="B279" s="210"/>
      <c r="C279" s="210"/>
      <c r="D279" s="210"/>
      <c r="E279" s="210"/>
      <c r="F279" s="210"/>
      <c r="G279" s="210"/>
      <c r="H279" s="210"/>
      <c r="I279" s="210"/>
      <c r="J279" s="210"/>
      <c r="K279" s="210"/>
      <c r="L279" s="210"/>
      <c r="M279" s="210"/>
      <c r="N279" s="210"/>
      <c r="O279" s="210"/>
      <c r="P279" s="210"/>
      <c r="Q279" s="32"/>
    </row>
    <row r="280" spans="1:17" s="79" customFormat="1" ht="30" customHeight="1" x14ac:dyDescent="0.25">
      <c r="A280" s="80">
        <f>+A276+1</f>
        <v>137</v>
      </c>
      <c r="B280" s="112" t="s">
        <v>25</v>
      </c>
      <c r="C280" s="122" t="s">
        <v>421</v>
      </c>
      <c r="D280" s="123" t="s">
        <v>192</v>
      </c>
      <c r="E280" s="108" t="s">
        <v>122</v>
      </c>
      <c r="F280" s="107">
        <v>90000</v>
      </c>
      <c r="G280" s="107">
        <f>F280*2.87%</f>
        <v>2583</v>
      </c>
      <c r="H280" s="77">
        <f>+F280*3.04%</f>
        <v>2736</v>
      </c>
      <c r="I280" s="77"/>
      <c r="J280" s="77">
        <f t="shared" si="100"/>
        <v>5319</v>
      </c>
      <c r="K280" s="77">
        <f t="shared" si="103"/>
        <v>84681</v>
      </c>
      <c r="L280" s="77">
        <f>+IF(K280*12&lt;=416220.01,0,IF(K280*12&lt;=624329.01,(((K280*12-416220.01)*0.15)/12),IF((K280*12&lt;=867123.01),(31216+0.2*(K280*12-624329.01))/12,((79776+0.25*(K280*12-867123.01))/12))))-M280</f>
        <v>9753.1872916666671</v>
      </c>
      <c r="M280" s="77"/>
      <c r="N280" s="84">
        <v>25</v>
      </c>
      <c r="O280" s="107">
        <f t="shared" si="101"/>
        <v>15097.187291666667</v>
      </c>
      <c r="P280" s="78">
        <f>+F280-O280</f>
        <v>74902.812708333338</v>
      </c>
      <c r="Q280" s="32"/>
    </row>
    <row r="281" spans="1:17" s="79" customFormat="1" ht="25.5" customHeight="1" x14ac:dyDescent="0.25">
      <c r="A281" s="80">
        <f>+A280+1</f>
        <v>138</v>
      </c>
      <c r="B281" s="108" t="s">
        <v>36</v>
      </c>
      <c r="C281" s="36" t="s">
        <v>421</v>
      </c>
      <c r="D281" s="108" t="s">
        <v>94</v>
      </c>
      <c r="E281" s="108" t="s">
        <v>228</v>
      </c>
      <c r="F281" s="110">
        <v>50000</v>
      </c>
      <c r="G281" s="82">
        <f>F281*2.87%</f>
        <v>1435</v>
      </c>
      <c r="H281" s="77">
        <f>+F281*3.04%</f>
        <v>1520</v>
      </c>
      <c r="I281" s="77">
        <v>1597.31</v>
      </c>
      <c r="J281" s="77">
        <f t="shared" si="100"/>
        <v>4552.3099999999995</v>
      </c>
      <c r="K281" s="77">
        <f t="shared" si="103"/>
        <v>45447.69</v>
      </c>
      <c r="L281" s="77">
        <f>+IF(K281*12&lt;=416220.01,0,IF(K281*12&lt;=624329.01,(((K281*12-416220.01)*0.15)/12),IF((K281*12&lt;=867123.01),(31216+0.2*(K281*12-624329.01))/12,((79776+0.25*(K281*12-867123.01))/12))))-M281</f>
        <v>1614.4033750000001</v>
      </c>
      <c r="M281" s="77">
        <v>0</v>
      </c>
      <c r="N281" s="84">
        <v>245</v>
      </c>
      <c r="O281" s="107">
        <f t="shared" si="101"/>
        <v>6411.7133749999994</v>
      </c>
      <c r="P281" s="78">
        <f>+F281-O281</f>
        <v>43588.286625000001</v>
      </c>
      <c r="Q281" s="32"/>
    </row>
    <row r="282" spans="1:17" s="86" customFormat="1" ht="30" customHeight="1" thickBot="1" x14ac:dyDescent="0.3">
      <c r="A282" s="206" t="s">
        <v>125</v>
      </c>
      <c r="B282" s="207"/>
      <c r="C282" s="207"/>
      <c r="D282" s="207"/>
      <c r="E282" s="208"/>
      <c r="F282" s="37">
        <f>SUM(F280:F281)</f>
        <v>140000</v>
      </c>
      <c r="G282" s="37">
        <f t="shared" ref="G282:P282" si="109">SUM(G280:G281)</f>
        <v>4018</v>
      </c>
      <c r="H282" s="37">
        <f t="shared" si="109"/>
        <v>4256</v>
      </c>
      <c r="I282" s="37">
        <f t="shared" si="109"/>
        <v>1597.31</v>
      </c>
      <c r="J282" s="37">
        <f t="shared" si="109"/>
        <v>9871.31</v>
      </c>
      <c r="K282" s="37">
        <f t="shared" si="109"/>
        <v>130128.69</v>
      </c>
      <c r="L282" s="37">
        <f t="shared" si="109"/>
        <v>11367.590666666667</v>
      </c>
      <c r="M282" s="37">
        <f t="shared" si="109"/>
        <v>0</v>
      </c>
      <c r="N282" s="37">
        <f t="shared" si="109"/>
        <v>270</v>
      </c>
      <c r="O282" s="37">
        <f t="shared" si="109"/>
        <v>21508.900666666668</v>
      </c>
      <c r="P282" s="37">
        <f t="shared" si="109"/>
        <v>118491.09933333335</v>
      </c>
      <c r="Q282" s="40"/>
    </row>
    <row r="283" spans="1:17" s="90" customFormat="1" ht="30" customHeight="1" thickBot="1" x14ac:dyDescent="0.3">
      <c r="A283" s="209" t="s">
        <v>313</v>
      </c>
      <c r="B283" s="210"/>
      <c r="C283" s="210"/>
      <c r="D283" s="210"/>
      <c r="E283" s="210"/>
      <c r="F283" s="210"/>
      <c r="G283" s="210"/>
      <c r="H283" s="210"/>
      <c r="I283" s="210"/>
      <c r="J283" s="210"/>
      <c r="K283" s="210"/>
      <c r="L283" s="210"/>
      <c r="M283" s="210"/>
      <c r="N283" s="210"/>
      <c r="O283" s="210"/>
      <c r="P283" s="210"/>
      <c r="Q283" s="240"/>
    </row>
    <row r="284" spans="1:17" s="90" customFormat="1" ht="30" customHeight="1" x14ac:dyDescent="0.25">
      <c r="A284" s="75">
        <f>+A281+1</f>
        <v>139</v>
      </c>
      <c r="B284" s="112" t="s">
        <v>397</v>
      </c>
      <c r="C284" s="122" t="s">
        <v>420</v>
      </c>
      <c r="D284" s="112" t="s">
        <v>314</v>
      </c>
      <c r="E284" s="108" t="s">
        <v>228</v>
      </c>
      <c r="F284" s="107">
        <v>50000</v>
      </c>
      <c r="G284" s="82">
        <f t="shared" ref="G284:G287" si="110">F284*2.87%</f>
        <v>1435</v>
      </c>
      <c r="H284" s="82">
        <f t="shared" ref="H284:H287" si="111">+F284*3.04%</f>
        <v>1520</v>
      </c>
      <c r="I284" s="77"/>
      <c r="J284" s="77">
        <f t="shared" si="100"/>
        <v>2955</v>
      </c>
      <c r="K284" s="77">
        <f t="shared" si="103"/>
        <v>47045</v>
      </c>
      <c r="L284" s="77">
        <f>+IF(K284*12&lt;=416220.01,0,IF(K284*12&lt;=624329.01,(((K284*12-416220.01)*0.15)/12),IF((K284*12&lt;=867123.01),(31216+0.2*(K284*12-624329.01))/12,((79776+0.25*(K284*12-867123.01))/12))))-M284</f>
        <v>1853.9998749999997</v>
      </c>
      <c r="M284" s="77"/>
      <c r="N284" s="78">
        <v>6538.27</v>
      </c>
      <c r="O284" s="107">
        <f>+N284+I284+H284+G284+L284</f>
        <v>11347.269875</v>
      </c>
      <c r="P284" s="78">
        <f t="shared" ref="P284:P314" si="112">+F284-O284</f>
        <v>38652.730125000002</v>
      </c>
      <c r="Q284" s="240"/>
    </row>
    <row r="285" spans="1:17" s="53" customFormat="1" ht="30" customHeight="1" x14ac:dyDescent="0.25">
      <c r="A285" s="75">
        <f>+A284+1</f>
        <v>140</v>
      </c>
      <c r="B285" s="112" t="s">
        <v>149</v>
      </c>
      <c r="C285" s="122" t="s">
        <v>420</v>
      </c>
      <c r="D285" s="112" t="s">
        <v>314</v>
      </c>
      <c r="E285" s="108" t="s">
        <v>228</v>
      </c>
      <c r="F285" s="107">
        <v>35000</v>
      </c>
      <c r="G285" s="82">
        <f t="shared" si="110"/>
        <v>1004.5</v>
      </c>
      <c r="H285" s="82">
        <f t="shared" si="111"/>
        <v>1064</v>
      </c>
      <c r="I285" s="77"/>
      <c r="J285" s="77">
        <f>+G285+H285+I285</f>
        <v>2068.5</v>
      </c>
      <c r="K285" s="77">
        <f t="shared" si="103"/>
        <v>32931.5</v>
      </c>
      <c r="L285" s="77">
        <f t="shared" ref="L285:L314" si="113">+IF(K285*12&lt;=416220.01,0,IF(K285*12&lt;=624329.01,(((K285*12-416220.01)*0.15)/12),IF((K285*12&lt;=867123.01),(31216+0.2*(K285*12-624329.01))/12,((79776+0.25*(K285*12-867123.01))/12))))-M285</f>
        <v>0</v>
      </c>
      <c r="M285" s="77"/>
      <c r="N285" s="78">
        <v>6727.1</v>
      </c>
      <c r="O285" s="107">
        <f t="shared" ref="O285:O314" si="114">+N285+I285+H285+G285+L285</f>
        <v>8795.6</v>
      </c>
      <c r="P285" s="78">
        <f t="shared" si="112"/>
        <v>26204.400000000001</v>
      </c>
      <c r="Q285" s="39"/>
    </row>
    <row r="286" spans="1:17" s="53" customFormat="1" ht="30" customHeight="1" x14ac:dyDescent="0.25">
      <c r="A286" s="75">
        <f>+A285+1</f>
        <v>141</v>
      </c>
      <c r="B286" s="112" t="s">
        <v>479</v>
      </c>
      <c r="C286" s="122" t="s">
        <v>420</v>
      </c>
      <c r="D286" s="112" t="s">
        <v>314</v>
      </c>
      <c r="E286" s="108" t="s">
        <v>228</v>
      </c>
      <c r="F286" s="107">
        <v>45000</v>
      </c>
      <c r="G286" s="82">
        <f>F286*2.87%</f>
        <v>1291.5</v>
      </c>
      <c r="H286" s="82">
        <f t="shared" si="111"/>
        <v>1368</v>
      </c>
      <c r="I286" s="77"/>
      <c r="J286" s="77">
        <f t="shared" si="100"/>
        <v>2659.5</v>
      </c>
      <c r="K286" s="77">
        <f t="shared" si="103"/>
        <v>42340.5</v>
      </c>
      <c r="L286" s="77">
        <v>1148.32</v>
      </c>
      <c r="M286" s="77">
        <v>0</v>
      </c>
      <c r="N286" s="78">
        <v>16620.189999999999</v>
      </c>
      <c r="O286" s="107">
        <f t="shared" si="114"/>
        <v>20428.009999999998</v>
      </c>
      <c r="P286" s="78">
        <f t="shared" si="112"/>
        <v>24571.99</v>
      </c>
      <c r="Q286" s="39"/>
    </row>
    <row r="287" spans="1:17" s="53" customFormat="1" ht="30" customHeight="1" x14ac:dyDescent="0.25">
      <c r="A287" s="75">
        <f t="shared" ref="A287:A314" si="115">+A286+1</f>
        <v>142</v>
      </c>
      <c r="B287" s="108" t="s">
        <v>28</v>
      </c>
      <c r="C287" s="36" t="s">
        <v>421</v>
      </c>
      <c r="D287" s="108" t="s">
        <v>97</v>
      </c>
      <c r="E287" s="108" t="s">
        <v>122</v>
      </c>
      <c r="F287" s="110">
        <v>28875</v>
      </c>
      <c r="G287" s="82">
        <f t="shared" si="110"/>
        <v>828.71249999999998</v>
      </c>
      <c r="H287" s="82">
        <f t="shared" si="111"/>
        <v>877.8</v>
      </c>
      <c r="I287" s="82"/>
      <c r="J287" s="77">
        <f t="shared" si="100"/>
        <v>1706.5124999999998</v>
      </c>
      <c r="K287" s="77">
        <f t="shared" si="103"/>
        <v>27168.487499999999</v>
      </c>
      <c r="L287" s="77">
        <f t="shared" si="113"/>
        <v>0</v>
      </c>
      <c r="M287" s="77"/>
      <c r="N287" s="84">
        <v>3304.71</v>
      </c>
      <c r="O287" s="107">
        <f t="shared" si="114"/>
        <v>5011.2224999999999</v>
      </c>
      <c r="P287" s="78">
        <f t="shared" si="112"/>
        <v>23863.7775</v>
      </c>
      <c r="Q287" s="39"/>
    </row>
    <row r="288" spans="1:17" s="53" customFormat="1" ht="30" customHeight="1" x14ac:dyDescent="0.25">
      <c r="A288" s="75">
        <f t="shared" si="115"/>
        <v>143</v>
      </c>
      <c r="B288" s="108" t="s">
        <v>27</v>
      </c>
      <c r="C288" s="36" t="s">
        <v>421</v>
      </c>
      <c r="D288" s="108" t="s">
        <v>97</v>
      </c>
      <c r="E288" s="108" t="s">
        <v>122</v>
      </c>
      <c r="F288" s="110">
        <v>28000</v>
      </c>
      <c r="G288" s="82">
        <f>F288*2.87%</f>
        <v>803.6</v>
      </c>
      <c r="H288" s="82">
        <f>+F288*3.04%</f>
        <v>851.2</v>
      </c>
      <c r="I288" s="82">
        <v>3194.62</v>
      </c>
      <c r="J288" s="77">
        <f t="shared" si="100"/>
        <v>4849.42</v>
      </c>
      <c r="K288" s="77">
        <f t="shared" si="103"/>
        <v>23150.58</v>
      </c>
      <c r="L288" s="77">
        <f t="shared" si="113"/>
        <v>0</v>
      </c>
      <c r="M288" s="77"/>
      <c r="N288" s="84">
        <v>2025</v>
      </c>
      <c r="O288" s="107">
        <f t="shared" si="114"/>
        <v>6874.42</v>
      </c>
      <c r="P288" s="78">
        <f t="shared" si="112"/>
        <v>21125.58</v>
      </c>
      <c r="Q288" s="39"/>
    </row>
    <row r="289" spans="1:17" s="53" customFormat="1" ht="30" customHeight="1" x14ac:dyDescent="0.25">
      <c r="A289" s="75">
        <f t="shared" si="115"/>
        <v>144</v>
      </c>
      <c r="B289" s="108" t="s">
        <v>193</v>
      </c>
      <c r="C289" s="36" t="s">
        <v>421</v>
      </c>
      <c r="D289" s="108" t="s">
        <v>97</v>
      </c>
      <c r="E289" s="108" t="s">
        <v>122</v>
      </c>
      <c r="F289" s="110">
        <v>28000</v>
      </c>
      <c r="G289" s="82">
        <f t="shared" ref="G289:G307" si="116">F289*2.87%</f>
        <v>803.6</v>
      </c>
      <c r="H289" s="82">
        <f t="shared" ref="H289:H307" si="117">+F289*3.04%</f>
        <v>851.2</v>
      </c>
      <c r="I289" s="82"/>
      <c r="J289" s="77">
        <f t="shared" si="100"/>
        <v>1654.8000000000002</v>
      </c>
      <c r="K289" s="77">
        <f t="shared" si="103"/>
        <v>26345.200000000001</v>
      </c>
      <c r="L289" s="77">
        <f t="shared" si="113"/>
        <v>0</v>
      </c>
      <c r="M289" s="77"/>
      <c r="N289" s="84">
        <f>2226.54+25</f>
        <v>2251.54</v>
      </c>
      <c r="O289" s="107">
        <f t="shared" si="114"/>
        <v>3906.3399999999997</v>
      </c>
      <c r="P289" s="78">
        <f t="shared" si="112"/>
        <v>24093.66</v>
      </c>
      <c r="Q289" s="39"/>
    </row>
    <row r="290" spans="1:17" s="53" customFormat="1" ht="30" customHeight="1" x14ac:dyDescent="0.25">
      <c r="A290" s="75">
        <f t="shared" si="115"/>
        <v>145</v>
      </c>
      <c r="B290" s="108" t="s">
        <v>315</v>
      </c>
      <c r="C290" s="36" t="s">
        <v>421</v>
      </c>
      <c r="D290" s="108" t="s">
        <v>34</v>
      </c>
      <c r="E290" s="108" t="s">
        <v>122</v>
      </c>
      <c r="F290" s="110">
        <v>28000</v>
      </c>
      <c r="G290" s="82">
        <f t="shared" si="116"/>
        <v>803.6</v>
      </c>
      <c r="H290" s="82">
        <f t="shared" si="117"/>
        <v>851.2</v>
      </c>
      <c r="I290" s="82"/>
      <c r="J290" s="77">
        <f t="shared" si="100"/>
        <v>1654.8000000000002</v>
      </c>
      <c r="K290" s="77">
        <f t="shared" si="103"/>
        <v>26345.200000000001</v>
      </c>
      <c r="L290" s="77">
        <f t="shared" si="113"/>
        <v>0</v>
      </c>
      <c r="M290" s="77"/>
      <c r="N290" s="84">
        <v>3165</v>
      </c>
      <c r="O290" s="107">
        <f t="shared" si="114"/>
        <v>4819.8</v>
      </c>
      <c r="P290" s="78">
        <f t="shared" si="112"/>
        <v>23180.2</v>
      </c>
      <c r="Q290" s="39"/>
    </row>
    <row r="291" spans="1:17" s="53" customFormat="1" ht="30" customHeight="1" x14ac:dyDescent="0.25">
      <c r="A291" s="75">
        <f t="shared" si="115"/>
        <v>146</v>
      </c>
      <c r="B291" s="108" t="s">
        <v>30</v>
      </c>
      <c r="C291" s="36" t="s">
        <v>421</v>
      </c>
      <c r="D291" s="108" t="s">
        <v>34</v>
      </c>
      <c r="E291" s="108" t="s">
        <v>228</v>
      </c>
      <c r="F291" s="110">
        <v>28000</v>
      </c>
      <c r="G291" s="82">
        <f t="shared" si="116"/>
        <v>803.6</v>
      </c>
      <c r="H291" s="82">
        <f t="shared" si="117"/>
        <v>851.2</v>
      </c>
      <c r="I291" s="82">
        <v>3194.62</v>
      </c>
      <c r="J291" s="77">
        <f t="shared" si="100"/>
        <v>4849.42</v>
      </c>
      <c r="K291" s="77">
        <f t="shared" si="103"/>
        <v>23150.58</v>
      </c>
      <c r="L291" s="77">
        <f t="shared" si="113"/>
        <v>0</v>
      </c>
      <c r="M291" s="77"/>
      <c r="N291" s="84">
        <v>6926.01</v>
      </c>
      <c r="O291" s="107">
        <f t="shared" si="114"/>
        <v>11775.430000000002</v>
      </c>
      <c r="P291" s="78">
        <f t="shared" si="112"/>
        <v>16224.569999999998</v>
      </c>
      <c r="Q291" s="39"/>
    </row>
    <row r="292" spans="1:17" s="53" customFormat="1" ht="30" customHeight="1" x14ac:dyDescent="0.25">
      <c r="A292" s="75">
        <f t="shared" si="115"/>
        <v>147</v>
      </c>
      <c r="B292" s="108" t="s">
        <v>31</v>
      </c>
      <c r="C292" s="36" t="s">
        <v>420</v>
      </c>
      <c r="D292" s="108" t="s">
        <v>34</v>
      </c>
      <c r="E292" s="108" t="s">
        <v>228</v>
      </c>
      <c r="F292" s="110">
        <v>28000</v>
      </c>
      <c r="G292" s="82">
        <f t="shared" si="116"/>
        <v>803.6</v>
      </c>
      <c r="H292" s="82">
        <f t="shared" si="117"/>
        <v>851.2</v>
      </c>
      <c r="I292" s="82"/>
      <c r="J292" s="77">
        <f t="shared" si="100"/>
        <v>1654.8000000000002</v>
      </c>
      <c r="K292" s="77">
        <f t="shared" si="103"/>
        <v>26345.200000000001</v>
      </c>
      <c r="L292" s="77">
        <f t="shared" si="113"/>
        <v>0</v>
      </c>
      <c r="M292" s="77"/>
      <c r="N292" s="84">
        <v>1125</v>
      </c>
      <c r="O292" s="107">
        <f t="shared" si="114"/>
        <v>2779.8</v>
      </c>
      <c r="P292" s="78">
        <f t="shared" si="112"/>
        <v>25220.2</v>
      </c>
      <c r="Q292" s="39"/>
    </row>
    <row r="293" spans="1:17" s="53" customFormat="1" ht="30" customHeight="1" x14ac:dyDescent="0.25">
      <c r="A293" s="75">
        <f t="shared" si="115"/>
        <v>148</v>
      </c>
      <c r="B293" s="108" t="s">
        <v>316</v>
      </c>
      <c r="C293" s="36" t="s">
        <v>421</v>
      </c>
      <c r="D293" s="108" t="s">
        <v>34</v>
      </c>
      <c r="E293" s="108" t="s">
        <v>122</v>
      </c>
      <c r="F293" s="110">
        <v>28000</v>
      </c>
      <c r="G293" s="82">
        <f t="shared" si="116"/>
        <v>803.6</v>
      </c>
      <c r="H293" s="82">
        <f t="shared" si="117"/>
        <v>851.2</v>
      </c>
      <c r="I293" s="82"/>
      <c r="J293" s="77">
        <f t="shared" si="100"/>
        <v>1654.8000000000002</v>
      </c>
      <c r="K293" s="77">
        <f t="shared" si="103"/>
        <v>26345.200000000001</v>
      </c>
      <c r="L293" s="77">
        <f t="shared" si="113"/>
        <v>0</v>
      </c>
      <c r="M293" s="77"/>
      <c r="N293" s="84">
        <v>3125</v>
      </c>
      <c r="O293" s="107">
        <f t="shared" si="114"/>
        <v>4779.8</v>
      </c>
      <c r="P293" s="78">
        <f t="shared" si="112"/>
        <v>23220.2</v>
      </c>
      <c r="Q293" s="39"/>
    </row>
    <row r="294" spans="1:17" s="53" customFormat="1" ht="30" customHeight="1" x14ac:dyDescent="0.25">
      <c r="A294" s="75">
        <f t="shared" si="115"/>
        <v>149</v>
      </c>
      <c r="B294" s="108" t="s">
        <v>32</v>
      </c>
      <c r="C294" s="36" t="s">
        <v>421</v>
      </c>
      <c r="D294" s="108" t="s">
        <v>34</v>
      </c>
      <c r="E294" s="108" t="s">
        <v>122</v>
      </c>
      <c r="F294" s="110">
        <v>28000</v>
      </c>
      <c r="G294" s="82">
        <f t="shared" si="116"/>
        <v>803.6</v>
      </c>
      <c r="H294" s="82">
        <f t="shared" si="117"/>
        <v>851.2</v>
      </c>
      <c r="I294" s="82">
        <v>1597.31</v>
      </c>
      <c r="J294" s="77">
        <f t="shared" si="100"/>
        <v>3252.11</v>
      </c>
      <c r="K294" s="77">
        <f t="shared" si="103"/>
        <v>24747.89</v>
      </c>
      <c r="L294" s="77">
        <f t="shared" si="113"/>
        <v>0</v>
      </c>
      <c r="M294" s="77"/>
      <c r="N294" s="84">
        <v>2232.11</v>
      </c>
      <c r="O294" s="107">
        <f t="shared" si="114"/>
        <v>5484.22</v>
      </c>
      <c r="P294" s="78">
        <f t="shared" si="112"/>
        <v>22515.78</v>
      </c>
      <c r="Q294" s="39"/>
    </row>
    <row r="295" spans="1:17" s="32" customFormat="1" ht="28.5" customHeight="1" x14ac:dyDescent="0.25">
      <c r="A295" s="75">
        <f t="shared" si="115"/>
        <v>150</v>
      </c>
      <c r="B295" s="108" t="s">
        <v>33</v>
      </c>
      <c r="C295" s="36" t="s">
        <v>420</v>
      </c>
      <c r="D295" s="108" t="s">
        <v>34</v>
      </c>
      <c r="E295" s="108" t="s">
        <v>122</v>
      </c>
      <c r="F295" s="110">
        <v>28000</v>
      </c>
      <c r="G295" s="82">
        <f t="shared" si="116"/>
        <v>803.6</v>
      </c>
      <c r="H295" s="82">
        <f t="shared" si="117"/>
        <v>851.2</v>
      </c>
      <c r="I295" s="82"/>
      <c r="J295" s="77">
        <f t="shared" si="100"/>
        <v>1654.8000000000002</v>
      </c>
      <c r="K295" s="77">
        <f t="shared" si="103"/>
        <v>26345.200000000001</v>
      </c>
      <c r="L295" s="77">
        <f t="shared" si="113"/>
        <v>0</v>
      </c>
      <c r="M295" s="77"/>
      <c r="N295" s="84">
        <v>2240.48</v>
      </c>
      <c r="O295" s="107">
        <f t="shared" si="114"/>
        <v>3895.28</v>
      </c>
      <c r="P295" s="78">
        <f t="shared" si="112"/>
        <v>24104.720000000001</v>
      </c>
    </row>
    <row r="296" spans="1:17" s="32" customFormat="1" ht="28.5" customHeight="1" x14ac:dyDescent="0.25">
      <c r="A296" s="75">
        <f t="shared" si="115"/>
        <v>151</v>
      </c>
      <c r="B296" s="108" t="s">
        <v>29</v>
      </c>
      <c r="C296" s="36" t="s">
        <v>420</v>
      </c>
      <c r="D296" s="108" t="s">
        <v>34</v>
      </c>
      <c r="E296" s="108" t="s">
        <v>122</v>
      </c>
      <c r="F296" s="110">
        <v>24000</v>
      </c>
      <c r="G296" s="82">
        <f t="shared" si="116"/>
        <v>688.8</v>
      </c>
      <c r="H296" s="82">
        <f t="shared" si="117"/>
        <v>729.6</v>
      </c>
      <c r="I296" s="82"/>
      <c r="J296" s="77">
        <f t="shared" si="100"/>
        <v>1418.4</v>
      </c>
      <c r="K296" s="77">
        <f t="shared" si="103"/>
        <v>22581.599999999999</v>
      </c>
      <c r="L296" s="77">
        <f t="shared" si="113"/>
        <v>0</v>
      </c>
      <c r="M296" s="77"/>
      <c r="N296" s="84">
        <v>6580.4</v>
      </c>
      <c r="O296" s="107">
        <f t="shared" si="114"/>
        <v>7998.8</v>
      </c>
      <c r="P296" s="78">
        <f t="shared" si="112"/>
        <v>16001.2</v>
      </c>
    </row>
    <row r="297" spans="1:17" s="32" customFormat="1" ht="28.5" customHeight="1" x14ac:dyDescent="0.25">
      <c r="A297" s="75">
        <f t="shared" si="115"/>
        <v>152</v>
      </c>
      <c r="B297" s="108" t="s">
        <v>317</v>
      </c>
      <c r="C297" s="36" t="s">
        <v>421</v>
      </c>
      <c r="D297" s="108" t="s">
        <v>34</v>
      </c>
      <c r="E297" s="108" t="s">
        <v>122</v>
      </c>
      <c r="F297" s="110">
        <v>24000</v>
      </c>
      <c r="G297" s="82">
        <f t="shared" si="116"/>
        <v>688.8</v>
      </c>
      <c r="H297" s="82">
        <f t="shared" si="117"/>
        <v>729.6</v>
      </c>
      <c r="I297" s="82"/>
      <c r="J297" s="77">
        <f t="shared" si="100"/>
        <v>1418.4</v>
      </c>
      <c r="K297" s="77">
        <f t="shared" si="103"/>
        <v>22581.599999999999</v>
      </c>
      <c r="L297" s="77">
        <f t="shared" si="113"/>
        <v>0</v>
      </c>
      <c r="M297" s="77"/>
      <c r="N297" s="84">
        <v>125</v>
      </c>
      <c r="O297" s="107">
        <f t="shared" si="114"/>
        <v>1543.4</v>
      </c>
      <c r="P297" s="78">
        <f t="shared" si="112"/>
        <v>22456.6</v>
      </c>
    </row>
    <row r="298" spans="1:17" s="32" customFormat="1" ht="28.5" customHeight="1" x14ac:dyDescent="0.25">
      <c r="A298" s="75">
        <f t="shared" si="115"/>
        <v>153</v>
      </c>
      <c r="B298" s="108" t="s">
        <v>318</v>
      </c>
      <c r="C298" s="36" t="s">
        <v>420</v>
      </c>
      <c r="D298" s="108" t="s">
        <v>34</v>
      </c>
      <c r="E298" s="108" t="s">
        <v>228</v>
      </c>
      <c r="F298" s="110">
        <v>24000</v>
      </c>
      <c r="G298" s="82">
        <f t="shared" si="116"/>
        <v>688.8</v>
      </c>
      <c r="H298" s="82">
        <f t="shared" si="117"/>
        <v>729.6</v>
      </c>
      <c r="I298" s="82"/>
      <c r="J298" s="77">
        <f t="shared" si="100"/>
        <v>1418.4</v>
      </c>
      <c r="K298" s="77">
        <f t="shared" si="103"/>
        <v>22581.599999999999</v>
      </c>
      <c r="L298" s="77">
        <f t="shared" si="113"/>
        <v>0</v>
      </c>
      <c r="M298" s="77"/>
      <c r="N298" s="84">
        <v>4632.72</v>
      </c>
      <c r="O298" s="107">
        <f t="shared" si="114"/>
        <v>6051.1200000000008</v>
      </c>
      <c r="P298" s="78">
        <f t="shared" si="112"/>
        <v>17948.879999999997</v>
      </c>
    </row>
    <row r="299" spans="1:17" s="32" customFormat="1" ht="28.5" customHeight="1" x14ac:dyDescent="0.25">
      <c r="A299" s="75">
        <f t="shared" si="115"/>
        <v>154</v>
      </c>
      <c r="B299" s="108" t="s">
        <v>319</v>
      </c>
      <c r="C299" s="36" t="s">
        <v>420</v>
      </c>
      <c r="D299" s="108" t="s">
        <v>34</v>
      </c>
      <c r="E299" s="108" t="s">
        <v>228</v>
      </c>
      <c r="F299" s="110">
        <v>24000</v>
      </c>
      <c r="G299" s="82">
        <f t="shared" si="116"/>
        <v>688.8</v>
      </c>
      <c r="H299" s="82">
        <f t="shared" si="117"/>
        <v>729.6</v>
      </c>
      <c r="I299" s="82"/>
      <c r="J299" s="77">
        <f t="shared" si="100"/>
        <v>1418.4</v>
      </c>
      <c r="K299" s="77">
        <f t="shared" si="103"/>
        <v>22581.599999999999</v>
      </c>
      <c r="L299" s="77">
        <f t="shared" si="113"/>
        <v>0</v>
      </c>
      <c r="M299" s="77"/>
      <c r="N299" s="84">
        <v>125</v>
      </c>
      <c r="O299" s="107">
        <f t="shared" si="114"/>
        <v>1543.4</v>
      </c>
      <c r="P299" s="78">
        <f t="shared" si="112"/>
        <v>22456.6</v>
      </c>
    </row>
    <row r="300" spans="1:17" s="32" customFormat="1" ht="28.5" customHeight="1" x14ac:dyDescent="0.25">
      <c r="A300" s="75">
        <f>+A299+1</f>
        <v>155</v>
      </c>
      <c r="B300" s="113" t="s">
        <v>147</v>
      </c>
      <c r="C300" s="172" t="s">
        <v>421</v>
      </c>
      <c r="D300" s="108" t="s">
        <v>34</v>
      </c>
      <c r="E300" s="108" t="s">
        <v>228</v>
      </c>
      <c r="F300" s="110">
        <v>28000</v>
      </c>
      <c r="G300" s="82">
        <f t="shared" si="116"/>
        <v>803.6</v>
      </c>
      <c r="H300" s="82">
        <f t="shared" si="117"/>
        <v>851.2</v>
      </c>
      <c r="I300" s="82"/>
      <c r="J300" s="77">
        <f t="shared" si="100"/>
        <v>1654.8000000000002</v>
      </c>
      <c r="K300" s="77">
        <f t="shared" si="103"/>
        <v>26345.200000000001</v>
      </c>
      <c r="L300" s="77">
        <f t="shared" si="113"/>
        <v>0</v>
      </c>
      <c r="M300" s="77"/>
      <c r="N300" s="84">
        <v>4125</v>
      </c>
      <c r="O300" s="107">
        <f t="shared" si="114"/>
        <v>5779.8</v>
      </c>
      <c r="P300" s="78">
        <f t="shared" si="112"/>
        <v>22220.2</v>
      </c>
    </row>
    <row r="301" spans="1:17" s="32" customFormat="1" ht="28.5" customHeight="1" x14ac:dyDescent="0.25">
      <c r="A301" s="75">
        <f t="shared" si="115"/>
        <v>156</v>
      </c>
      <c r="B301" s="108" t="s">
        <v>322</v>
      </c>
      <c r="C301" s="173" t="s">
        <v>421</v>
      </c>
      <c r="D301" s="108" t="s">
        <v>34</v>
      </c>
      <c r="E301" s="108" t="s">
        <v>228</v>
      </c>
      <c r="F301" s="110">
        <v>28000</v>
      </c>
      <c r="G301" s="82">
        <f t="shared" si="116"/>
        <v>803.6</v>
      </c>
      <c r="H301" s="82">
        <f t="shared" si="117"/>
        <v>851.2</v>
      </c>
      <c r="I301" s="82"/>
      <c r="J301" s="77">
        <f t="shared" si="100"/>
        <v>1654.8000000000002</v>
      </c>
      <c r="K301" s="77">
        <f t="shared" si="103"/>
        <v>26345.200000000001</v>
      </c>
      <c r="L301" s="77">
        <f t="shared" si="113"/>
        <v>0</v>
      </c>
      <c r="M301" s="77"/>
      <c r="N301" s="84">
        <v>3285.05</v>
      </c>
      <c r="O301" s="107">
        <f t="shared" si="114"/>
        <v>4939.8500000000004</v>
      </c>
      <c r="P301" s="78">
        <f t="shared" si="112"/>
        <v>23060.15</v>
      </c>
    </row>
    <row r="302" spans="1:17" s="32" customFormat="1" ht="28.5" customHeight="1" x14ac:dyDescent="0.25">
      <c r="A302" s="75">
        <f t="shared" si="115"/>
        <v>157</v>
      </c>
      <c r="B302" s="108" t="s">
        <v>320</v>
      </c>
      <c r="C302" s="36" t="s">
        <v>421</v>
      </c>
      <c r="D302" s="108" t="s">
        <v>34</v>
      </c>
      <c r="E302" s="108" t="s">
        <v>228</v>
      </c>
      <c r="F302" s="110">
        <v>19200</v>
      </c>
      <c r="G302" s="82">
        <f t="shared" si="116"/>
        <v>551.04</v>
      </c>
      <c r="H302" s="82">
        <f t="shared" si="117"/>
        <v>583.67999999999995</v>
      </c>
      <c r="I302" s="82"/>
      <c r="J302" s="77">
        <f t="shared" si="100"/>
        <v>1134.7199999999998</v>
      </c>
      <c r="K302" s="77">
        <f t="shared" si="103"/>
        <v>18065.28</v>
      </c>
      <c r="L302" s="77">
        <f t="shared" si="113"/>
        <v>0</v>
      </c>
      <c r="M302" s="77"/>
      <c r="N302" s="84">
        <v>245</v>
      </c>
      <c r="O302" s="107">
        <f t="shared" si="114"/>
        <v>1379.7199999999998</v>
      </c>
      <c r="P302" s="78">
        <f t="shared" si="112"/>
        <v>17820.28</v>
      </c>
    </row>
    <row r="303" spans="1:17" s="32" customFormat="1" ht="28.5" customHeight="1" x14ac:dyDescent="0.25">
      <c r="A303" s="75">
        <f t="shared" si="115"/>
        <v>158</v>
      </c>
      <c r="B303" s="108" t="s">
        <v>321</v>
      </c>
      <c r="C303" s="36" t="s">
        <v>421</v>
      </c>
      <c r="D303" s="108" t="s">
        <v>34</v>
      </c>
      <c r="E303" s="108" t="s">
        <v>228</v>
      </c>
      <c r="F303" s="110">
        <v>24000</v>
      </c>
      <c r="G303" s="82">
        <f t="shared" si="116"/>
        <v>688.8</v>
      </c>
      <c r="H303" s="82">
        <f t="shared" si="117"/>
        <v>729.6</v>
      </c>
      <c r="I303" s="82"/>
      <c r="J303" s="77">
        <f t="shared" si="100"/>
        <v>1418.4</v>
      </c>
      <c r="K303" s="77">
        <f t="shared" si="103"/>
        <v>22581.599999999999</v>
      </c>
      <c r="L303" s="77">
        <f t="shared" si="113"/>
        <v>0</v>
      </c>
      <c r="M303" s="77"/>
      <c r="N303" s="84">
        <v>1125</v>
      </c>
      <c r="O303" s="107">
        <f t="shared" si="114"/>
        <v>2543.3999999999996</v>
      </c>
      <c r="P303" s="78">
        <f t="shared" si="112"/>
        <v>21456.6</v>
      </c>
    </row>
    <row r="304" spans="1:17" s="32" customFormat="1" ht="28.5" customHeight="1" x14ac:dyDescent="0.25">
      <c r="A304" s="75">
        <f t="shared" si="115"/>
        <v>159</v>
      </c>
      <c r="B304" s="108" t="s">
        <v>211</v>
      </c>
      <c r="C304" s="36" t="s">
        <v>421</v>
      </c>
      <c r="D304" s="108" t="s">
        <v>34</v>
      </c>
      <c r="E304" s="108" t="s">
        <v>228</v>
      </c>
      <c r="F304" s="110">
        <v>24000</v>
      </c>
      <c r="G304" s="82">
        <f t="shared" si="116"/>
        <v>688.8</v>
      </c>
      <c r="H304" s="82">
        <f t="shared" si="117"/>
        <v>729.6</v>
      </c>
      <c r="I304" s="82"/>
      <c r="J304" s="77">
        <f t="shared" si="100"/>
        <v>1418.4</v>
      </c>
      <c r="K304" s="77">
        <f t="shared" si="103"/>
        <v>22581.599999999999</v>
      </c>
      <c r="L304" s="77">
        <f t="shared" si="113"/>
        <v>0</v>
      </c>
      <c r="M304" s="77"/>
      <c r="N304" s="84">
        <v>4125</v>
      </c>
      <c r="O304" s="107">
        <f t="shared" si="114"/>
        <v>5543.4000000000005</v>
      </c>
      <c r="P304" s="78">
        <f t="shared" si="112"/>
        <v>18456.599999999999</v>
      </c>
    </row>
    <row r="305" spans="1:17" s="39" customFormat="1" ht="30" customHeight="1" x14ac:dyDescent="0.25">
      <c r="A305" s="75">
        <f t="shared" si="115"/>
        <v>160</v>
      </c>
      <c r="B305" s="108" t="s">
        <v>476</v>
      </c>
      <c r="C305" s="172" t="s">
        <v>420</v>
      </c>
      <c r="D305" s="108" t="s">
        <v>34</v>
      </c>
      <c r="E305" s="108" t="s">
        <v>228</v>
      </c>
      <c r="F305" s="110">
        <v>24000</v>
      </c>
      <c r="G305" s="82">
        <f t="shared" si="116"/>
        <v>688.8</v>
      </c>
      <c r="H305" s="82">
        <f t="shared" si="117"/>
        <v>729.6</v>
      </c>
      <c r="I305" s="82"/>
      <c r="J305" s="77">
        <f t="shared" si="100"/>
        <v>1418.4</v>
      </c>
      <c r="K305" s="77">
        <f t="shared" si="103"/>
        <v>22581.599999999999</v>
      </c>
      <c r="L305" s="77">
        <f t="shared" si="113"/>
        <v>0</v>
      </c>
      <c r="M305" s="77"/>
      <c r="N305" s="84">
        <v>1525</v>
      </c>
      <c r="O305" s="107">
        <f t="shared" si="114"/>
        <v>2943.3999999999996</v>
      </c>
      <c r="P305" s="78">
        <f t="shared" si="112"/>
        <v>21056.6</v>
      </c>
    </row>
    <row r="306" spans="1:17" s="53" customFormat="1" ht="28.5" customHeight="1" x14ac:dyDescent="0.25">
      <c r="A306" s="75">
        <f t="shared" si="115"/>
        <v>161</v>
      </c>
      <c r="B306" s="108" t="s">
        <v>477</v>
      </c>
      <c r="C306" s="172" t="s">
        <v>421</v>
      </c>
      <c r="D306" s="108" t="s">
        <v>34</v>
      </c>
      <c r="E306" s="108" t="s">
        <v>228</v>
      </c>
      <c r="F306" s="110">
        <v>24000</v>
      </c>
      <c r="G306" s="82">
        <f t="shared" si="116"/>
        <v>688.8</v>
      </c>
      <c r="H306" s="82">
        <f t="shared" si="117"/>
        <v>729.6</v>
      </c>
      <c r="I306" s="82"/>
      <c r="J306" s="77">
        <f t="shared" si="100"/>
        <v>1418.4</v>
      </c>
      <c r="K306" s="77">
        <f t="shared" si="103"/>
        <v>22581.599999999999</v>
      </c>
      <c r="L306" s="77">
        <f t="shared" si="113"/>
        <v>0</v>
      </c>
      <c r="M306" s="77"/>
      <c r="N306" s="84">
        <v>125</v>
      </c>
      <c r="O306" s="107">
        <f t="shared" si="114"/>
        <v>1543.4</v>
      </c>
      <c r="P306" s="78">
        <f t="shared" si="112"/>
        <v>22456.6</v>
      </c>
      <c r="Q306" s="39"/>
    </row>
    <row r="307" spans="1:17" s="53" customFormat="1" ht="28.5" customHeight="1" x14ac:dyDescent="0.25">
      <c r="A307" s="75">
        <f t="shared" si="115"/>
        <v>162</v>
      </c>
      <c r="B307" s="108" t="s">
        <v>478</v>
      </c>
      <c r="C307" s="172" t="s">
        <v>420</v>
      </c>
      <c r="D307" s="108" t="s">
        <v>34</v>
      </c>
      <c r="E307" s="108" t="s">
        <v>228</v>
      </c>
      <c r="F307" s="110">
        <v>24000</v>
      </c>
      <c r="G307" s="82">
        <f t="shared" si="116"/>
        <v>688.8</v>
      </c>
      <c r="H307" s="82">
        <f t="shared" si="117"/>
        <v>729.6</v>
      </c>
      <c r="I307" s="82"/>
      <c r="J307" s="77">
        <f t="shared" si="100"/>
        <v>1418.4</v>
      </c>
      <c r="K307" s="77">
        <f t="shared" si="103"/>
        <v>22581.599999999999</v>
      </c>
      <c r="L307" s="77">
        <f t="shared" si="113"/>
        <v>0</v>
      </c>
      <c r="M307" s="77"/>
      <c r="N307" s="84">
        <v>4815.7</v>
      </c>
      <c r="O307" s="107">
        <f t="shared" si="114"/>
        <v>6234.1</v>
      </c>
      <c r="P307" s="78">
        <f t="shared" si="112"/>
        <v>17765.900000000001</v>
      </c>
      <c r="Q307" s="39"/>
    </row>
    <row r="308" spans="1:17" s="53" customFormat="1" ht="28.5" customHeight="1" x14ac:dyDescent="0.25">
      <c r="A308" s="75">
        <f t="shared" si="115"/>
        <v>163</v>
      </c>
      <c r="B308" s="108" t="s">
        <v>563</v>
      </c>
      <c r="C308" s="36" t="s">
        <v>420</v>
      </c>
      <c r="D308" s="108" t="s">
        <v>314</v>
      </c>
      <c r="E308" s="108" t="s">
        <v>228</v>
      </c>
      <c r="F308" s="110">
        <v>45000</v>
      </c>
      <c r="G308" s="82">
        <f t="shared" ref="G308:G309" si="118">F308*2.87%</f>
        <v>1291.5</v>
      </c>
      <c r="H308" s="82">
        <f t="shared" ref="H308:H309" si="119">+F308*3.04%</f>
        <v>1368</v>
      </c>
      <c r="I308" s="82"/>
      <c r="J308" s="77">
        <f t="shared" si="100"/>
        <v>2659.5</v>
      </c>
      <c r="K308" s="77">
        <f t="shared" si="103"/>
        <v>42340.5</v>
      </c>
      <c r="L308" s="77">
        <f t="shared" si="113"/>
        <v>1148.3248749999998</v>
      </c>
      <c r="M308" s="77"/>
      <c r="N308" s="84">
        <v>4335.6000000000004</v>
      </c>
      <c r="O308" s="107">
        <f t="shared" si="114"/>
        <v>8143.4248750000006</v>
      </c>
      <c r="P308" s="78">
        <f t="shared" si="112"/>
        <v>36856.575125000003</v>
      </c>
      <c r="Q308" s="39"/>
    </row>
    <row r="309" spans="1:17" s="53" customFormat="1" ht="28.5" customHeight="1" x14ac:dyDescent="0.25">
      <c r="A309" s="75">
        <f t="shared" si="115"/>
        <v>164</v>
      </c>
      <c r="B309" s="108" t="s">
        <v>591</v>
      </c>
      <c r="C309" s="36" t="s">
        <v>420</v>
      </c>
      <c r="D309" s="108" t="s">
        <v>34</v>
      </c>
      <c r="E309" s="108" t="s">
        <v>197</v>
      </c>
      <c r="F309" s="110">
        <v>20000</v>
      </c>
      <c r="G309" s="82">
        <f t="shared" si="118"/>
        <v>574</v>
      </c>
      <c r="H309" s="82">
        <f t="shared" si="119"/>
        <v>608</v>
      </c>
      <c r="I309" s="82">
        <v>1597.31</v>
      </c>
      <c r="J309" s="77">
        <f t="shared" si="100"/>
        <v>2779.31</v>
      </c>
      <c r="K309" s="77">
        <f t="shared" si="103"/>
        <v>17220.689999999999</v>
      </c>
      <c r="L309" s="77">
        <f t="shared" si="113"/>
        <v>0</v>
      </c>
      <c r="M309" s="77"/>
      <c r="N309" s="84">
        <v>7082.17</v>
      </c>
      <c r="O309" s="107">
        <f t="shared" si="114"/>
        <v>9861.48</v>
      </c>
      <c r="P309" s="78">
        <f t="shared" si="112"/>
        <v>10138.52</v>
      </c>
      <c r="Q309" s="39"/>
    </row>
    <row r="310" spans="1:17" s="53" customFormat="1" ht="28.5" customHeight="1" x14ac:dyDescent="0.25">
      <c r="A310" s="75">
        <f t="shared" si="115"/>
        <v>165</v>
      </c>
      <c r="B310" s="108" t="s">
        <v>592</v>
      </c>
      <c r="C310" s="36" t="s">
        <v>421</v>
      </c>
      <c r="D310" s="108" t="s">
        <v>34</v>
      </c>
      <c r="E310" s="108" t="s">
        <v>197</v>
      </c>
      <c r="F310" s="110">
        <v>20000</v>
      </c>
      <c r="G310" s="82">
        <f t="shared" ref="G310:G314" si="120">F310*2.87%</f>
        <v>574</v>
      </c>
      <c r="H310" s="82">
        <f t="shared" ref="H310:H314" si="121">+F310*3.04%</f>
        <v>608</v>
      </c>
      <c r="I310" s="82"/>
      <c r="J310" s="77">
        <f t="shared" si="100"/>
        <v>1182</v>
      </c>
      <c r="K310" s="77">
        <f t="shared" si="103"/>
        <v>18818</v>
      </c>
      <c r="L310" s="77">
        <f t="shared" si="113"/>
        <v>0</v>
      </c>
      <c r="M310" s="77"/>
      <c r="N310" s="84">
        <v>1125</v>
      </c>
      <c r="O310" s="107">
        <f t="shared" si="114"/>
        <v>2307</v>
      </c>
      <c r="P310" s="78">
        <f t="shared" si="112"/>
        <v>17693</v>
      </c>
      <c r="Q310" s="39"/>
    </row>
    <row r="311" spans="1:17" s="53" customFormat="1" ht="28.5" customHeight="1" x14ac:dyDescent="0.25">
      <c r="A311" s="75">
        <f t="shared" si="115"/>
        <v>166</v>
      </c>
      <c r="B311" s="108" t="s">
        <v>593</v>
      </c>
      <c r="C311" s="36" t="s">
        <v>420</v>
      </c>
      <c r="D311" s="108" t="s">
        <v>34</v>
      </c>
      <c r="E311" s="108" t="s">
        <v>197</v>
      </c>
      <c r="F311" s="110">
        <v>20000</v>
      </c>
      <c r="G311" s="82">
        <f t="shared" si="120"/>
        <v>574</v>
      </c>
      <c r="H311" s="82">
        <f t="shared" si="121"/>
        <v>608</v>
      </c>
      <c r="I311" s="82"/>
      <c r="J311" s="77">
        <f t="shared" si="100"/>
        <v>1182</v>
      </c>
      <c r="K311" s="77">
        <f t="shared" si="103"/>
        <v>18818</v>
      </c>
      <c r="L311" s="77">
        <f t="shared" si="113"/>
        <v>0</v>
      </c>
      <c r="M311" s="77"/>
      <c r="N311" s="84">
        <v>125</v>
      </c>
      <c r="O311" s="107">
        <f t="shared" si="114"/>
        <v>1307</v>
      </c>
      <c r="P311" s="78">
        <f t="shared" si="112"/>
        <v>18693</v>
      </c>
      <c r="Q311" s="39"/>
    </row>
    <row r="312" spans="1:17" s="53" customFormat="1" ht="28.5" customHeight="1" x14ac:dyDescent="0.25">
      <c r="A312" s="75">
        <f t="shared" si="115"/>
        <v>167</v>
      </c>
      <c r="B312" s="108" t="s">
        <v>594</v>
      </c>
      <c r="C312" s="36" t="s">
        <v>420</v>
      </c>
      <c r="D312" s="108" t="s">
        <v>34</v>
      </c>
      <c r="E312" s="108" t="s">
        <v>197</v>
      </c>
      <c r="F312" s="110">
        <v>20000</v>
      </c>
      <c r="G312" s="82">
        <f t="shared" si="120"/>
        <v>574</v>
      </c>
      <c r="H312" s="82">
        <f t="shared" si="121"/>
        <v>608</v>
      </c>
      <c r="I312" s="82"/>
      <c r="J312" s="77">
        <f t="shared" si="100"/>
        <v>1182</v>
      </c>
      <c r="K312" s="77">
        <f t="shared" si="103"/>
        <v>18818</v>
      </c>
      <c r="L312" s="77">
        <f t="shared" si="113"/>
        <v>0</v>
      </c>
      <c r="M312" s="77"/>
      <c r="N312" s="84">
        <v>2125</v>
      </c>
      <c r="O312" s="107">
        <f t="shared" si="114"/>
        <v>3307</v>
      </c>
      <c r="P312" s="78">
        <f t="shared" si="112"/>
        <v>16693</v>
      </c>
      <c r="Q312" s="39"/>
    </row>
    <row r="313" spans="1:17" s="79" customFormat="1" ht="30" customHeight="1" x14ac:dyDescent="0.25">
      <c r="A313" s="75">
        <f t="shared" si="115"/>
        <v>168</v>
      </c>
      <c r="B313" s="108" t="s">
        <v>595</v>
      </c>
      <c r="C313" s="36" t="s">
        <v>421</v>
      </c>
      <c r="D313" s="108" t="s">
        <v>97</v>
      </c>
      <c r="E313" s="108" t="s">
        <v>197</v>
      </c>
      <c r="F313" s="110">
        <v>20000</v>
      </c>
      <c r="G313" s="82">
        <f t="shared" si="120"/>
        <v>574</v>
      </c>
      <c r="H313" s="82">
        <f t="shared" si="121"/>
        <v>608</v>
      </c>
      <c r="I313" s="82"/>
      <c r="J313" s="77">
        <f t="shared" si="100"/>
        <v>1182</v>
      </c>
      <c r="K313" s="77">
        <f t="shared" si="103"/>
        <v>18818</v>
      </c>
      <c r="L313" s="77">
        <f t="shared" si="113"/>
        <v>0</v>
      </c>
      <c r="M313" s="77"/>
      <c r="N313" s="84">
        <v>1025</v>
      </c>
      <c r="O313" s="107">
        <f t="shared" si="114"/>
        <v>2207</v>
      </c>
      <c r="P313" s="78">
        <f t="shared" si="112"/>
        <v>17793</v>
      </c>
      <c r="Q313" s="32"/>
    </row>
    <row r="314" spans="1:17" s="39" customFormat="1" ht="30" customHeight="1" x14ac:dyDescent="0.25">
      <c r="A314" s="75">
        <f t="shared" si="115"/>
        <v>169</v>
      </c>
      <c r="B314" s="108" t="s">
        <v>596</v>
      </c>
      <c r="C314" s="36" t="s">
        <v>421</v>
      </c>
      <c r="D314" s="108" t="s">
        <v>34</v>
      </c>
      <c r="E314" s="108" t="s">
        <v>197</v>
      </c>
      <c r="F314" s="110">
        <v>20000</v>
      </c>
      <c r="G314" s="82">
        <f t="shared" si="120"/>
        <v>574</v>
      </c>
      <c r="H314" s="82">
        <f t="shared" si="121"/>
        <v>608</v>
      </c>
      <c r="I314" s="82"/>
      <c r="J314" s="77">
        <f t="shared" si="100"/>
        <v>1182</v>
      </c>
      <c r="K314" s="77">
        <f t="shared" si="103"/>
        <v>18818</v>
      </c>
      <c r="L314" s="77">
        <f t="shared" si="113"/>
        <v>0</v>
      </c>
      <c r="M314" s="77"/>
      <c r="N314" s="84">
        <v>3673.83</v>
      </c>
      <c r="O314" s="107">
        <f t="shared" si="114"/>
        <v>4855.83</v>
      </c>
      <c r="P314" s="78">
        <f t="shared" si="112"/>
        <v>15144.17</v>
      </c>
    </row>
    <row r="315" spans="1:17" s="39" customFormat="1" ht="36" customHeight="1" x14ac:dyDescent="0.25">
      <c r="A315" s="206" t="s">
        <v>125</v>
      </c>
      <c r="B315" s="207"/>
      <c r="C315" s="207"/>
      <c r="D315" s="207"/>
      <c r="E315" s="208"/>
      <c r="F315" s="37">
        <f>SUM(F284:F314)</f>
        <v>839075</v>
      </c>
      <c r="G315" s="37">
        <f t="shared" ref="G315:P315" si="122">SUM(G284:G314)</f>
        <v>24081.452499999996</v>
      </c>
      <c r="H315" s="37">
        <f t="shared" si="122"/>
        <v>25507.879999999997</v>
      </c>
      <c r="I315" s="37">
        <f t="shared" si="122"/>
        <v>9583.8599999999988</v>
      </c>
      <c r="J315" s="37">
        <f t="shared" si="122"/>
        <v>59173.192500000012</v>
      </c>
      <c r="K315" s="37">
        <f t="shared" si="122"/>
        <v>779901.80749999988</v>
      </c>
      <c r="L315" s="37">
        <f t="shared" si="122"/>
        <v>4150.6447499999995</v>
      </c>
      <c r="M315" s="37">
        <f t="shared" si="122"/>
        <v>0</v>
      </c>
      <c r="N315" s="37">
        <f t="shared" si="122"/>
        <v>106605.88</v>
      </c>
      <c r="O315" s="37">
        <f t="shared" si="122"/>
        <v>169929.71724999999</v>
      </c>
      <c r="P315" s="37">
        <f t="shared" si="122"/>
        <v>669145.28275000001</v>
      </c>
    </row>
    <row r="316" spans="1:17" s="39" customFormat="1" ht="36" customHeight="1" thickBot="1" x14ac:dyDescent="0.3">
      <c r="A316" s="50"/>
      <c r="B316" s="50"/>
      <c r="C316" s="50"/>
      <c r="D316" s="50"/>
      <c r="E316" s="50"/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</row>
    <row r="317" spans="1:17" s="39" customFormat="1" ht="36" customHeight="1" thickBot="1" x14ac:dyDescent="0.3">
      <c r="A317" s="209" t="s">
        <v>323</v>
      </c>
      <c r="B317" s="210"/>
      <c r="C317" s="210"/>
      <c r="D317" s="210"/>
      <c r="E317" s="210"/>
      <c r="F317" s="210"/>
      <c r="G317" s="210"/>
      <c r="H317" s="210"/>
      <c r="I317" s="210"/>
      <c r="J317" s="210"/>
      <c r="K317" s="210"/>
      <c r="L317" s="210"/>
      <c r="M317" s="210"/>
      <c r="N317" s="210"/>
      <c r="O317" s="210"/>
      <c r="P317" s="210"/>
    </row>
    <row r="318" spans="1:17" s="39" customFormat="1" ht="36" customHeight="1" x14ac:dyDescent="0.25">
      <c r="A318" s="36">
        <f>+A314+1</f>
        <v>170</v>
      </c>
      <c r="B318" s="108" t="s">
        <v>17</v>
      </c>
      <c r="C318" s="36" t="s">
        <v>421</v>
      </c>
      <c r="D318" s="108" t="s">
        <v>635</v>
      </c>
      <c r="E318" s="108" t="s">
        <v>228</v>
      </c>
      <c r="F318" s="110">
        <v>50000</v>
      </c>
      <c r="G318" s="110">
        <f>F318*2.87%</f>
        <v>1435</v>
      </c>
      <c r="H318" s="82">
        <f>+F318*3.04%</f>
        <v>1520</v>
      </c>
      <c r="I318" s="82">
        <v>1597.31</v>
      </c>
      <c r="J318" s="77">
        <f t="shared" si="100"/>
        <v>4552.3099999999995</v>
      </c>
      <c r="K318" s="77">
        <f t="shared" si="103"/>
        <v>45447.69</v>
      </c>
      <c r="L318" s="77">
        <f t="shared" ref="L318:L323" si="123">+IF(K318*12&lt;=416220.01,0,IF(K318*12&lt;=624329.01,(((K318*12-416220.01)*0.15)/12),IF((K318*12&lt;=867123.01),(31216+0.2*(K318*12-624329.01))/12,((79776+0.25*(K318*12-867123.01))/12))))</f>
        <v>1614.4033750000001</v>
      </c>
      <c r="M318" s="77"/>
      <c r="N318" s="84">
        <v>10025</v>
      </c>
      <c r="O318" s="107">
        <f t="shared" si="101"/>
        <v>16191.713374999999</v>
      </c>
      <c r="P318" s="78">
        <f t="shared" ref="P318:P323" si="124">+F318-O318</f>
        <v>33808.286625000001</v>
      </c>
    </row>
    <row r="319" spans="1:17" s="39" customFormat="1" ht="28.5" customHeight="1" x14ac:dyDescent="0.25">
      <c r="A319" s="36">
        <f>+A318+1</f>
        <v>171</v>
      </c>
      <c r="B319" s="108" t="s">
        <v>324</v>
      </c>
      <c r="C319" s="36" t="s">
        <v>420</v>
      </c>
      <c r="D319" s="108" t="s">
        <v>325</v>
      </c>
      <c r="E319" s="108" t="s">
        <v>228</v>
      </c>
      <c r="F319" s="110">
        <v>50000</v>
      </c>
      <c r="G319" s="110">
        <f>F319*2.87%</f>
        <v>1435</v>
      </c>
      <c r="H319" s="82">
        <f>+F319*3.04%</f>
        <v>1520</v>
      </c>
      <c r="I319" s="82"/>
      <c r="J319" s="77">
        <f t="shared" si="100"/>
        <v>2955</v>
      </c>
      <c r="K319" s="77">
        <f t="shared" si="103"/>
        <v>47045</v>
      </c>
      <c r="L319" s="77">
        <f t="shared" si="123"/>
        <v>1853.9998749999997</v>
      </c>
      <c r="M319" s="77"/>
      <c r="N319" s="84">
        <v>125</v>
      </c>
      <c r="O319" s="107">
        <f t="shared" si="101"/>
        <v>4933.9998749999995</v>
      </c>
      <c r="P319" s="78">
        <f t="shared" si="124"/>
        <v>45066.000124999999</v>
      </c>
    </row>
    <row r="320" spans="1:17" s="53" customFormat="1" ht="27" customHeight="1" x14ac:dyDescent="0.25">
      <c r="A320" s="36">
        <f>+A319+1</f>
        <v>172</v>
      </c>
      <c r="B320" s="108" t="s">
        <v>326</v>
      </c>
      <c r="C320" s="36" t="s">
        <v>420</v>
      </c>
      <c r="D320" s="108" t="s">
        <v>325</v>
      </c>
      <c r="E320" s="108" t="s">
        <v>228</v>
      </c>
      <c r="F320" s="110">
        <v>50000</v>
      </c>
      <c r="G320" s="110">
        <f>F320*2.87%</f>
        <v>1435</v>
      </c>
      <c r="H320" s="82">
        <f>+F320*3.04%</f>
        <v>1520</v>
      </c>
      <c r="I320" s="82">
        <v>1597.31</v>
      </c>
      <c r="J320" s="77">
        <f t="shared" si="100"/>
        <v>4552.3099999999995</v>
      </c>
      <c r="K320" s="77">
        <f t="shared" si="103"/>
        <v>45447.69</v>
      </c>
      <c r="L320" s="77">
        <f t="shared" si="123"/>
        <v>1614.4033750000001</v>
      </c>
      <c r="M320" s="77"/>
      <c r="N320" s="84">
        <v>125</v>
      </c>
      <c r="O320" s="107">
        <f t="shared" si="101"/>
        <v>6291.7133749999994</v>
      </c>
      <c r="P320" s="78">
        <f t="shared" si="124"/>
        <v>43708.286625000001</v>
      </c>
      <c r="Q320" s="39"/>
    </row>
    <row r="321" spans="1:17" s="53" customFormat="1" ht="30" customHeight="1" x14ac:dyDescent="0.25">
      <c r="A321" s="36">
        <f>+A320+1</f>
        <v>173</v>
      </c>
      <c r="B321" s="108" t="s">
        <v>398</v>
      </c>
      <c r="C321" s="36" t="s">
        <v>420</v>
      </c>
      <c r="D321" s="108" t="s">
        <v>143</v>
      </c>
      <c r="E321" s="108" t="s">
        <v>228</v>
      </c>
      <c r="F321" s="110">
        <v>28000</v>
      </c>
      <c r="G321" s="110">
        <f t="shared" ref="G321" si="125">F321*2.87%</f>
        <v>803.6</v>
      </c>
      <c r="H321" s="82">
        <f t="shared" ref="H321" si="126">+F321*3.04%</f>
        <v>851.2</v>
      </c>
      <c r="I321" s="82"/>
      <c r="J321" s="77">
        <f t="shared" si="100"/>
        <v>1654.8000000000002</v>
      </c>
      <c r="K321" s="77">
        <f t="shared" si="103"/>
        <v>26345.200000000001</v>
      </c>
      <c r="L321" s="77">
        <f t="shared" si="123"/>
        <v>0</v>
      </c>
      <c r="M321" s="77"/>
      <c r="N321" s="84">
        <v>25</v>
      </c>
      <c r="O321" s="107">
        <f t="shared" si="101"/>
        <v>1679.8000000000002</v>
      </c>
      <c r="P321" s="78">
        <f t="shared" si="124"/>
        <v>26320.2</v>
      </c>
      <c r="Q321" s="39"/>
    </row>
    <row r="322" spans="1:17" s="53" customFormat="1" ht="30" customHeight="1" x14ac:dyDescent="0.25">
      <c r="A322" s="36">
        <f>+A321+1</f>
        <v>174</v>
      </c>
      <c r="B322" s="127" t="s">
        <v>399</v>
      </c>
      <c r="C322" s="152" t="s">
        <v>420</v>
      </c>
      <c r="D322" s="153" t="s">
        <v>143</v>
      </c>
      <c r="E322" s="108" t="s">
        <v>228</v>
      </c>
      <c r="F322" s="84">
        <v>28000</v>
      </c>
      <c r="G322" s="82">
        <f>F322*2.87%</f>
        <v>803.6</v>
      </c>
      <c r="H322" s="82">
        <f>+F322*3.04%</f>
        <v>851.2</v>
      </c>
      <c r="I322" s="82"/>
      <c r="J322" s="77">
        <f t="shared" si="100"/>
        <v>1654.8000000000002</v>
      </c>
      <c r="K322" s="77">
        <f t="shared" si="103"/>
        <v>26345.200000000001</v>
      </c>
      <c r="L322" s="77">
        <f t="shared" si="123"/>
        <v>0</v>
      </c>
      <c r="M322" s="77"/>
      <c r="N322" s="78">
        <v>4325</v>
      </c>
      <c r="O322" s="107">
        <f t="shared" si="101"/>
        <v>5979.8</v>
      </c>
      <c r="P322" s="78">
        <f t="shared" si="124"/>
        <v>22020.2</v>
      </c>
      <c r="Q322" s="39"/>
    </row>
    <row r="323" spans="1:17" s="53" customFormat="1" ht="30" customHeight="1" x14ac:dyDescent="0.25">
      <c r="A323" s="36">
        <f>+A322+1</f>
        <v>175</v>
      </c>
      <c r="B323" s="127" t="s">
        <v>524</v>
      </c>
      <c r="C323" s="152" t="s">
        <v>420</v>
      </c>
      <c r="D323" s="153" t="s">
        <v>143</v>
      </c>
      <c r="E323" s="108" t="s">
        <v>228</v>
      </c>
      <c r="F323" s="84">
        <v>24000</v>
      </c>
      <c r="G323" s="82">
        <f>F323*2.87%</f>
        <v>688.8</v>
      </c>
      <c r="H323" s="82">
        <f>+F323*3.04%</f>
        <v>729.6</v>
      </c>
      <c r="I323" s="82"/>
      <c r="J323" s="77">
        <f t="shared" si="100"/>
        <v>1418.4</v>
      </c>
      <c r="K323" s="77">
        <f t="shared" si="103"/>
        <v>22581.599999999999</v>
      </c>
      <c r="L323" s="77">
        <f t="shared" si="123"/>
        <v>0</v>
      </c>
      <c r="M323" s="77"/>
      <c r="N323" s="78">
        <v>125</v>
      </c>
      <c r="O323" s="107">
        <f t="shared" si="101"/>
        <v>1543.4</v>
      </c>
      <c r="P323" s="78">
        <f t="shared" si="124"/>
        <v>22456.6</v>
      </c>
      <c r="Q323" s="39"/>
    </row>
    <row r="324" spans="1:17" s="53" customFormat="1" ht="30" customHeight="1" thickBot="1" x14ac:dyDescent="0.3">
      <c r="A324" s="206" t="s">
        <v>125</v>
      </c>
      <c r="B324" s="207"/>
      <c r="C324" s="207"/>
      <c r="D324" s="207"/>
      <c r="E324" s="208"/>
      <c r="F324" s="37">
        <f>SUM(F318:F323)</f>
        <v>230000</v>
      </c>
      <c r="G324" s="37">
        <f t="shared" ref="G324:P324" si="127">SUM(G318:G323)</f>
        <v>6601.0000000000009</v>
      </c>
      <c r="H324" s="37">
        <f t="shared" si="127"/>
        <v>6992</v>
      </c>
      <c r="I324" s="37">
        <f t="shared" si="127"/>
        <v>3194.62</v>
      </c>
      <c r="J324" s="37">
        <f t="shared" si="127"/>
        <v>16787.62</v>
      </c>
      <c r="K324" s="37">
        <f t="shared" si="127"/>
        <v>213212.38000000003</v>
      </c>
      <c r="L324" s="37">
        <f t="shared" si="127"/>
        <v>5082.8066250000002</v>
      </c>
      <c r="M324" s="37">
        <f t="shared" si="127"/>
        <v>0</v>
      </c>
      <c r="N324" s="37">
        <f t="shared" si="127"/>
        <v>14750</v>
      </c>
      <c r="O324" s="37">
        <f t="shared" si="127"/>
        <v>36620.426625</v>
      </c>
      <c r="P324" s="37">
        <f t="shared" si="127"/>
        <v>193379.57337500004</v>
      </c>
      <c r="Q324" s="39"/>
    </row>
    <row r="325" spans="1:17" s="53" customFormat="1" ht="30" customHeight="1" thickBot="1" x14ac:dyDescent="0.3">
      <c r="A325" s="209" t="s">
        <v>327</v>
      </c>
      <c r="B325" s="210"/>
      <c r="C325" s="210"/>
      <c r="D325" s="210"/>
      <c r="E325" s="210"/>
      <c r="F325" s="210"/>
      <c r="G325" s="210"/>
      <c r="H325" s="210"/>
      <c r="I325" s="210"/>
      <c r="J325" s="210"/>
      <c r="K325" s="210"/>
      <c r="L325" s="210"/>
      <c r="M325" s="210"/>
      <c r="N325" s="210"/>
      <c r="O325" s="210"/>
      <c r="P325" s="210"/>
      <c r="Q325" s="39"/>
    </row>
    <row r="326" spans="1:17" s="53" customFormat="1" ht="30" customHeight="1" x14ac:dyDescent="0.25">
      <c r="A326" s="80">
        <f>+A323+1</f>
        <v>176</v>
      </c>
      <c r="B326" s="108" t="s">
        <v>132</v>
      </c>
      <c r="C326" s="36" t="s">
        <v>420</v>
      </c>
      <c r="D326" s="108" t="s">
        <v>134</v>
      </c>
      <c r="E326" s="108" t="s">
        <v>228</v>
      </c>
      <c r="F326" s="110">
        <v>55000</v>
      </c>
      <c r="G326" s="82">
        <f>F326*2.87%</f>
        <v>1578.5</v>
      </c>
      <c r="H326" s="82">
        <f>+F326*3.04%</f>
        <v>1672</v>
      </c>
      <c r="I326" s="82"/>
      <c r="J326" s="77">
        <f t="shared" si="100"/>
        <v>3250.5</v>
      </c>
      <c r="K326" s="77">
        <f t="shared" si="103"/>
        <v>51749.5</v>
      </c>
      <c r="L326" s="77">
        <f>+IF(K326*12&lt;=416220.01,0,IF(K326*12&lt;=624329.01,(((K326*12-416220.01)*0.15)/12),IF((K326*12&lt;=867123.01),(31216+0.2*(K326*12-624329.01))/12,((79776+0.25*(K326*12-867123.01))/12))))-M326</f>
        <v>2559.6748749999997</v>
      </c>
      <c r="M326" s="77"/>
      <c r="N326" s="84">
        <v>25</v>
      </c>
      <c r="O326" s="107">
        <f t="shared" si="101"/>
        <v>5835.1748749999997</v>
      </c>
      <c r="P326" s="84">
        <f t="shared" ref="P326:P343" si="128">+F326-O326</f>
        <v>49164.825125000003</v>
      </c>
      <c r="Q326" s="39"/>
    </row>
    <row r="327" spans="1:17" s="91" customFormat="1" ht="30" customHeight="1" x14ac:dyDescent="0.25">
      <c r="A327" s="80">
        <f>+A326+1</f>
        <v>177</v>
      </c>
      <c r="B327" s="108" t="s">
        <v>35</v>
      </c>
      <c r="C327" s="36" t="s">
        <v>420</v>
      </c>
      <c r="D327" s="108" t="s">
        <v>134</v>
      </c>
      <c r="E327" s="108" t="s">
        <v>122</v>
      </c>
      <c r="F327" s="110">
        <v>55000</v>
      </c>
      <c r="G327" s="82">
        <f t="shared" ref="G327:G341" si="129">F327*2.87%</f>
        <v>1578.5</v>
      </c>
      <c r="H327" s="82">
        <f t="shared" ref="H327:H345" si="130">+F327*3.04%</f>
        <v>1672</v>
      </c>
      <c r="I327" s="82"/>
      <c r="J327" s="77">
        <f t="shared" si="100"/>
        <v>3250.5</v>
      </c>
      <c r="K327" s="77">
        <f t="shared" si="103"/>
        <v>51749.5</v>
      </c>
      <c r="L327" s="77">
        <f t="shared" ref="L327:L343" si="131">+IF(K327*12&lt;=416220.01,0,IF(K327*12&lt;=624329.01,(((K327*12-416220.01)*0.15)/12),IF((K327*12&lt;=867123.01),(31216+0.2*(K327*12-624329.01))/12,((79776+0.25*(K327*12-867123.01))/12))))-M327</f>
        <v>2559.6748749999997</v>
      </c>
      <c r="M327" s="77"/>
      <c r="N327" s="84">
        <v>165</v>
      </c>
      <c r="O327" s="107">
        <f t="shared" si="101"/>
        <v>5975.1748749999997</v>
      </c>
      <c r="P327" s="84">
        <f t="shared" si="128"/>
        <v>49024.825125000003</v>
      </c>
      <c r="Q327" s="241"/>
    </row>
    <row r="328" spans="1:17" s="53" customFormat="1" ht="30" customHeight="1" x14ac:dyDescent="0.25">
      <c r="A328" s="80">
        <f t="shared" ref="A328:A343" si="132">+A327+1</f>
        <v>178</v>
      </c>
      <c r="B328" s="108" t="s">
        <v>328</v>
      </c>
      <c r="C328" s="36" t="s">
        <v>420</v>
      </c>
      <c r="D328" s="108" t="s">
        <v>37</v>
      </c>
      <c r="E328" s="108" t="s">
        <v>228</v>
      </c>
      <c r="F328" s="110">
        <v>35000</v>
      </c>
      <c r="G328" s="82">
        <f t="shared" si="129"/>
        <v>1004.5</v>
      </c>
      <c r="H328" s="82">
        <f t="shared" si="130"/>
        <v>1064</v>
      </c>
      <c r="I328" s="82"/>
      <c r="J328" s="77">
        <f t="shared" si="100"/>
        <v>2068.5</v>
      </c>
      <c r="K328" s="77">
        <f t="shared" si="103"/>
        <v>32931.5</v>
      </c>
      <c r="L328" s="77">
        <f t="shared" si="131"/>
        <v>0</v>
      </c>
      <c r="M328" s="77"/>
      <c r="N328" s="84">
        <v>245</v>
      </c>
      <c r="O328" s="107">
        <f t="shared" si="101"/>
        <v>2313.5</v>
      </c>
      <c r="P328" s="84">
        <f t="shared" si="128"/>
        <v>32686.5</v>
      </c>
      <c r="Q328" s="39"/>
    </row>
    <row r="329" spans="1:17" s="79" customFormat="1" ht="30" customHeight="1" x14ac:dyDescent="0.25">
      <c r="A329" s="80">
        <f t="shared" si="132"/>
        <v>179</v>
      </c>
      <c r="B329" s="108" t="s">
        <v>40</v>
      </c>
      <c r="C329" s="36" t="s">
        <v>420</v>
      </c>
      <c r="D329" s="108" t="s">
        <v>37</v>
      </c>
      <c r="E329" s="108" t="s">
        <v>228</v>
      </c>
      <c r="F329" s="110">
        <v>35000</v>
      </c>
      <c r="G329" s="82">
        <f t="shared" si="129"/>
        <v>1004.5</v>
      </c>
      <c r="H329" s="82">
        <f t="shared" si="130"/>
        <v>1064</v>
      </c>
      <c r="I329" s="82"/>
      <c r="J329" s="77">
        <f t="shared" si="100"/>
        <v>2068.5</v>
      </c>
      <c r="K329" s="77">
        <f t="shared" si="103"/>
        <v>32931.5</v>
      </c>
      <c r="L329" s="77">
        <f t="shared" si="131"/>
        <v>0</v>
      </c>
      <c r="M329" s="77"/>
      <c r="N329" s="84">
        <v>165</v>
      </c>
      <c r="O329" s="107">
        <f t="shared" si="101"/>
        <v>2233.5</v>
      </c>
      <c r="P329" s="84">
        <f t="shared" si="128"/>
        <v>32766.5</v>
      </c>
      <c r="Q329" s="32"/>
    </row>
    <row r="330" spans="1:17" s="53" customFormat="1" ht="30" customHeight="1" x14ac:dyDescent="0.25">
      <c r="A330" s="80">
        <f t="shared" si="132"/>
        <v>180</v>
      </c>
      <c r="B330" s="108" t="s">
        <v>329</v>
      </c>
      <c r="C330" s="36" t="s">
        <v>420</v>
      </c>
      <c r="D330" s="108" t="s">
        <v>37</v>
      </c>
      <c r="E330" s="108" t="s">
        <v>228</v>
      </c>
      <c r="F330" s="110">
        <v>35000</v>
      </c>
      <c r="G330" s="82">
        <f t="shared" si="129"/>
        <v>1004.5</v>
      </c>
      <c r="H330" s="82">
        <f t="shared" si="130"/>
        <v>1064</v>
      </c>
      <c r="I330" s="82"/>
      <c r="J330" s="77">
        <f t="shared" si="100"/>
        <v>2068.5</v>
      </c>
      <c r="K330" s="77">
        <f t="shared" si="103"/>
        <v>32931.5</v>
      </c>
      <c r="L330" s="77">
        <f t="shared" si="131"/>
        <v>0</v>
      </c>
      <c r="M330" s="77"/>
      <c r="N330" s="84">
        <v>125</v>
      </c>
      <c r="O330" s="107">
        <f t="shared" si="101"/>
        <v>2193.5</v>
      </c>
      <c r="P330" s="84">
        <f t="shared" si="128"/>
        <v>32806.5</v>
      </c>
      <c r="Q330" s="39"/>
    </row>
    <row r="331" spans="1:17" s="79" customFormat="1" ht="30" customHeight="1" x14ac:dyDescent="0.25">
      <c r="A331" s="80">
        <f t="shared" si="132"/>
        <v>181</v>
      </c>
      <c r="B331" s="108" t="s">
        <v>82</v>
      </c>
      <c r="C331" s="36" t="s">
        <v>420</v>
      </c>
      <c r="D331" s="108" t="s">
        <v>37</v>
      </c>
      <c r="E331" s="108" t="s">
        <v>228</v>
      </c>
      <c r="F331" s="110">
        <v>35000</v>
      </c>
      <c r="G331" s="82">
        <f t="shared" si="129"/>
        <v>1004.5</v>
      </c>
      <c r="H331" s="82">
        <f t="shared" si="130"/>
        <v>1064</v>
      </c>
      <c r="I331" s="82"/>
      <c r="J331" s="77">
        <f t="shared" ref="J331:J393" si="133">+G331+H331+I331</f>
        <v>2068.5</v>
      </c>
      <c r="K331" s="77">
        <f t="shared" si="103"/>
        <v>32931.5</v>
      </c>
      <c r="L331" s="77">
        <f t="shared" si="131"/>
        <v>0</v>
      </c>
      <c r="M331" s="77"/>
      <c r="N331" s="84">
        <v>125</v>
      </c>
      <c r="O331" s="107">
        <f t="shared" si="101"/>
        <v>2193.5</v>
      </c>
      <c r="P331" s="84">
        <f t="shared" si="128"/>
        <v>32806.5</v>
      </c>
      <c r="Q331" s="32"/>
    </row>
    <row r="332" spans="1:17" s="91" customFormat="1" ht="30" customHeight="1" x14ac:dyDescent="0.25">
      <c r="A332" s="80">
        <f t="shared" si="132"/>
        <v>182</v>
      </c>
      <c r="B332" s="108" t="s">
        <v>330</v>
      </c>
      <c r="C332" s="36" t="s">
        <v>420</v>
      </c>
      <c r="D332" s="108" t="s">
        <v>37</v>
      </c>
      <c r="E332" s="108" t="s">
        <v>228</v>
      </c>
      <c r="F332" s="110">
        <v>35000</v>
      </c>
      <c r="G332" s="82">
        <f t="shared" si="129"/>
        <v>1004.5</v>
      </c>
      <c r="H332" s="82">
        <f t="shared" si="130"/>
        <v>1064</v>
      </c>
      <c r="I332" s="82">
        <v>1597.31</v>
      </c>
      <c r="J332" s="77">
        <f t="shared" si="133"/>
        <v>3665.81</v>
      </c>
      <c r="K332" s="77">
        <f t="shared" si="103"/>
        <v>31334.19</v>
      </c>
      <c r="L332" s="77">
        <f t="shared" si="131"/>
        <v>0</v>
      </c>
      <c r="M332" s="77"/>
      <c r="N332" s="84">
        <v>5785.86</v>
      </c>
      <c r="O332" s="107">
        <f t="shared" ref="O332:O395" si="134">+N332+I332+H332+G332+L332</f>
        <v>9451.67</v>
      </c>
      <c r="P332" s="84">
        <f t="shared" si="128"/>
        <v>25548.33</v>
      </c>
      <c r="Q332" s="241"/>
    </row>
    <row r="333" spans="1:17" s="53" customFormat="1" ht="30" customHeight="1" x14ac:dyDescent="0.25">
      <c r="A333" s="80">
        <f t="shared" si="132"/>
        <v>183</v>
      </c>
      <c r="B333" s="108" t="s">
        <v>39</v>
      </c>
      <c r="C333" s="36" t="s">
        <v>420</v>
      </c>
      <c r="D333" s="108" t="s">
        <v>37</v>
      </c>
      <c r="E333" s="108" t="s">
        <v>228</v>
      </c>
      <c r="F333" s="110">
        <v>35000</v>
      </c>
      <c r="G333" s="82">
        <f t="shared" si="129"/>
        <v>1004.5</v>
      </c>
      <c r="H333" s="82">
        <f t="shared" si="130"/>
        <v>1064</v>
      </c>
      <c r="I333" s="82"/>
      <c r="J333" s="77">
        <f t="shared" si="133"/>
        <v>2068.5</v>
      </c>
      <c r="K333" s="77">
        <f t="shared" si="103"/>
        <v>32931.5</v>
      </c>
      <c r="L333" s="77">
        <f t="shared" si="131"/>
        <v>0</v>
      </c>
      <c r="M333" s="77"/>
      <c r="N333" s="84">
        <v>665</v>
      </c>
      <c r="O333" s="107">
        <f t="shared" si="134"/>
        <v>2733.5</v>
      </c>
      <c r="P333" s="84">
        <f t="shared" si="128"/>
        <v>32266.5</v>
      </c>
      <c r="Q333" s="39"/>
    </row>
    <row r="334" spans="1:17" s="79" customFormat="1" ht="30" customHeight="1" x14ac:dyDescent="0.25">
      <c r="A334" s="80">
        <f t="shared" si="132"/>
        <v>184</v>
      </c>
      <c r="B334" s="108" t="s">
        <v>133</v>
      </c>
      <c r="C334" s="36" t="s">
        <v>420</v>
      </c>
      <c r="D334" s="126" t="s">
        <v>135</v>
      </c>
      <c r="E334" s="108" t="s">
        <v>228</v>
      </c>
      <c r="F334" s="110">
        <v>35000</v>
      </c>
      <c r="G334" s="82">
        <f>F334*2.87%</f>
        <v>1004.5</v>
      </c>
      <c r="H334" s="82">
        <f>+F334*3.04%</f>
        <v>1064</v>
      </c>
      <c r="I334" s="82"/>
      <c r="J334" s="77">
        <f t="shared" si="133"/>
        <v>2068.5</v>
      </c>
      <c r="K334" s="77">
        <f t="shared" si="103"/>
        <v>32931.5</v>
      </c>
      <c r="L334" s="77">
        <f t="shared" si="131"/>
        <v>0</v>
      </c>
      <c r="M334" s="77"/>
      <c r="N334" s="84">
        <v>25</v>
      </c>
      <c r="O334" s="107">
        <f t="shared" si="134"/>
        <v>2093.5</v>
      </c>
      <c r="P334" s="84">
        <f t="shared" si="128"/>
        <v>32906.5</v>
      </c>
      <c r="Q334" s="32"/>
    </row>
    <row r="335" spans="1:17" s="53" customFormat="1" ht="30" customHeight="1" x14ac:dyDescent="0.25">
      <c r="A335" s="80">
        <f t="shared" si="132"/>
        <v>185</v>
      </c>
      <c r="B335" s="108" t="s">
        <v>335</v>
      </c>
      <c r="C335" s="36" t="s">
        <v>420</v>
      </c>
      <c r="D335" s="108" t="s">
        <v>37</v>
      </c>
      <c r="E335" s="108" t="s">
        <v>122</v>
      </c>
      <c r="F335" s="110">
        <v>35000</v>
      </c>
      <c r="G335" s="82">
        <f>F335*2.87%</f>
        <v>1004.5</v>
      </c>
      <c r="H335" s="82">
        <f>+F335*3.04%</f>
        <v>1064</v>
      </c>
      <c r="I335" s="82"/>
      <c r="J335" s="77">
        <f t="shared" si="133"/>
        <v>2068.5</v>
      </c>
      <c r="K335" s="77">
        <f t="shared" ref="K335:K373" si="135">+F335-J335</f>
        <v>32931.5</v>
      </c>
      <c r="L335" s="77">
        <f t="shared" si="131"/>
        <v>0</v>
      </c>
      <c r="M335" s="77"/>
      <c r="N335" s="84">
        <v>125</v>
      </c>
      <c r="O335" s="107">
        <f t="shared" si="134"/>
        <v>2193.5</v>
      </c>
      <c r="P335" s="84">
        <f t="shared" si="128"/>
        <v>32806.5</v>
      </c>
      <c r="Q335" s="39"/>
    </row>
    <row r="336" spans="1:17" s="53" customFormat="1" ht="30" customHeight="1" x14ac:dyDescent="0.25">
      <c r="A336" s="80">
        <f t="shared" si="132"/>
        <v>186</v>
      </c>
      <c r="B336" s="108" t="s">
        <v>333</v>
      </c>
      <c r="C336" s="36" t="s">
        <v>420</v>
      </c>
      <c r="D336" s="126" t="s">
        <v>141</v>
      </c>
      <c r="E336" s="108" t="s">
        <v>228</v>
      </c>
      <c r="F336" s="110">
        <v>35000</v>
      </c>
      <c r="G336" s="82">
        <f t="shared" si="129"/>
        <v>1004.5</v>
      </c>
      <c r="H336" s="82">
        <f t="shared" si="130"/>
        <v>1064</v>
      </c>
      <c r="I336" s="82">
        <v>1597.31</v>
      </c>
      <c r="J336" s="77">
        <f t="shared" si="133"/>
        <v>3665.81</v>
      </c>
      <c r="K336" s="77">
        <f t="shared" si="135"/>
        <v>31334.19</v>
      </c>
      <c r="L336" s="77">
        <f t="shared" si="131"/>
        <v>0</v>
      </c>
      <c r="M336" s="77"/>
      <c r="N336" s="84">
        <v>125</v>
      </c>
      <c r="O336" s="107">
        <f t="shared" si="134"/>
        <v>3790.81</v>
      </c>
      <c r="P336" s="84">
        <f t="shared" si="128"/>
        <v>31209.19</v>
      </c>
      <c r="Q336" s="39"/>
    </row>
    <row r="337" spans="1:17" s="32" customFormat="1" ht="26.25" customHeight="1" x14ac:dyDescent="0.25">
      <c r="A337" s="80">
        <f t="shared" si="132"/>
        <v>187</v>
      </c>
      <c r="B337" s="108" t="s">
        <v>331</v>
      </c>
      <c r="C337" s="36" t="s">
        <v>420</v>
      </c>
      <c r="D337" s="108" t="s">
        <v>141</v>
      </c>
      <c r="E337" s="108" t="s">
        <v>228</v>
      </c>
      <c r="F337" s="110">
        <v>35000</v>
      </c>
      <c r="G337" s="82">
        <f>F337*2.87%</f>
        <v>1004.5</v>
      </c>
      <c r="H337" s="82">
        <f>+F337*3.04%</f>
        <v>1064</v>
      </c>
      <c r="I337" s="82"/>
      <c r="J337" s="77">
        <f t="shared" si="133"/>
        <v>2068.5</v>
      </c>
      <c r="K337" s="77">
        <f t="shared" si="135"/>
        <v>32931.5</v>
      </c>
      <c r="L337" s="77">
        <f t="shared" si="131"/>
        <v>0</v>
      </c>
      <c r="M337" s="77"/>
      <c r="N337" s="84">
        <v>125</v>
      </c>
      <c r="O337" s="107">
        <f t="shared" si="134"/>
        <v>2193.5</v>
      </c>
      <c r="P337" s="84">
        <f t="shared" si="128"/>
        <v>32806.5</v>
      </c>
    </row>
    <row r="338" spans="1:17" s="32" customFormat="1" ht="26.25" customHeight="1" x14ac:dyDescent="0.25">
      <c r="A338" s="80">
        <f t="shared" si="132"/>
        <v>188</v>
      </c>
      <c r="B338" s="108" t="s">
        <v>38</v>
      </c>
      <c r="C338" s="36" t="s">
        <v>420</v>
      </c>
      <c r="D338" s="108" t="s">
        <v>37</v>
      </c>
      <c r="E338" s="108" t="s">
        <v>122</v>
      </c>
      <c r="F338" s="110">
        <v>30000</v>
      </c>
      <c r="G338" s="82">
        <f t="shared" si="129"/>
        <v>861</v>
      </c>
      <c r="H338" s="82">
        <f t="shared" si="130"/>
        <v>912</v>
      </c>
      <c r="I338" s="82"/>
      <c r="J338" s="77">
        <f t="shared" si="133"/>
        <v>1773</v>
      </c>
      <c r="K338" s="77">
        <f t="shared" si="135"/>
        <v>28227</v>
      </c>
      <c r="L338" s="77">
        <f t="shared" si="131"/>
        <v>0</v>
      </c>
      <c r="M338" s="77"/>
      <c r="N338" s="84">
        <v>25</v>
      </c>
      <c r="O338" s="107">
        <f t="shared" si="134"/>
        <v>1798</v>
      </c>
      <c r="P338" s="84">
        <f t="shared" si="128"/>
        <v>28202</v>
      </c>
    </row>
    <row r="339" spans="1:17" s="32" customFormat="1" ht="26.25" customHeight="1" x14ac:dyDescent="0.25">
      <c r="A339" s="80">
        <f t="shared" si="132"/>
        <v>189</v>
      </c>
      <c r="B339" s="108" t="s">
        <v>334</v>
      </c>
      <c r="C339" s="36" t="s">
        <v>420</v>
      </c>
      <c r="D339" s="126" t="s">
        <v>135</v>
      </c>
      <c r="E339" s="81" t="s">
        <v>228</v>
      </c>
      <c r="F339" s="82">
        <v>35000</v>
      </c>
      <c r="G339" s="82">
        <f>F339*2.87%</f>
        <v>1004.5</v>
      </c>
      <c r="H339" s="82">
        <f>+F339*3.04%</f>
        <v>1064</v>
      </c>
      <c r="I339" s="82"/>
      <c r="J339" s="77">
        <f t="shared" si="133"/>
        <v>2068.5</v>
      </c>
      <c r="K339" s="77">
        <f t="shared" si="135"/>
        <v>32931.5</v>
      </c>
      <c r="L339" s="77">
        <f t="shared" si="131"/>
        <v>0</v>
      </c>
      <c r="M339" s="77"/>
      <c r="N339" s="84">
        <v>25</v>
      </c>
      <c r="O339" s="107">
        <f t="shared" si="134"/>
        <v>2093.5</v>
      </c>
      <c r="P339" s="84">
        <f t="shared" si="128"/>
        <v>32906.5</v>
      </c>
    </row>
    <row r="340" spans="1:17" s="32" customFormat="1" ht="26.25" customHeight="1" x14ac:dyDescent="0.25">
      <c r="A340" s="80">
        <f t="shared" si="132"/>
        <v>190</v>
      </c>
      <c r="B340" s="108" t="s">
        <v>474</v>
      </c>
      <c r="C340" s="36" t="s">
        <v>420</v>
      </c>
      <c r="D340" s="126" t="s">
        <v>475</v>
      </c>
      <c r="E340" s="108" t="s">
        <v>228</v>
      </c>
      <c r="F340" s="110">
        <v>35000</v>
      </c>
      <c r="G340" s="110">
        <f t="shared" si="129"/>
        <v>1004.5</v>
      </c>
      <c r="H340" s="82">
        <f t="shared" si="130"/>
        <v>1064</v>
      </c>
      <c r="I340" s="82">
        <v>1597.31</v>
      </c>
      <c r="J340" s="77">
        <f t="shared" si="133"/>
        <v>3665.81</v>
      </c>
      <c r="K340" s="77">
        <f t="shared" si="135"/>
        <v>31334.19</v>
      </c>
      <c r="L340" s="77">
        <f t="shared" si="131"/>
        <v>0</v>
      </c>
      <c r="M340" s="77"/>
      <c r="N340" s="84">
        <v>3963.92</v>
      </c>
      <c r="O340" s="107">
        <f t="shared" si="134"/>
        <v>7629.73</v>
      </c>
      <c r="P340" s="84">
        <f t="shared" si="128"/>
        <v>27370.27</v>
      </c>
    </row>
    <row r="341" spans="1:17" s="32" customFormat="1" ht="26.25" customHeight="1" x14ac:dyDescent="0.25">
      <c r="A341" s="80">
        <f t="shared" si="132"/>
        <v>191</v>
      </c>
      <c r="B341" s="108" t="s">
        <v>337</v>
      </c>
      <c r="C341" s="36" t="s">
        <v>420</v>
      </c>
      <c r="D341" s="108" t="s">
        <v>98</v>
      </c>
      <c r="E341" s="108" t="s">
        <v>122</v>
      </c>
      <c r="F341" s="110">
        <v>28000</v>
      </c>
      <c r="G341" s="110">
        <f t="shared" si="129"/>
        <v>803.6</v>
      </c>
      <c r="H341" s="82">
        <f t="shared" si="130"/>
        <v>851.2</v>
      </c>
      <c r="I341" s="82"/>
      <c r="J341" s="77">
        <f t="shared" si="133"/>
        <v>1654.8000000000002</v>
      </c>
      <c r="K341" s="77">
        <f t="shared" si="135"/>
        <v>26345.200000000001</v>
      </c>
      <c r="L341" s="77">
        <f t="shared" si="131"/>
        <v>0</v>
      </c>
      <c r="M341" s="77"/>
      <c r="N341" s="84">
        <v>65</v>
      </c>
      <c r="O341" s="107">
        <f t="shared" si="134"/>
        <v>1719.8000000000002</v>
      </c>
      <c r="P341" s="84">
        <f t="shared" si="128"/>
        <v>26280.2</v>
      </c>
    </row>
    <row r="342" spans="1:17" s="32" customFormat="1" ht="26.25" customHeight="1" x14ac:dyDescent="0.25">
      <c r="A342" s="80">
        <f t="shared" si="132"/>
        <v>192</v>
      </c>
      <c r="B342" s="108" t="s">
        <v>539</v>
      </c>
      <c r="C342" s="36" t="s">
        <v>420</v>
      </c>
      <c r="D342" s="108" t="s">
        <v>135</v>
      </c>
      <c r="E342" s="108" t="s">
        <v>228</v>
      </c>
      <c r="F342" s="110">
        <v>35000</v>
      </c>
      <c r="G342" s="110">
        <f>F342*2.87%</f>
        <v>1004.5</v>
      </c>
      <c r="H342" s="82">
        <f t="shared" si="130"/>
        <v>1064</v>
      </c>
      <c r="I342" s="82"/>
      <c r="J342" s="77">
        <f t="shared" si="133"/>
        <v>2068.5</v>
      </c>
      <c r="K342" s="77">
        <f t="shared" si="135"/>
        <v>32931.5</v>
      </c>
      <c r="L342" s="77">
        <f t="shared" si="131"/>
        <v>0</v>
      </c>
      <c r="M342" s="77"/>
      <c r="N342" s="84">
        <v>565</v>
      </c>
      <c r="O342" s="107">
        <f t="shared" si="134"/>
        <v>2633.5</v>
      </c>
      <c r="P342" s="84">
        <f t="shared" si="128"/>
        <v>32366.5</v>
      </c>
    </row>
    <row r="343" spans="1:17" s="32" customFormat="1" ht="26.25" customHeight="1" x14ac:dyDescent="0.25">
      <c r="A343" s="80">
        <f t="shared" si="132"/>
        <v>193</v>
      </c>
      <c r="B343" s="108" t="s">
        <v>597</v>
      </c>
      <c r="C343" s="36" t="s">
        <v>420</v>
      </c>
      <c r="D343" s="108" t="s">
        <v>135</v>
      </c>
      <c r="E343" s="108" t="s">
        <v>228</v>
      </c>
      <c r="F343" s="110">
        <v>35000</v>
      </c>
      <c r="G343" s="110">
        <f>F343*2.87%</f>
        <v>1004.5</v>
      </c>
      <c r="H343" s="82">
        <f t="shared" si="130"/>
        <v>1064</v>
      </c>
      <c r="I343" s="82"/>
      <c r="J343" s="77">
        <f t="shared" si="133"/>
        <v>2068.5</v>
      </c>
      <c r="K343" s="77">
        <f t="shared" si="135"/>
        <v>32931.5</v>
      </c>
      <c r="L343" s="77">
        <f t="shared" si="131"/>
        <v>0</v>
      </c>
      <c r="M343" s="77"/>
      <c r="N343" s="84">
        <v>525</v>
      </c>
      <c r="O343" s="107">
        <f t="shared" si="134"/>
        <v>2593.5</v>
      </c>
      <c r="P343" s="84">
        <f t="shared" si="128"/>
        <v>32406.5</v>
      </c>
    </row>
    <row r="344" spans="1:17" s="39" customFormat="1" ht="30" customHeight="1" x14ac:dyDescent="0.25">
      <c r="A344" s="80">
        <f>+A343+1</f>
        <v>194</v>
      </c>
      <c r="B344" s="108" t="s">
        <v>664</v>
      </c>
      <c r="C344" s="36" t="s">
        <v>421</v>
      </c>
      <c r="D344" s="108" t="s">
        <v>22</v>
      </c>
      <c r="E344" s="170" t="s">
        <v>228</v>
      </c>
      <c r="F344" s="110">
        <v>30000</v>
      </c>
      <c r="G344" s="82">
        <f>F344*2.87%</f>
        <v>861</v>
      </c>
      <c r="H344" s="82">
        <f>+F344*3.04%</f>
        <v>912</v>
      </c>
      <c r="I344" s="82"/>
      <c r="J344" s="77">
        <f>+G344+H344+I344</f>
        <v>1773</v>
      </c>
      <c r="K344" s="77">
        <f t="shared" ref="K344" si="136">+F344-J344</f>
        <v>28227</v>
      </c>
      <c r="L344" s="77"/>
      <c r="M344" s="77"/>
      <c r="N344" s="82">
        <v>2265</v>
      </c>
      <c r="O344" s="107">
        <f>+N344+I344+H344+G344+L344</f>
        <v>4038</v>
      </c>
      <c r="P344" s="77">
        <f>+F344-O344</f>
        <v>25962</v>
      </c>
    </row>
    <row r="345" spans="1:17" s="32" customFormat="1" ht="26.25" customHeight="1" x14ac:dyDescent="0.25">
      <c r="A345" s="157">
        <f>+A344+1</f>
        <v>195</v>
      </c>
      <c r="B345" s="113" t="s">
        <v>721</v>
      </c>
      <c r="C345" s="36" t="s">
        <v>420</v>
      </c>
      <c r="D345" s="108" t="s">
        <v>135</v>
      </c>
      <c r="E345" s="108" t="s">
        <v>228</v>
      </c>
      <c r="F345" s="110">
        <v>25000</v>
      </c>
      <c r="G345" s="110">
        <f>F345*2.87%</f>
        <v>717.5</v>
      </c>
      <c r="H345" s="82">
        <f t="shared" si="130"/>
        <v>760</v>
      </c>
      <c r="I345" s="82"/>
      <c r="J345" s="77">
        <f t="shared" si="133"/>
        <v>1477.5</v>
      </c>
      <c r="K345" s="77">
        <f t="shared" si="135"/>
        <v>23522.5</v>
      </c>
      <c r="L345" s="77">
        <f>+IF(K345*12&lt;=416220.01,0,IF(K345*12&lt;=624329.01,(((K345*12-416220.01)*0.15)/12),IF((K345*12&lt;=867123.01),(31216+0.2*(K345*12-624329.01))/12,((79776+0.25*(K345*12-867123.01))/12))))-M345</f>
        <v>0</v>
      </c>
      <c r="M345" s="77"/>
      <c r="N345" s="84">
        <v>25</v>
      </c>
      <c r="O345" s="107">
        <f t="shared" ref="O345" si="137">+N345+I345+H345+G345+L345</f>
        <v>1502.5</v>
      </c>
      <c r="P345" s="84">
        <f t="shared" ref="P345" si="138">+F345-O345</f>
        <v>23497.5</v>
      </c>
    </row>
    <row r="346" spans="1:17" s="39" customFormat="1" ht="30" customHeight="1" x14ac:dyDescent="0.25">
      <c r="A346" s="206" t="s">
        <v>125</v>
      </c>
      <c r="B346" s="207"/>
      <c r="C346" s="207"/>
      <c r="D346" s="207"/>
      <c r="E346" s="208"/>
      <c r="F346" s="37">
        <f>SUM(F326:F345)</f>
        <v>713000</v>
      </c>
      <c r="G346" s="37">
        <f t="shared" ref="G346:P346" si="139">SUM(G326:G345)</f>
        <v>20463.099999999999</v>
      </c>
      <c r="H346" s="37">
        <f t="shared" si="139"/>
        <v>21675.200000000001</v>
      </c>
      <c r="I346" s="37">
        <f t="shared" si="139"/>
        <v>4791.93</v>
      </c>
      <c r="J346" s="37">
        <f t="shared" si="139"/>
        <v>46930.23</v>
      </c>
      <c r="K346" s="37">
        <f t="shared" si="139"/>
        <v>666069.77</v>
      </c>
      <c r="L346" s="37">
        <f t="shared" si="139"/>
        <v>5119.3497499999994</v>
      </c>
      <c r="M346" s="37">
        <f t="shared" si="139"/>
        <v>0</v>
      </c>
      <c r="N346" s="37">
        <f t="shared" si="139"/>
        <v>15159.779999999999</v>
      </c>
      <c r="O346" s="37">
        <f t="shared" si="139"/>
        <v>67209.359750000003</v>
      </c>
      <c r="P346" s="37">
        <f t="shared" si="139"/>
        <v>645790.64025000005</v>
      </c>
    </row>
    <row r="347" spans="1:17" s="53" customFormat="1" ht="30" customHeight="1" thickBot="1" x14ac:dyDescent="0.3">
      <c r="A347" s="50"/>
      <c r="B347" s="50"/>
      <c r="C347" s="50"/>
      <c r="D347" s="50"/>
      <c r="E347" s="50"/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39"/>
    </row>
    <row r="348" spans="1:17" s="53" customFormat="1" ht="30" customHeight="1" thickBot="1" x14ac:dyDescent="0.3">
      <c r="A348" s="209" t="s">
        <v>446</v>
      </c>
      <c r="B348" s="210"/>
      <c r="C348" s="210"/>
      <c r="D348" s="210"/>
      <c r="E348" s="210"/>
      <c r="F348" s="210"/>
      <c r="G348" s="210"/>
      <c r="H348" s="210"/>
      <c r="I348" s="210"/>
      <c r="J348" s="210"/>
      <c r="K348" s="210"/>
      <c r="L348" s="210"/>
      <c r="M348" s="210"/>
      <c r="N348" s="210"/>
      <c r="O348" s="210"/>
      <c r="P348" s="210"/>
      <c r="Q348" s="39"/>
    </row>
    <row r="349" spans="1:17" s="53" customFormat="1" ht="30" customHeight="1" x14ac:dyDescent="0.25">
      <c r="A349" s="75">
        <f>+A345+1</f>
        <v>196</v>
      </c>
      <c r="B349" s="108" t="s">
        <v>401</v>
      </c>
      <c r="C349" s="36" t="s">
        <v>421</v>
      </c>
      <c r="D349" s="108" t="s">
        <v>225</v>
      </c>
      <c r="E349" s="108" t="s">
        <v>122</v>
      </c>
      <c r="F349" s="110">
        <v>70000</v>
      </c>
      <c r="G349" s="82">
        <f t="shared" ref="G349" si="140">F349*2.87%</f>
        <v>2009</v>
      </c>
      <c r="H349" s="82">
        <f t="shared" ref="H349" si="141">+F349*3.04%</f>
        <v>2128</v>
      </c>
      <c r="I349" s="82">
        <v>1597.31</v>
      </c>
      <c r="J349" s="77">
        <f t="shared" si="133"/>
        <v>5734.3099999999995</v>
      </c>
      <c r="K349" s="77">
        <f t="shared" si="135"/>
        <v>64265.69</v>
      </c>
      <c r="L349" s="77">
        <f>+IF(K349*12&lt;=416220.01,0,IF(K349*12&lt;=624329.01,(((K349*12-416220.01)*0.15)/12),IF((K349*12&lt;=867123.01),(31216+0.2*(K349*12-624329.01))/12,((79776+0.25*(K349*12-867123.01))/12))))-M349</f>
        <v>5048.9878333333336</v>
      </c>
      <c r="M349" s="77"/>
      <c r="N349" s="84">
        <v>25</v>
      </c>
      <c r="O349" s="107">
        <f>+N349+I349+H349+G349+L349</f>
        <v>10808.297833333334</v>
      </c>
      <c r="P349" s="84">
        <f>+F349-O349</f>
        <v>59191.70216666667</v>
      </c>
      <c r="Q349" s="39"/>
    </row>
    <row r="350" spans="1:17" s="53" customFormat="1" ht="30" customHeight="1" x14ac:dyDescent="0.25">
      <c r="A350" s="75">
        <f>+A349+1</f>
        <v>197</v>
      </c>
      <c r="B350" s="108" t="s">
        <v>665</v>
      </c>
      <c r="C350" s="36" t="s">
        <v>420</v>
      </c>
      <c r="D350" s="108" t="s">
        <v>666</v>
      </c>
      <c r="E350" s="108" t="s">
        <v>197</v>
      </c>
      <c r="F350" s="110">
        <v>35000</v>
      </c>
      <c r="G350" s="82">
        <f t="shared" ref="G350" si="142">F350*2.87%</f>
        <v>1004.5</v>
      </c>
      <c r="H350" s="82">
        <f t="shared" ref="H350" si="143">+F350*3.04%</f>
        <v>1064</v>
      </c>
      <c r="I350" s="82"/>
      <c r="J350" s="77">
        <f t="shared" si="133"/>
        <v>2068.5</v>
      </c>
      <c r="K350" s="77">
        <f t="shared" si="135"/>
        <v>32931.5</v>
      </c>
      <c r="L350" s="77">
        <f>+IF(K350*12&lt;=416220.01,0,IF(K350*12&lt;=624329.01,(((K350*12-416220.01)*0.15)/12),IF((K350*12&lt;=867123.01),(31216+0.2*(K350*12-624329.01))/12,((79776+0.25*(K350*12-867123.01))/12))))-M350</f>
        <v>0</v>
      </c>
      <c r="M350" s="77"/>
      <c r="N350" s="84">
        <v>25</v>
      </c>
      <c r="O350" s="107">
        <f>+N350+I350+H350+G350+L350</f>
        <v>2093.5</v>
      </c>
      <c r="P350" s="84">
        <f>+F350-O350</f>
        <v>32906.5</v>
      </c>
      <c r="Q350" s="39"/>
    </row>
    <row r="351" spans="1:17" s="39" customFormat="1" ht="22.5" customHeight="1" x14ac:dyDescent="0.25">
      <c r="A351" s="206" t="s">
        <v>125</v>
      </c>
      <c r="B351" s="207"/>
      <c r="C351" s="207"/>
      <c r="D351" s="207"/>
      <c r="E351" s="208"/>
      <c r="F351" s="37">
        <f>SUM(F349:F350)</f>
        <v>105000</v>
      </c>
      <c r="G351" s="37">
        <f t="shared" ref="G351:P351" si="144">SUM(G349:G350)</f>
        <v>3013.5</v>
      </c>
      <c r="H351" s="37">
        <f t="shared" si="144"/>
        <v>3192</v>
      </c>
      <c r="I351" s="37">
        <f t="shared" si="144"/>
        <v>1597.31</v>
      </c>
      <c r="J351" s="37">
        <f t="shared" si="144"/>
        <v>7802.8099999999995</v>
      </c>
      <c r="K351" s="37">
        <f t="shared" si="144"/>
        <v>97197.19</v>
      </c>
      <c r="L351" s="37">
        <f t="shared" si="144"/>
        <v>5048.9878333333336</v>
      </c>
      <c r="M351" s="37">
        <f t="shared" si="144"/>
        <v>0</v>
      </c>
      <c r="N351" s="37">
        <f t="shared" si="144"/>
        <v>50</v>
      </c>
      <c r="O351" s="37">
        <f t="shared" si="144"/>
        <v>12901.797833333334</v>
      </c>
      <c r="P351" s="37">
        <f t="shared" si="144"/>
        <v>92098.20216666667</v>
      </c>
    </row>
    <row r="352" spans="1:17" s="39" customFormat="1" ht="17.25" customHeight="1" thickBot="1" x14ac:dyDescent="0.3">
      <c r="A352" s="50"/>
      <c r="B352" s="50"/>
      <c r="C352" s="50"/>
      <c r="D352" s="50"/>
      <c r="E352" s="50"/>
      <c r="F352" s="79"/>
      <c r="G352" s="79"/>
      <c r="H352" s="79"/>
      <c r="I352" s="79"/>
      <c r="J352" s="79"/>
      <c r="K352" s="79"/>
      <c r="L352" s="79"/>
      <c r="M352" s="79"/>
      <c r="N352" s="79"/>
      <c r="O352" s="79"/>
      <c r="P352" s="79"/>
    </row>
    <row r="353" spans="1:17" s="53" customFormat="1" ht="27.75" customHeight="1" thickBot="1" x14ac:dyDescent="0.3">
      <c r="A353" s="209" t="s">
        <v>338</v>
      </c>
      <c r="B353" s="210"/>
      <c r="C353" s="210"/>
      <c r="D353" s="210"/>
      <c r="E353" s="210"/>
      <c r="F353" s="210"/>
      <c r="G353" s="210"/>
      <c r="H353" s="210"/>
      <c r="I353" s="210"/>
      <c r="J353" s="210"/>
      <c r="K353" s="210"/>
      <c r="L353" s="210"/>
      <c r="M353" s="210"/>
      <c r="N353" s="210"/>
      <c r="O353" s="210"/>
      <c r="P353" s="210"/>
      <c r="Q353" s="39"/>
    </row>
    <row r="354" spans="1:17" s="39" customFormat="1" ht="23.25" customHeight="1" x14ac:dyDescent="0.25">
      <c r="A354" s="75">
        <f>+A350+1</f>
        <v>198</v>
      </c>
      <c r="B354" s="112" t="s">
        <v>339</v>
      </c>
      <c r="C354" s="122" t="s">
        <v>421</v>
      </c>
      <c r="D354" s="112" t="s">
        <v>340</v>
      </c>
      <c r="E354" s="108" t="s">
        <v>121</v>
      </c>
      <c r="F354" s="107">
        <v>135000</v>
      </c>
      <c r="G354" s="77">
        <f>F354*2.87%</f>
        <v>3874.5</v>
      </c>
      <c r="H354" s="77">
        <f>+F354*3.04%</f>
        <v>4104</v>
      </c>
      <c r="I354" s="77"/>
      <c r="J354" s="77">
        <f t="shared" si="133"/>
        <v>7978.5</v>
      </c>
      <c r="K354" s="77">
        <f t="shared" si="135"/>
        <v>127021.5</v>
      </c>
      <c r="L354" s="77">
        <f>+IF(K354*12&lt;=416220.01,0,IF(K354*12&lt;=624329.01,(((K354*12-416220.01)*0.15)/12),IF((K354*12&lt;=867123.01),(31216+0.2*(K354*12-624329.01))/12,((79776+0.25*(K354*12-867123.01))/12))))-M354</f>
        <v>20338.312291666665</v>
      </c>
      <c r="M354" s="77"/>
      <c r="N354" s="84">
        <v>125</v>
      </c>
      <c r="O354" s="107">
        <f t="shared" si="134"/>
        <v>28441.812291666665</v>
      </c>
      <c r="P354" s="84">
        <f>+F354-O354</f>
        <v>106558.18770833334</v>
      </c>
    </row>
    <row r="355" spans="1:17" s="39" customFormat="1" ht="24.95" customHeight="1" x14ac:dyDescent="0.25">
      <c r="A355" s="206" t="s">
        <v>125</v>
      </c>
      <c r="B355" s="207"/>
      <c r="C355" s="207"/>
      <c r="D355" s="207"/>
      <c r="E355" s="208"/>
      <c r="F355" s="37">
        <f>SUM(F354:F354)</f>
        <v>135000</v>
      </c>
      <c r="G355" s="37">
        <f t="shared" ref="G355:P355" si="145">SUM(G354:G354)</f>
        <v>3874.5</v>
      </c>
      <c r="H355" s="37">
        <f t="shared" si="145"/>
        <v>4104</v>
      </c>
      <c r="I355" s="37">
        <f t="shared" si="145"/>
        <v>0</v>
      </c>
      <c r="J355" s="37">
        <f t="shared" si="145"/>
        <v>7978.5</v>
      </c>
      <c r="K355" s="37">
        <f t="shared" si="145"/>
        <v>127021.5</v>
      </c>
      <c r="L355" s="37">
        <f t="shared" si="145"/>
        <v>20338.312291666665</v>
      </c>
      <c r="M355" s="37">
        <f t="shared" si="145"/>
        <v>0</v>
      </c>
      <c r="N355" s="37">
        <f t="shared" si="145"/>
        <v>125</v>
      </c>
      <c r="O355" s="37">
        <f t="shared" si="145"/>
        <v>28441.812291666665</v>
      </c>
      <c r="P355" s="37">
        <f t="shared" si="145"/>
        <v>106558.18770833334</v>
      </c>
    </row>
    <row r="356" spans="1:17" s="53" customFormat="1" ht="30" customHeight="1" thickBot="1" x14ac:dyDescent="0.3">
      <c r="A356" s="50"/>
      <c r="B356" s="50"/>
      <c r="C356" s="50"/>
      <c r="D356" s="50"/>
      <c r="E356" s="5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39"/>
    </row>
    <row r="357" spans="1:17" s="53" customFormat="1" ht="30" customHeight="1" thickBot="1" x14ac:dyDescent="0.3">
      <c r="A357" s="209" t="s">
        <v>206</v>
      </c>
      <c r="B357" s="210"/>
      <c r="C357" s="210"/>
      <c r="D357" s="210"/>
      <c r="E357" s="210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39"/>
    </row>
    <row r="358" spans="1:17" s="39" customFormat="1" ht="22.5" customHeight="1" x14ac:dyDescent="0.25">
      <c r="A358" s="80">
        <f>+A354+1</f>
        <v>199</v>
      </c>
      <c r="B358" s="108" t="s">
        <v>341</v>
      </c>
      <c r="C358" s="36" t="s">
        <v>420</v>
      </c>
      <c r="D358" s="108" t="s">
        <v>22</v>
      </c>
      <c r="E358" s="108" t="s">
        <v>122</v>
      </c>
      <c r="F358" s="110">
        <v>40000</v>
      </c>
      <c r="G358" s="110">
        <f>F358*2.87%</f>
        <v>1148</v>
      </c>
      <c r="H358" s="82">
        <f>+F358*3.04%</f>
        <v>1216</v>
      </c>
      <c r="I358" s="82">
        <v>1597.31</v>
      </c>
      <c r="J358" s="77">
        <f t="shared" si="133"/>
        <v>3961.31</v>
      </c>
      <c r="K358" s="77">
        <f t="shared" si="135"/>
        <v>36038.69</v>
      </c>
      <c r="L358" s="77">
        <f>+IF(K358*12&lt;=416220.01,0,IF(K358*12&lt;=624329.01,(((K358*12-416220.01)*0.15)/12),IF((K358*12&lt;=867123.01),(31216+0.2*(K358*12-624329.01))/12,((79776+0.25*(K358*12-867123.01))/12))))-M358</f>
        <v>203.05337500000022</v>
      </c>
      <c r="M358" s="77"/>
      <c r="N358" s="84">
        <v>125</v>
      </c>
      <c r="O358" s="107">
        <f t="shared" si="134"/>
        <v>4289.3633749999999</v>
      </c>
      <c r="P358" s="84">
        <f>+F358-O358</f>
        <v>35710.636624999999</v>
      </c>
    </row>
    <row r="359" spans="1:17" s="39" customFormat="1" ht="22.5" customHeight="1" x14ac:dyDescent="0.25">
      <c r="A359" s="206" t="s">
        <v>125</v>
      </c>
      <c r="B359" s="207"/>
      <c r="C359" s="207"/>
      <c r="D359" s="207"/>
      <c r="E359" s="208"/>
      <c r="F359" s="37">
        <f>SUM(F358:F358)</f>
        <v>40000</v>
      </c>
      <c r="G359" s="37">
        <f t="shared" ref="G359:P359" si="146">SUM(G358:G358)</f>
        <v>1148</v>
      </c>
      <c r="H359" s="37">
        <f t="shared" si="146"/>
        <v>1216</v>
      </c>
      <c r="I359" s="37">
        <f t="shared" si="146"/>
        <v>1597.31</v>
      </c>
      <c r="J359" s="37">
        <f t="shared" si="146"/>
        <v>3961.31</v>
      </c>
      <c r="K359" s="37">
        <f t="shared" si="146"/>
        <v>36038.69</v>
      </c>
      <c r="L359" s="37">
        <f t="shared" si="146"/>
        <v>203.05337500000022</v>
      </c>
      <c r="M359" s="37">
        <f t="shared" si="146"/>
        <v>0</v>
      </c>
      <c r="N359" s="37">
        <f t="shared" si="146"/>
        <v>125</v>
      </c>
      <c r="O359" s="37">
        <f t="shared" si="146"/>
        <v>4289.3633749999999</v>
      </c>
      <c r="P359" s="37">
        <f t="shared" si="146"/>
        <v>35710.636624999999</v>
      </c>
    </row>
    <row r="360" spans="1:17" s="39" customFormat="1" ht="22.5" customHeight="1" thickBot="1" x14ac:dyDescent="0.3">
      <c r="A360" s="50"/>
      <c r="B360" s="50"/>
      <c r="C360" s="50"/>
      <c r="D360" s="50"/>
      <c r="E360" s="5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</row>
    <row r="361" spans="1:17" s="39" customFormat="1" ht="29.25" customHeight="1" thickBot="1" x14ac:dyDescent="0.3">
      <c r="A361" s="209" t="s">
        <v>207</v>
      </c>
      <c r="B361" s="210"/>
      <c r="C361" s="210"/>
      <c r="D361" s="210"/>
      <c r="E361" s="210"/>
      <c r="F361" s="210"/>
      <c r="G361" s="210"/>
      <c r="H361" s="210"/>
      <c r="I361" s="210"/>
      <c r="J361" s="210"/>
      <c r="K361" s="210"/>
      <c r="L361" s="210"/>
      <c r="M361" s="210"/>
      <c r="N361" s="210"/>
      <c r="O361" s="210"/>
      <c r="P361" s="210"/>
    </row>
    <row r="362" spans="1:17" s="39" customFormat="1" ht="29.25" customHeight="1" x14ac:dyDescent="0.25">
      <c r="A362" s="80">
        <f>+A358+1</f>
        <v>200</v>
      </c>
      <c r="B362" s="108" t="s">
        <v>84</v>
      </c>
      <c r="C362" s="36" t="s">
        <v>420</v>
      </c>
      <c r="D362" s="108" t="s">
        <v>105</v>
      </c>
      <c r="E362" s="108" t="s">
        <v>121</v>
      </c>
      <c r="F362" s="110">
        <v>60000</v>
      </c>
      <c r="G362" s="82">
        <f>F362*2.87%</f>
        <v>1722</v>
      </c>
      <c r="H362" s="82">
        <f>+F362*3.04%</f>
        <v>1824</v>
      </c>
      <c r="I362" s="82">
        <v>1597.31</v>
      </c>
      <c r="J362" s="77">
        <f t="shared" si="133"/>
        <v>5143.3099999999995</v>
      </c>
      <c r="K362" s="77">
        <f t="shared" si="135"/>
        <v>54856.69</v>
      </c>
      <c r="L362" s="77">
        <f>+IF(K362*12&lt;=416220.01,0,IF(K362*12&lt;=624329.01,(((K362*12-416220.01)*0.15)/12),IF((K362*12&lt;=867123.01),(31216+0.2*(K362*12-624329.01))/12,((79776+0.25*(K362*12-867123.01))/12))))-M362</f>
        <v>3167.1878333333334</v>
      </c>
      <c r="M362" s="77"/>
      <c r="N362" s="84">
        <v>25</v>
      </c>
      <c r="O362" s="107">
        <f t="shared" si="134"/>
        <v>8335.4978333333329</v>
      </c>
      <c r="P362" s="84">
        <f>+F362-O362</f>
        <v>51664.502166666665</v>
      </c>
    </row>
    <row r="363" spans="1:17" s="39" customFormat="1" ht="30" customHeight="1" x14ac:dyDescent="0.25">
      <c r="A363" s="206" t="s">
        <v>125</v>
      </c>
      <c r="B363" s="207"/>
      <c r="C363" s="207"/>
      <c r="D363" s="207"/>
      <c r="E363" s="208"/>
      <c r="F363" s="37">
        <f>SUM(F362:F362)</f>
        <v>60000</v>
      </c>
      <c r="G363" s="37">
        <f t="shared" ref="G363:P363" si="147">SUM(G362:G362)</f>
        <v>1722</v>
      </c>
      <c r="H363" s="37">
        <f t="shared" si="147"/>
        <v>1824</v>
      </c>
      <c r="I363" s="37">
        <f t="shared" si="147"/>
        <v>1597.31</v>
      </c>
      <c r="J363" s="37">
        <f t="shared" si="147"/>
        <v>5143.3099999999995</v>
      </c>
      <c r="K363" s="37">
        <f t="shared" si="147"/>
        <v>54856.69</v>
      </c>
      <c r="L363" s="37">
        <f t="shared" si="147"/>
        <v>3167.1878333333334</v>
      </c>
      <c r="M363" s="37">
        <f t="shared" si="147"/>
        <v>0</v>
      </c>
      <c r="N363" s="37">
        <f t="shared" si="147"/>
        <v>25</v>
      </c>
      <c r="O363" s="37">
        <f t="shared" si="147"/>
        <v>8335.4978333333329</v>
      </c>
      <c r="P363" s="37">
        <f t="shared" si="147"/>
        <v>51664.502166666665</v>
      </c>
    </row>
    <row r="364" spans="1:17" s="39" customFormat="1" ht="27.75" customHeight="1" thickBot="1" x14ac:dyDescent="0.3">
      <c r="A364" s="50"/>
      <c r="B364" s="50"/>
      <c r="C364" s="50"/>
      <c r="D364" s="50"/>
      <c r="E364" s="50"/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</row>
    <row r="365" spans="1:17" s="39" customFormat="1" ht="27.75" customHeight="1" thickBot="1" x14ac:dyDescent="0.3">
      <c r="A365" s="209" t="s">
        <v>342</v>
      </c>
      <c r="B365" s="210"/>
      <c r="C365" s="210"/>
      <c r="D365" s="210"/>
      <c r="E365" s="210"/>
      <c r="F365" s="210"/>
      <c r="G365" s="210"/>
      <c r="H365" s="210"/>
      <c r="I365" s="210"/>
      <c r="J365" s="210"/>
      <c r="K365" s="210"/>
      <c r="L365" s="210"/>
      <c r="M365" s="210"/>
      <c r="N365" s="210"/>
      <c r="O365" s="210"/>
      <c r="P365" s="210"/>
    </row>
    <row r="366" spans="1:17" s="53" customFormat="1" ht="30" customHeight="1" x14ac:dyDescent="0.25">
      <c r="A366" s="80">
        <f>+A362+1</f>
        <v>201</v>
      </c>
      <c r="B366" s="108" t="s">
        <v>423</v>
      </c>
      <c r="C366" s="36" t="s">
        <v>420</v>
      </c>
      <c r="D366" s="113" t="s">
        <v>343</v>
      </c>
      <c r="E366" s="108" t="s">
        <v>228</v>
      </c>
      <c r="F366" s="110">
        <v>35000</v>
      </c>
      <c r="G366" s="82">
        <f>F366*2.87%</f>
        <v>1004.5</v>
      </c>
      <c r="H366" s="82">
        <f>+F366*3.04%</f>
        <v>1064</v>
      </c>
      <c r="I366" s="82"/>
      <c r="J366" s="77">
        <f t="shared" si="133"/>
        <v>2068.5</v>
      </c>
      <c r="K366" s="77">
        <f t="shared" si="135"/>
        <v>32931.5</v>
      </c>
      <c r="L366" s="77">
        <f t="shared" ref="L366:L373" si="148">+IF(K366*12&lt;=416220.01,0,IF(K366*12&lt;=624329.01,(((K366*12-416220.01)*0.15)/12),IF((K366*12&lt;=867123.01),(31216+0.2*(K366*12-624329.01))/12,((79776+0.25*(K366*12-867123.01))/12))))</f>
        <v>0</v>
      </c>
      <c r="M366" s="77"/>
      <c r="N366" s="84">
        <v>25</v>
      </c>
      <c r="O366" s="107">
        <f t="shared" si="134"/>
        <v>2093.5</v>
      </c>
      <c r="P366" s="78">
        <f>+F366-O366</f>
        <v>32906.5</v>
      </c>
      <c r="Q366" s="39"/>
    </row>
    <row r="367" spans="1:17" s="39" customFormat="1" ht="30" customHeight="1" x14ac:dyDescent="0.25">
      <c r="A367" s="80">
        <f>+A366+1</f>
        <v>202</v>
      </c>
      <c r="B367" s="108" t="s">
        <v>344</v>
      </c>
      <c r="C367" s="36" t="s">
        <v>420</v>
      </c>
      <c r="D367" s="108" t="s">
        <v>343</v>
      </c>
      <c r="E367" s="108" t="s">
        <v>228</v>
      </c>
      <c r="F367" s="110">
        <v>35000</v>
      </c>
      <c r="G367" s="82">
        <f t="shared" ref="G367:G368" si="149">F367*2.87%</f>
        <v>1004.5</v>
      </c>
      <c r="H367" s="82">
        <f t="shared" ref="H367:H368" si="150">+F367*3.04%</f>
        <v>1064</v>
      </c>
      <c r="I367" s="82"/>
      <c r="J367" s="77">
        <f t="shared" si="133"/>
        <v>2068.5</v>
      </c>
      <c r="K367" s="77">
        <f t="shared" si="135"/>
        <v>32931.5</v>
      </c>
      <c r="L367" s="77">
        <f t="shared" si="148"/>
        <v>0</v>
      </c>
      <c r="M367" s="77"/>
      <c r="N367" s="84">
        <v>7277.06</v>
      </c>
      <c r="O367" s="107">
        <f t="shared" si="134"/>
        <v>9345.5600000000013</v>
      </c>
      <c r="P367" s="84">
        <f>+F367-O367</f>
        <v>25654.44</v>
      </c>
    </row>
    <row r="368" spans="1:17" s="39" customFormat="1" ht="30" customHeight="1" x14ac:dyDescent="0.25">
      <c r="A368" s="80">
        <f>+A367+1</f>
        <v>203</v>
      </c>
      <c r="B368" s="108" t="s">
        <v>345</v>
      </c>
      <c r="C368" s="36" t="s">
        <v>420</v>
      </c>
      <c r="D368" s="108" t="s">
        <v>343</v>
      </c>
      <c r="E368" s="108" t="s">
        <v>228</v>
      </c>
      <c r="F368" s="110">
        <v>35000</v>
      </c>
      <c r="G368" s="82">
        <f t="shared" si="149"/>
        <v>1004.5</v>
      </c>
      <c r="H368" s="82">
        <f t="shared" si="150"/>
        <v>1064</v>
      </c>
      <c r="I368" s="82"/>
      <c r="J368" s="77">
        <f t="shared" si="133"/>
        <v>2068.5</v>
      </c>
      <c r="K368" s="77">
        <f t="shared" si="135"/>
        <v>32931.5</v>
      </c>
      <c r="L368" s="77">
        <f t="shared" si="148"/>
        <v>0</v>
      </c>
      <c r="M368" s="77"/>
      <c r="N368" s="84">
        <v>1025</v>
      </c>
      <c r="O368" s="107">
        <f t="shared" si="134"/>
        <v>3093.5</v>
      </c>
      <c r="P368" s="84">
        <f>+F368-O368</f>
        <v>31906.5</v>
      </c>
    </row>
    <row r="369" spans="1:17" s="39" customFormat="1" ht="27.75" customHeight="1" x14ac:dyDescent="0.25">
      <c r="A369" s="206" t="s">
        <v>125</v>
      </c>
      <c r="B369" s="207"/>
      <c r="C369" s="207"/>
      <c r="D369" s="207"/>
      <c r="E369" s="208"/>
      <c r="F369" s="37">
        <f>SUM(F366:F368)</f>
        <v>105000</v>
      </c>
      <c r="G369" s="37">
        <f t="shared" ref="G369:P369" si="151">SUM(G366:G368)</f>
        <v>3013.5</v>
      </c>
      <c r="H369" s="37">
        <f t="shared" si="151"/>
        <v>3192</v>
      </c>
      <c r="I369" s="37">
        <f t="shared" si="151"/>
        <v>0</v>
      </c>
      <c r="J369" s="37">
        <f t="shared" si="151"/>
        <v>6205.5</v>
      </c>
      <c r="K369" s="37">
        <f t="shared" si="151"/>
        <v>98794.5</v>
      </c>
      <c r="L369" s="37">
        <f t="shared" si="151"/>
        <v>0</v>
      </c>
      <c r="M369" s="37">
        <f t="shared" si="151"/>
        <v>0</v>
      </c>
      <c r="N369" s="37">
        <f t="shared" si="151"/>
        <v>8327.0600000000013</v>
      </c>
      <c r="O369" s="37">
        <f t="shared" si="151"/>
        <v>14532.560000000001</v>
      </c>
      <c r="P369" s="37">
        <f t="shared" si="151"/>
        <v>90467.44</v>
      </c>
    </row>
    <row r="370" spans="1:17" s="39" customFormat="1" ht="30" customHeight="1" thickBot="1" x14ac:dyDescent="0.3">
      <c r="A370" s="50"/>
      <c r="B370" s="50"/>
      <c r="C370" s="50"/>
      <c r="D370" s="50"/>
      <c r="E370" s="50"/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</row>
    <row r="371" spans="1:17" s="79" customFormat="1" ht="30" customHeight="1" thickBot="1" x14ac:dyDescent="0.3">
      <c r="A371" s="209" t="s">
        <v>209</v>
      </c>
      <c r="B371" s="210"/>
      <c r="C371" s="210"/>
      <c r="D371" s="210"/>
      <c r="E371" s="210"/>
      <c r="F371" s="210"/>
      <c r="G371" s="210"/>
      <c r="H371" s="210"/>
      <c r="I371" s="210"/>
      <c r="J371" s="210"/>
      <c r="K371" s="210"/>
      <c r="L371" s="210"/>
      <c r="M371" s="210"/>
      <c r="N371" s="210"/>
      <c r="O371" s="210"/>
      <c r="P371" s="210"/>
      <c r="Q371" s="32"/>
    </row>
    <row r="372" spans="1:17" s="79" customFormat="1" ht="30" customHeight="1" x14ac:dyDescent="0.25">
      <c r="A372" s="80">
        <f>+A368+1</f>
        <v>204</v>
      </c>
      <c r="B372" s="81" t="s">
        <v>208</v>
      </c>
      <c r="C372" s="80" t="s">
        <v>420</v>
      </c>
      <c r="D372" s="81" t="s">
        <v>210</v>
      </c>
      <c r="E372" s="81" t="s">
        <v>228</v>
      </c>
      <c r="F372" s="82">
        <v>28000</v>
      </c>
      <c r="G372" s="82">
        <f>F372*2.87%</f>
        <v>803.6</v>
      </c>
      <c r="H372" s="82">
        <f>+F372*3.04%</f>
        <v>851.2</v>
      </c>
      <c r="I372" s="82"/>
      <c r="J372" s="77">
        <f t="shared" si="133"/>
        <v>1654.8000000000002</v>
      </c>
      <c r="K372" s="77">
        <f t="shared" si="135"/>
        <v>26345.200000000001</v>
      </c>
      <c r="L372" s="77">
        <f t="shared" si="148"/>
        <v>0</v>
      </c>
      <c r="M372" s="77"/>
      <c r="N372" s="84">
        <v>25</v>
      </c>
      <c r="O372" s="107">
        <f t="shared" si="134"/>
        <v>1679.8000000000002</v>
      </c>
      <c r="P372" s="84">
        <f>+F372-O372</f>
        <v>26320.2</v>
      </c>
      <c r="Q372" s="32"/>
    </row>
    <row r="373" spans="1:17" s="79" customFormat="1" ht="30" customHeight="1" x14ac:dyDescent="0.25">
      <c r="A373" s="157">
        <f>+A372+1</f>
        <v>205</v>
      </c>
      <c r="B373" s="113" t="s">
        <v>480</v>
      </c>
      <c r="C373" s="36" t="s">
        <v>420</v>
      </c>
      <c r="D373" s="108" t="s">
        <v>210</v>
      </c>
      <c r="E373" s="108" t="s">
        <v>228</v>
      </c>
      <c r="F373" s="110">
        <v>28000</v>
      </c>
      <c r="G373" s="82">
        <f>F373*2.87%</f>
        <v>803.6</v>
      </c>
      <c r="H373" s="82">
        <f>+F373*3.04%</f>
        <v>851.2</v>
      </c>
      <c r="I373" s="82"/>
      <c r="J373" s="77">
        <f t="shared" si="133"/>
        <v>1654.8000000000002</v>
      </c>
      <c r="K373" s="77">
        <f t="shared" si="135"/>
        <v>26345.200000000001</v>
      </c>
      <c r="L373" s="77">
        <f t="shared" si="148"/>
        <v>0</v>
      </c>
      <c r="M373" s="77"/>
      <c r="N373" s="84">
        <v>1025</v>
      </c>
      <c r="O373" s="107">
        <f t="shared" si="134"/>
        <v>2679.8</v>
      </c>
      <c r="P373" s="84">
        <f>+F373-O373</f>
        <v>25320.2</v>
      </c>
      <c r="Q373" s="32"/>
    </row>
    <row r="374" spans="1:17" s="53" customFormat="1" ht="30" customHeight="1" x14ac:dyDescent="0.25">
      <c r="A374" s="206" t="s">
        <v>125</v>
      </c>
      <c r="B374" s="207"/>
      <c r="C374" s="207"/>
      <c r="D374" s="207"/>
      <c r="E374" s="208"/>
      <c r="F374" s="37">
        <f>SUM(F372:F373)</f>
        <v>56000</v>
      </c>
      <c r="G374" s="37">
        <f t="shared" ref="G374:P374" si="152">SUM(G372:G373)</f>
        <v>1607.2</v>
      </c>
      <c r="H374" s="37">
        <f t="shared" si="152"/>
        <v>1702.4</v>
      </c>
      <c r="I374" s="37">
        <f t="shared" si="152"/>
        <v>0</v>
      </c>
      <c r="J374" s="37">
        <f t="shared" si="152"/>
        <v>3309.6000000000004</v>
      </c>
      <c r="K374" s="37">
        <f t="shared" si="152"/>
        <v>52690.400000000001</v>
      </c>
      <c r="L374" s="37">
        <f t="shared" si="152"/>
        <v>0</v>
      </c>
      <c r="M374" s="37">
        <f t="shared" si="152"/>
        <v>0</v>
      </c>
      <c r="N374" s="37">
        <f t="shared" si="152"/>
        <v>1050</v>
      </c>
      <c r="O374" s="37">
        <f t="shared" si="152"/>
        <v>4359.6000000000004</v>
      </c>
      <c r="P374" s="37">
        <f t="shared" si="152"/>
        <v>51640.4</v>
      </c>
      <c r="Q374" s="39"/>
    </row>
    <row r="375" spans="1:17" s="53" customFormat="1" ht="30" customHeight="1" thickBot="1" x14ac:dyDescent="0.3">
      <c r="A375" s="50"/>
      <c r="B375" s="50"/>
      <c r="C375" s="50"/>
      <c r="D375" s="50"/>
      <c r="E375" s="50"/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39"/>
    </row>
    <row r="376" spans="1:17" s="53" customFormat="1" ht="30" customHeight="1" thickBot="1" x14ac:dyDescent="0.3">
      <c r="A376" s="209" t="s">
        <v>177</v>
      </c>
      <c r="B376" s="210"/>
      <c r="C376" s="210"/>
      <c r="D376" s="210"/>
      <c r="E376" s="210"/>
      <c r="F376" s="210"/>
      <c r="G376" s="210"/>
      <c r="H376" s="210"/>
      <c r="I376" s="210"/>
      <c r="J376" s="210"/>
      <c r="K376" s="210"/>
      <c r="L376" s="210"/>
      <c r="M376" s="210"/>
      <c r="N376" s="210"/>
      <c r="O376" s="210"/>
      <c r="P376" s="210"/>
      <c r="Q376" s="39"/>
    </row>
    <row r="377" spans="1:17" s="39" customFormat="1" ht="30" customHeight="1" x14ac:dyDescent="0.25">
      <c r="A377" s="75">
        <f>+A373+1</f>
        <v>206</v>
      </c>
      <c r="B377" s="112" t="s">
        <v>346</v>
      </c>
      <c r="C377" s="122" t="s">
        <v>421</v>
      </c>
      <c r="D377" s="123" t="s">
        <v>108</v>
      </c>
      <c r="E377" s="108" t="s">
        <v>122</v>
      </c>
      <c r="F377" s="107">
        <v>77000</v>
      </c>
      <c r="G377" s="77">
        <f t="shared" ref="G377:G397" si="153">F377*2.87%</f>
        <v>2209.9</v>
      </c>
      <c r="H377" s="77">
        <f>+F377*3.04%</f>
        <v>2340.8000000000002</v>
      </c>
      <c r="I377" s="107"/>
      <c r="J377" s="77">
        <f t="shared" si="133"/>
        <v>4550.7000000000007</v>
      </c>
      <c r="K377" s="77">
        <f>+F377-J377</f>
        <v>72449.3</v>
      </c>
      <c r="L377" s="107">
        <f>+IF(K377*12&lt;=416220.01,0,IF(K377*12&lt;=624329.01,(((K377*12-416220.01)*0.15)/12),IF((K377*12&lt;=867123.01),(31216+0.2*(K377*12-624329.01))/12,((79776+0.25*(K377*12-867123.01))/12))))-M377</f>
        <v>6695.2622916666687</v>
      </c>
      <c r="M377" s="107"/>
      <c r="N377" s="243">
        <v>3165</v>
      </c>
      <c r="O377" s="107">
        <f t="shared" si="134"/>
        <v>14410.96229166667</v>
      </c>
      <c r="P377" s="243">
        <f t="shared" ref="P377:P383" si="154">+F377-O377</f>
        <v>62589.03770833333</v>
      </c>
    </row>
    <row r="378" spans="1:17" s="53" customFormat="1" ht="30" customHeight="1" x14ac:dyDescent="0.25">
      <c r="A378" s="75">
        <f>+A377+1</f>
        <v>207</v>
      </c>
      <c r="B378" s="112" t="s">
        <v>584</v>
      </c>
      <c r="C378" s="122" t="s">
        <v>420</v>
      </c>
      <c r="D378" s="123" t="s">
        <v>26</v>
      </c>
      <c r="E378" s="108" t="s">
        <v>122</v>
      </c>
      <c r="F378" s="107">
        <v>35750</v>
      </c>
      <c r="G378" s="77">
        <f t="shared" ref="G378" si="155">F378*2.87%</f>
        <v>1026.0250000000001</v>
      </c>
      <c r="H378" s="77">
        <f>+F378*3.04%</f>
        <v>1086.8</v>
      </c>
      <c r="I378" s="110">
        <v>1597.31</v>
      </c>
      <c r="J378" s="77">
        <f t="shared" ref="J378" si="156">+G378+H378+I378</f>
        <v>3710.1349999999998</v>
      </c>
      <c r="K378" s="77">
        <f>+F378-J378</f>
        <v>32039.865000000002</v>
      </c>
      <c r="L378" s="107">
        <v>0</v>
      </c>
      <c r="M378" s="107"/>
      <c r="N378" s="243">
        <v>25</v>
      </c>
      <c r="O378" s="107">
        <f t="shared" ref="O378" si="157">+N378+I378+H378+G378+L378</f>
        <v>3735.1349999999998</v>
      </c>
      <c r="P378" s="243">
        <f t="shared" si="154"/>
        <v>32014.865000000002</v>
      </c>
      <c r="Q378" s="39"/>
    </row>
    <row r="379" spans="1:17" s="79" customFormat="1" ht="30" customHeight="1" x14ac:dyDescent="0.25">
      <c r="A379" s="75">
        <f>+A378+1</f>
        <v>208</v>
      </c>
      <c r="B379" s="108" t="s">
        <v>44</v>
      </c>
      <c r="C379" s="36" t="s">
        <v>421</v>
      </c>
      <c r="D379" s="126" t="s">
        <v>231</v>
      </c>
      <c r="E379" s="108" t="s">
        <v>122</v>
      </c>
      <c r="F379" s="110">
        <v>50000</v>
      </c>
      <c r="G379" s="82">
        <f t="shared" si="153"/>
        <v>1435</v>
      </c>
      <c r="H379" s="77">
        <f t="shared" ref="H379:H397" si="158">+F379*3.04%</f>
        <v>1520</v>
      </c>
      <c r="I379" s="107"/>
      <c r="J379" s="77">
        <f t="shared" si="133"/>
        <v>2955</v>
      </c>
      <c r="K379" s="77">
        <f t="shared" ref="K379:K397" si="159">+F379-J379</f>
        <v>47045</v>
      </c>
      <c r="L379" s="107">
        <f t="shared" ref="L379:L397" si="160">+IF(K379*12&lt;=416220.01,0,IF(K379*12&lt;=624329.01,(((K379*12-416220.01)*0.15)/12),IF((K379*12&lt;=867123.01),(31216+0.2*(K379*12-624329.01))/12,((79776+0.25*(K379*12-867123.01))/12))))-M379</f>
        <v>1853.9998749999997</v>
      </c>
      <c r="M379" s="107"/>
      <c r="N379" s="243">
        <v>4706.53</v>
      </c>
      <c r="O379" s="107">
        <f t="shared" si="134"/>
        <v>9515.5298750000002</v>
      </c>
      <c r="P379" s="243">
        <f t="shared" si="154"/>
        <v>40484.470125</v>
      </c>
      <c r="Q379" s="32"/>
    </row>
    <row r="380" spans="1:17" s="79" customFormat="1" ht="30" customHeight="1" x14ac:dyDescent="0.25">
      <c r="A380" s="75">
        <f>+A379+1</f>
        <v>209</v>
      </c>
      <c r="B380" s="108" t="s">
        <v>348</v>
      </c>
      <c r="C380" s="36" t="s">
        <v>420</v>
      </c>
      <c r="D380" s="108" t="s">
        <v>349</v>
      </c>
      <c r="E380" s="108" t="s">
        <v>122</v>
      </c>
      <c r="F380" s="110">
        <v>45000</v>
      </c>
      <c r="G380" s="82">
        <f t="shared" si="153"/>
        <v>1291.5</v>
      </c>
      <c r="H380" s="77">
        <f t="shared" si="158"/>
        <v>1368</v>
      </c>
      <c r="I380" s="107"/>
      <c r="J380" s="77">
        <f t="shared" si="133"/>
        <v>2659.5</v>
      </c>
      <c r="K380" s="77">
        <f t="shared" si="159"/>
        <v>42340.5</v>
      </c>
      <c r="L380" s="107">
        <f t="shared" si="160"/>
        <v>1148.3248749999998</v>
      </c>
      <c r="M380" s="107">
        <v>0</v>
      </c>
      <c r="N380" s="243">
        <v>14340.23</v>
      </c>
      <c r="O380" s="107">
        <f t="shared" si="134"/>
        <v>18148.054874999998</v>
      </c>
      <c r="P380" s="243">
        <f t="shared" si="154"/>
        <v>26851.945125000002</v>
      </c>
      <c r="Q380" s="32"/>
    </row>
    <row r="381" spans="1:17" s="79" customFormat="1" ht="30" customHeight="1" x14ac:dyDescent="0.25">
      <c r="A381" s="75">
        <f t="shared" ref="A381:A397" si="161">+A380+1</f>
        <v>210</v>
      </c>
      <c r="B381" s="108" t="s">
        <v>350</v>
      </c>
      <c r="C381" s="36" t="s">
        <v>420</v>
      </c>
      <c r="D381" s="108" t="s">
        <v>349</v>
      </c>
      <c r="E381" s="108" t="s">
        <v>122</v>
      </c>
      <c r="F381" s="110">
        <v>45000</v>
      </c>
      <c r="G381" s="82">
        <f t="shared" si="153"/>
        <v>1291.5</v>
      </c>
      <c r="H381" s="77">
        <f t="shared" si="158"/>
        <v>1368</v>
      </c>
      <c r="I381" s="107"/>
      <c r="J381" s="77">
        <f t="shared" si="133"/>
        <v>2659.5</v>
      </c>
      <c r="K381" s="77">
        <f t="shared" si="159"/>
        <v>42340.5</v>
      </c>
      <c r="L381" s="107">
        <f t="shared" si="160"/>
        <v>1148.3248749999998</v>
      </c>
      <c r="M381" s="107"/>
      <c r="N381" s="243">
        <v>6479.83</v>
      </c>
      <c r="O381" s="107">
        <f t="shared" si="134"/>
        <v>10287.654875</v>
      </c>
      <c r="P381" s="243">
        <f t="shared" si="154"/>
        <v>34712.345125</v>
      </c>
      <c r="Q381" s="32"/>
    </row>
    <row r="382" spans="1:17" s="79" customFormat="1" ht="30" customHeight="1" x14ac:dyDescent="0.25">
      <c r="A382" s="75">
        <f t="shared" si="161"/>
        <v>211</v>
      </c>
      <c r="B382" s="108" t="s">
        <v>8</v>
      </c>
      <c r="C382" s="36" t="s">
        <v>421</v>
      </c>
      <c r="D382" s="108" t="s">
        <v>351</v>
      </c>
      <c r="E382" s="108" t="s">
        <v>122</v>
      </c>
      <c r="F382" s="110">
        <v>45000</v>
      </c>
      <c r="G382" s="82">
        <f t="shared" si="153"/>
        <v>1291.5</v>
      </c>
      <c r="H382" s="77">
        <f t="shared" si="158"/>
        <v>1368</v>
      </c>
      <c r="I382" s="110">
        <v>1597.31</v>
      </c>
      <c r="J382" s="77">
        <f t="shared" si="133"/>
        <v>4256.8099999999995</v>
      </c>
      <c r="K382" s="77">
        <f t="shared" si="159"/>
        <v>40743.19</v>
      </c>
      <c r="L382" s="107">
        <f t="shared" si="160"/>
        <v>908.72837500000014</v>
      </c>
      <c r="M382" s="107">
        <v>0</v>
      </c>
      <c r="N382" s="111">
        <v>125</v>
      </c>
      <c r="O382" s="107">
        <f t="shared" si="134"/>
        <v>5290.5383750000001</v>
      </c>
      <c r="P382" s="243">
        <f t="shared" si="154"/>
        <v>39709.461624999996</v>
      </c>
      <c r="Q382" s="32"/>
    </row>
    <row r="383" spans="1:17" s="79" customFormat="1" ht="30" customHeight="1" x14ac:dyDescent="0.25">
      <c r="A383" s="75">
        <f t="shared" si="161"/>
        <v>212</v>
      </c>
      <c r="B383" s="108" t="s">
        <v>43</v>
      </c>
      <c r="C383" s="36" t="s">
        <v>421</v>
      </c>
      <c r="D383" s="108" t="s">
        <v>351</v>
      </c>
      <c r="E383" s="108" t="s">
        <v>122</v>
      </c>
      <c r="F383" s="110">
        <v>45000</v>
      </c>
      <c r="G383" s="82">
        <f>F383*2.87%</f>
        <v>1291.5</v>
      </c>
      <c r="H383" s="77">
        <f t="shared" si="158"/>
        <v>1368</v>
      </c>
      <c r="I383" s="110">
        <v>1597.31</v>
      </c>
      <c r="J383" s="77">
        <f t="shared" si="133"/>
        <v>4256.8099999999995</v>
      </c>
      <c r="K383" s="77">
        <f t="shared" si="159"/>
        <v>40743.19</v>
      </c>
      <c r="L383" s="107">
        <f t="shared" si="160"/>
        <v>908.72837500000014</v>
      </c>
      <c r="M383" s="107">
        <v>0</v>
      </c>
      <c r="N383" s="111">
        <v>575</v>
      </c>
      <c r="O383" s="107">
        <f t="shared" si="134"/>
        <v>5740.5383750000001</v>
      </c>
      <c r="P383" s="243">
        <f t="shared" si="154"/>
        <v>39259.461624999996</v>
      </c>
      <c r="Q383" s="32"/>
    </row>
    <row r="384" spans="1:17" s="53" customFormat="1" ht="30" customHeight="1" x14ac:dyDescent="0.25">
      <c r="A384" s="75">
        <f>+A383+1</f>
        <v>213</v>
      </c>
      <c r="B384" s="108" t="s">
        <v>358</v>
      </c>
      <c r="C384" s="36" t="s">
        <v>421</v>
      </c>
      <c r="D384" s="108" t="s">
        <v>349</v>
      </c>
      <c r="E384" s="108" t="s">
        <v>122</v>
      </c>
      <c r="F384" s="110">
        <v>45000</v>
      </c>
      <c r="G384" s="82">
        <f>F384*2.87%</f>
        <v>1291.5</v>
      </c>
      <c r="H384" s="77">
        <f t="shared" si="158"/>
        <v>1368</v>
      </c>
      <c r="I384" s="107"/>
      <c r="J384" s="77">
        <f t="shared" si="133"/>
        <v>2659.5</v>
      </c>
      <c r="K384" s="77">
        <f t="shared" si="159"/>
        <v>42340.5</v>
      </c>
      <c r="L384" s="107">
        <v>1148.32</v>
      </c>
      <c r="M384" s="107">
        <v>0</v>
      </c>
      <c r="N384" s="243">
        <v>575</v>
      </c>
      <c r="O384" s="107">
        <f t="shared" si="134"/>
        <v>4382.82</v>
      </c>
      <c r="P384" s="243">
        <f t="shared" ref="P384:P397" si="162">+F384-O384</f>
        <v>40617.18</v>
      </c>
      <c r="Q384" s="39"/>
    </row>
    <row r="385" spans="1:60" s="32" customFormat="1" ht="25.5" customHeight="1" x14ac:dyDescent="0.25">
      <c r="A385" s="75">
        <f t="shared" si="161"/>
        <v>214</v>
      </c>
      <c r="B385" s="108" t="s">
        <v>352</v>
      </c>
      <c r="C385" s="36" t="s">
        <v>420</v>
      </c>
      <c r="D385" s="108" t="s">
        <v>349</v>
      </c>
      <c r="E385" s="108" t="s">
        <v>122</v>
      </c>
      <c r="F385" s="110">
        <v>45000</v>
      </c>
      <c r="G385" s="82">
        <f t="shared" si="153"/>
        <v>1291.5</v>
      </c>
      <c r="H385" s="77">
        <f t="shared" si="158"/>
        <v>1368</v>
      </c>
      <c r="I385" s="107"/>
      <c r="J385" s="77">
        <f t="shared" si="133"/>
        <v>2659.5</v>
      </c>
      <c r="K385" s="77">
        <f t="shared" si="159"/>
        <v>42340.5</v>
      </c>
      <c r="L385" s="107">
        <f t="shared" si="160"/>
        <v>1148.3248749999998</v>
      </c>
      <c r="M385" s="107">
        <v>0</v>
      </c>
      <c r="N385" s="243">
        <v>9883.7199999999993</v>
      </c>
      <c r="O385" s="107">
        <f t="shared" si="134"/>
        <v>13691.544875</v>
      </c>
      <c r="P385" s="243">
        <f t="shared" si="162"/>
        <v>31308.455125</v>
      </c>
    </row>
    <row r="386" spans="1:60" s="79" customFormat="1" ht="30" customHeight="1" x14ac:dyDescent="0.25">
      <c r="A386" s="75">
        <f t="shared" si="161"/>
        <v>215</v>
      </c>
      <c r="B386" s="112" t="s">
        <v>354</v>
      </c>
      <c r="C386" s="122" t="s">
        <v>421</v>
      </c>
      <c r="D386" s="112" t="s">
        <v>349</v>
      </c>
      <c r="E386" s="112" t="s">
        <v>122</v>
      </c>
      <c r="F386" s="107">
        <v>45000</v>
      </c>
      <c r="G386" s="82">
        <f>F386*2.87%</f>
        <v>1291.5</v>
      </c>
      <c r="H386" s="77">
        <f t="shared" si="158"/>
        <v>1368</v>
      </c>
      <c r="I386" s="107">
        <v>3194.62</v>
      </c>
      <c r="J386" s="77">
        <f t="shared" si="133"/>
        <v>5854.12</v>
      </c>
      <c r="K386" s="77">
        <f t="shared" si="159"/>
        <v>39145.879999999997</v>
      </c>
      <c r="L386" s="107">
        <v>0</v>
      </c>
      <c r="M386" s="107">
        <v>3316.41</v>
      </c>
      <c r="N386" s="111">
        <v>1165</v>
      </c>
      <c r="O386" s="107">
        <f t="shared" si="134"/>
        <v>7019.12</v>
      </c>
      <c r="P386" s="243">
        <f t="shared" si="162"/>
        <v>37980.879999999997</v>
      </c>
      <c r="Q386" s="32"/>
    </row>
    <row r="387" spans="1:60" s="79" customFormat="1" ht="30" customHeight="1" x14ac:dyDescent="0.25">
      <c r="A387" s="75">
        <f t="shared" si="161"/>
        <v>216</v>
      </c>
      <c r="B387" s="108" t="s">
        <v>355</v>
      </c>
      <c r="C387" s="36" t="s">
        <v>421</v>
      </c>
      <c r="D387" s="108" t="s">
        <v>349</v>
      </c>
      <c r="E387" s="108" t="s">
        <v>122</v>
      </c>
      <c r="F387" s="110">
        <v>45000</v>
      </c>
      <c r="G387" s="82">
        <f>F387*2.87%</f>
        <v>1291.5</v>
      </c>
      <c r="H387" s="77">
        <f t="shared" si="158"/>
        <v>1368</v>
      </c>
      <c r="I387" s="110">
        <v>1597.31</v>
      </c>
      <c r="J387" s="77">
        <f t="shared" si="133"/>
        <v>4256.8099999999995</v>
      </c>
      <c r="K387" s="77">
        <f t="shared" si="159"/>
        <v>40743.19</v>
      </c>
      <c r="L387" s="107">
        <v>0</v>
      </c>
      <c r="M387" s="107">
        <v>1057.8699999999999</v>
      </c>
      <c r="N387" s="243">
        <v>125</v>
      </c>
      <c r="O387" s="107">
        <f t="shared" si="134"/>
        <v>4381.8099999999995</v>
      </c>
      <c r="P387" s="243">
        <f t="shared" si="162"/>
        <v>40618.19</v>
      </c>
      <c r="Q387" s="32"/>
    </row>
    <row r="388" spans="1:60" s="79" customFormat="1" ht="30" customHeight="1" x14ac:dyDescent="0.25">
      <c r="A388" s="75">
        <f t="shared" si="161"/>
        <v>217</v>
      </c>
      <c r="B388" s="108" t="s">
        <v>356</v>
      </c>
      <c r="C388" s="36" t="s">
        <v>421</v>
      </c>
      <c r="D388" s="108" t="s">
        <v>349</v>
      </c>
      <c r="E388" s="108" t="s">
        <v>122</v>
      </c>
      <c r="F388" s="110">
        <v>45000</v>
      </c>
      <c r="G388" s="82">
        <f>F388*2.87%</f>
        <v>1291.5</v>
      </c>
      <c r="H388" s="77">
        <f t="shared" si="158"/>
        <v>1368</v>
      </c>
      <c r="I388" s="107"/>
      <c r="J388" s="77">
        <f t="shared" si="133"/>
        <v>2659.5</v>
      </c>
      <c r="K388" s="77">
        <f t="shared" si="159"/>
        <v>42340.5</v>
      </c>
      <c r="L388" s="107">
        <v>1148.32</v>
      </c>
      <c r="M388" s="107">
        <v>0</v>
      </c>
      <c r="N388" s="243">
        <v>4897.2700000000004</v>
      </c>
      <c r="O388" s="107">
        <f t="shared" si="134"/>
        <v>8705.09</v>
      </c>
      <c r="P388" s="243">
        <f t="shared" si="162"/>
        <v>36294.910000000003</v>
      </c>
      <c r="Q388" s="32"/>
    </row>
    <row r="389" spans="1:60" s="79" customFormat="1" ht="30" customHeight="1" x14ac:dyDescent="0.25">
      <c r="A389" s="75">
        <f t="shared" si="161"/>
        <v>218</v>
      </c>
      <c r="B389" s="108" t="s">
        <v>42</v>
      </c>
      <c r="C389" s="36" t="s">
        <v>421</v>
      </c>
      <c r="D389" s="108" t="s">
        <v>349</v>
      </c>
      <c r="E389" s="108" t="s">
        <v>122</v>
      </c>
      <c r="F389" s="110">
        <v>45000</v>
      </c>
      <c r="G389" s="82">
        <f>F389*2.87%</f>
        <v>1291.5</v>
      </c>
      <c r="H389" s="77">
        <f t="shared" si="158"/>
        <v>1368</v>
      </c>
      <c r="I389" s="110">
        <v>1597.31</v>
      </c>
      <c r="J389" s="77">
        <f t="shared" si="133"/>
        <v>4256.8099999999995</v>
      </c>
      <c r="K389" s="77">
        <f t="shared" si="159"/>
        <v>40743.19</v>
      </c>
      <c r="L389" s="107">
        <v>908.73</v>
      </c>
      <c r="M389" s="107">
        <v>0</v>
      </c>
      <c r="N389" s="243">
        <v>5125</v>
      </c>
      <c r="O389" s="107">
        <f t="shared" si="134"/>
        <v>10290.539999999999</v>
      </c>
      <c r="P389" s="243">
        <f t="shared" si="162"/>
        <v>34709.46</v>
      </c>
      <c r="Q389" s="32"/>
    </row>
    <row r="390" spans="1:60" s="79" customFormat="1" ht="30" customHeight="1" x14ac:dyDescent="0.25">
      <c r="A390" s="75">
        <f t="shared" si="161"/>
        <v>219</v>
      </c>
      <c r="B390" s="108" t="s">
        <v>23</v>
      </c>
      <c r="C390" s="36" t="s">
        <v>421</v>
      </c>
      <c r="D390" s="108" t="s">
        <v>349</v>
      </c>
      <c r="E390" s="108" t="s">
        <v>121</v>
      </c>
      <c r="F390" s="110">
        <v>40000</v>
      </c>
      <c r="G390" s="82">
        <f>F390*2.87%</f>
        <v>1148</v>
      </c>
      <c r="H390" s="77">
        <f t="shared" si="158"/>
        <v>1216</v>
      </c>
      <c r="I390" s="110">
        <v>1597.31</v>
      </c>
      <c r="J390" s="77">
        <f t="shared" si="133"/>
        <v>3961.31</v>
      </c>
      <c r="K390" s="77">
        <f t="shared" si="159"/>
        <v>36038.69</v>
      </c>
      <c r="L390" s="107">
        <f t="shared" si="160"/>
        <v>203.05337500000022</v>
      </c>
      <c r="M390" s="107"/>
      <c r="N390" s="243">
        <v>19124.560000000001</v>
      </c>
      <c r="O390" s="107">
        <f t="shared" si="134"/>
        <v>23288.923375000002</v>
      </c>
      <c r="P390" s="243">
        <f t="shared" si="162"/>
        <v>16711.076624999998</v>
      </c>
      <c r="Q390" s="32"/>
    </row>
    <row r="391" spans="1:60" s="79" customFormat="1" ht="30" customHeight="1" x14ac:dyDescent="0.25">
      <c r="A391" s="75">
        <f>+A390+1</f>
        <v>220</v>
      </c>
      <c r="B391" s="108" t="s">
        <v>46</v>
      </c>
      <c r="C391" s="36" t="s">
        <v>421</v>
      </c>
      <c r="D391" s="108" t="s">
        <v>353</v>
      </c>
      <c r="E391" s="108" t="s">
        <v>122</v>
      </c>
      <c r="F391" s="125">
        <v>35000</v>
      </c>
      <c r="G391" s="82">
        <f t="shared" si="153"/>
        <v>1004.5</v>
      </c>
      <c r="H391" s="77">
        <f t="shared" si="158"/>
        <v>1064</v>
      </c>
      <c r="I391" s="110">
        <v>1597.31</v>
      </c>
      <c r="J391" s="77">
        <f t="shared" si="133"/>
        <v>3665.81</v>
      </c>
      <c r="K391" s="77">
        <f t="shared" si="159"/>
        <v>31334.19</v>
      </c>
      <c r="L391" s="107">
        <f t="shared" si="160"/>
        <v>0</v>
      </c>
      <c r="M391" s="107"/>
      <c r="N391" s="111">
        <v>125</v>
      </c>
      <c r="O391" s="107">
        <f t="shared" si="134"/>
        <v>3790.81</v>
      </c>
      <c r="P391" s="243">
        <f t="shared" si="162"/>
        <v>31209.19</v>
      </c>
      <c r="Q391" s="32"/>
    </row>
    <row r="392" spans="1:60" s="32" customFormat="1" ht="30" customHeight="1" x14ac:dyDescent="0.25">
      <c r="A392" s="75">
        <f t="shared" si="161"/>
        <v>221</v>
      </c>
      <c r="B392" s="108" t="s">
        <v>357</v>
      </c>
      <c r="C392" s="36" t="s">
        <v>421</v>
      </c>
      <c r="D392" s="108" t="s">
        <v>26</v>
      </c>
      <c r="E392" s="108" t="s">
        <v>122</v>
      </c>
      <c r="F392" s="110">
        <v>40000</v>
      </c>
      <c r="G392" s="82">
        <f t="shared" si="153"/>
        <v>1148</v>
      </c>
      <c r="H392" s="77">
        <f t="shared" si="158"/>
        <v>1216</v>
      </c>
      <c r="I392" s="110">
        <v>1597.31</v>
      </c>
      <c r="J392" s="77">
        <f t="shared" si="133"/>
        <v>3961.31</v>
      </c>
      <c r="K392" s="77">
        <f t="shared" si="159"/>
        <v>36038.69</v>
      </c>
      <c r="L392" s="107">
        <v>203.05</v>
      </c>
      <c r="M392" s="107">
        <v>0</v>
      </c>
      <c r="N392" s="243">
        <v>245</v>
      </c>
      <c r="O392" s="107">
        <f t="shared" si="134"/>
        <v>4409.3599999999997</v>
      </c>
      <c r="P392" s="243">
        <f t="shared" si="162"/>
        <v>35590.639999999999</v>
      </c>
    </row>
    <row r="393" spans="1:60" s="32" customFormat="1" ht="30" customHeight="1" x14ac:dyDescent="0.25">
      <c r="A393" s="75">
        <f t="shared" si="161"/>
        <v>222</v>
      </c>
      <c r="B393" s="113" t="s">
        <v>198</v>
      </c>
      <c r="C393" s="172" t="s">
        <v>420</v>
      </c>
      <c r="D393" s="108" t="s">
        <v>199</v>
      </c>
      <c r="E393" s="108" t="s">
        <v>228</v>
      </c>
      <c r="F393" s="110">
        <v>26000</v>
      </c>
      <c r="G393" s="82">
        <f>F393*2.87%</f>
        <v>746.2</v>
      </c>
      <c r="H393" s="77">
        <f t="shared" si="158"/>
        <v>790.4</v>
      </c>
      <c r="I393" s="107"/>
      <c r="J393" s="77">
        <f t="shared" si="133"/>
        <v>1536.6</v>
      </c>
      <c r="K393" s="77">
        <f t="shared" si="159"/>
        <v>24463.4</v>
      </c>
      <c r="L393" s="107">
        <f t="shared" si="160"/>
        <v>0</v>
      </c>
      <c r="M393" s="107"/>
      <c r="N393" s="243">
        <v>125</v>
      </c>
      <c r="O393" s="107">
        <f t="shared" si="134"/>
        <v>1661.6</v>
      </c>
      <c r="P393" s="243">
        <f t="shared" si="162"/>
        <v>24338.400000000001</v>
      </c>
    </row>
    <row r="394" spans="1:60" ht="36" customHeight="1" x14ac:dyDescent="0.25">
      <c r="A394" s="75">
        <f t="shared" si="161"/>
        <v>223</v>
      </c>
      <c r="B394" s="108" t="s">
        <v>359</v>
      </c>
      <c r="C394" s="36" t="s">
        <v>420</v>
      </c>
      <c r="D394" s="108" t="s">
        <v>99</v>
      </c>
      <c r="E394" s="108" t="s">
        <v>228</v>
      </c>
      <c r="F394" s="110">
        <v>23908.5</v>
      </c>
      <c r="G394" s="82">
        <f t="shared" si="153"/>
        <v>686.17394999999999</v>
      </c>
      <c r="H394" s="77">
        <f t="shared" si="158"/>
        <v>726.8184</v>
      </c>
      <c r="I394" s="107"/>
      <c r="J394" s="77">
        <f t="shared" ref="J394:J397" si="163">+G394+H394+I394</f>
        <v>1412.99235</v>
      </c>
      <c r="K394" s="77">
        <f t="shared" si="159"/>
        <v>22495.50765</v>
      </c>
      <c r="L394" s="107">
        <f t="shared" si="160"/>
        <v>0</v>
      </c>
      <c r="M394" s="107"/>
      <c r="N394" s="243">
        <v>3414.4</v>
      </c>
      <c r="O394" s="107">
        <f t="shared" si="134"/>
        <v>4827.3923500000001</v>
      </c>
      <c r="P394" s="243">
        <f t="shared" si="162"/>
        <v>19081.107649999998</v>
      </c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</row>
    <row r="395" spans="1:60" ht="36" customHeight="1" x14ac:dyDescent="0.25">
      <c r="A395" s="75">
        <f t="shared" si="161"/>
        <v>224</v>
      </c>
      <c r="B395" s="108" t="s">
        <v>45</v>
      </c>
      <c r="C395" s="36" t="s">
        <v>420</v>
      </c>
      <c r="D395" s="108" t="s">
        <v>99</v>
      </c>
      <c r="E395" s="108" t="s">
        <v>122</v>
      </c>
      <c r="F395" s="110">
        <v>23835</v>
      </c>
      <c r="G395" s="82">
        <f t="shared" si="153"/>
        <v>684.06449999999995</v>
      </c>
      <c r="H395" s="77">
        <f t="shared" si="158"/>
        <v>724.58399999999995</v>
      </c>
      <c r="I395" s="107"/>
      <c r="J395" s="77">
        <f t="shared" si="163"/>
        <v>1408.6484999999998</v>
      </c>
      <c r="K395" s="77">
        <f t="shared" si="159"/>
        <v>22426.351500000001</v>
      </c>
      <c r="L395" s="107">
        <f t="shared" si="160"/>
        <v>0</v>
      </c>
      <c r="M395" s="107"/>
      <c r="N395" s="243">
        <v>25</v>
      </c>
      <c r="O395" s="107">
        <f t="shared" si="134"/>
        <v>1433.6484999999998</v>
      </c>
      <c r="P395" s="243">
        <f t="shared" si="162"/>
        <v>22401.351500000001</v>
      </c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</row>
    <row r="396" spans="1:60" ht="30" customHeight="1" x14ac:dyDescent="0.25">
      <c r="A396" s="75">
        <f t="shared" si="161"/>
        <v>225</v>
      </c>
      <c r="B396" s="108" t="s">
        <v>360</v>
      </c>
      <c r="C396" s="36" t="s">
        <v>420</v>
      </c>
      <c r="D396" s="108" t="s">
        <v>99</v>
      </c>
      <c r="E396" s="108" t="s">
        <v>122</v>
      </c>
      <c r="F396" s="110">
        <v>30000</v>
      </c>
      <c r="G396" s="82">
        <f t="shared" si="153"/>
        <v>861</v>
      </c>
      <c r="H396" s="77">
        <f t="shared" si="158"/>
        <v>912</v>
      </c>
      <c r="I396" s="107"/>
      <c r="J396" s="77">
        <f t="shared" si="163"/>
        <v>1773</v>
      </c>
      <c r="K396" s="77">
        <f t="shared" si="159"/>
        <v>28227</v>
      </c>
      <c r="L396" s="107">
        <f t="shared" si="160"/>
        <v>0</v>
      </c>
      <c r="M396" s="107"/>
      <c r="N396" s="243">
        <v>625</v>
      </c>
      <c r="O396" s="107">
        <f t="shared" ref="O396:O397" si="164">+N396+I396+H396+G396+L396</f>
        <v>2398</v>
      </c>
      <c r="P396" s="243">
        <f t="shared" si="162"/>
        <v>27602</v>
      </c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</row>
    <row r="397" spans="1:60" ht="30" customHeight="1" x14ac:dyDescent="0.25">
      <c r="A397" s="75">
        <f t="shared" si="161"/>
        <v>226</v>
      </c>
      <c r="B397" s="108" t="s">
        <v>598</v>
      </c>
      <c r="C397" s="36" t="s">
        <v>420</v>
      </c>
      <c r="D397" s="108" t="s">
        <v>199</v>
      </c>
      <c r="E397" s="108" t="s">
        <v>228</v>
      </c>
      <c r="F397" s="110">
        <v>20000</v>
      </c>
      <c r="G397" s="82">
        <f t="shared" si="153"/>
        <v>574</v>
      </c>
      <c r="H397" s="77">
        <f t="shared" si="158"/>
        <v>608</v>
      </c>
      <c r="I397" s="77"/>
      <c r="J397" s="77">
        <f t="shared" si="163"/>
        <v>1182</v>
      </c>
      <c r="K397" s="77">
        <f t="shared" si="159"/>
        <v>18818</v>
      </c>
      <c r="L397" s="107">
        <f t="shared" si="160"/>
        <v>0</v>
      </c>
      <c r="M397" s="107"/>
      <c r="N397" s="243">
        <v>525</v>
      </c>
      <c r="O397" s="107">
        <f t="shared" si="164"/>
        <v>1707</v>
      </c>
      <c r="P397" s="243">
        <f t="shared" si="162"/>
        <v>18293</v>
      </c>
      <c r="Q397" s="38">
        <f>+P399+N399</f>
        <v>0</v>
      </c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</row>
    <row r="398" spans="1:60" ht="30" customHeight="1" x14ac:dyDescent="0.25">
      <c r="A398" s="206" t="s">
        <v>125</v>
      </c>
      <c r="B398" s="207"/>
      <c r="C398" s="207"/>
      <c r="D398" s="207"/>
      <c r="E398" s="208"/>
      <c r="F398" s="37">
        <f t="shared" ref="F398:K398" si="165">SUM(F377:F397)</f>
        <v>851493.5</v>
      </c>
      <c r="G398" s="37">
        <f t="shared" si="165"/>
        <v>24437.863450000001</v>
      </c>
      <c r="H398" s="37">
        <f t="shared" si="165"/>
        <v>25885.402399999999</v>
      </c>
      <c r="I398" s="37">
        <f t="shared" si="165"/>
        <v>15973.099999999999</v>
      </c>
      <c r="J398" s="37">
        <f t="shared" si="165"/>
        <v>66296.365849999987</v>
      </c>
      <c r="K398" s="37">
        <f t="shared" si="165"/>
        <v>785197.13414999982</v>
      </c>
      <c r="L398" s="37">
        <f t="shared" ref="L398:P398" si="166">SUM(L377:L397)</f>
        <v>17423.166916666669</v>
      </c>
      <c r="M398" s="37">
        <f>SUM(M377:M397)</f>
        <v>4374.28</v>
      </c>
      <c r="N398" s="37">
        <f t="shared" si="166"/>
        <v>75396.539999999994</v>
      </c>
      <c r="O398" s="37">
        <f t="shared" si="166"/>
        <v>159116.07276666665</v>
      </c>
      <c r="P398" s="37">
        <f t="shared" si="166"/>
        <v>692377.42723333335</v>
      </c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</row>
    <row r="399" spans="1:60" ht="16.5" thickBot="1" x14ac:dyDescent="0.3">
      <c r="A399" s="41"/>
      <c r="B399" s="48"/>
      <c r="C399" s="139"/>
      <c r="D399" s="48"/>
      <c r="E399" s="48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</row>
    <row r="400" spans="1:60" ht="24.75" customHeight="1" thickBot="1" x14ac:dyDescent="0.3">
      <c r="A400" s="54"/>
      <c r="B400" s="55" t="s">
        <v>414</v>
      </c>
      <c r="C400" s="140"/>
      <c r="D400" s="56"/>
      <c r="E400" s="57"/>
      <c r="F400" s="58">
        <f>+F19+F24+F28+F40+F48+F52+F60+F66+F75+F79+F85+F91+F98+F102+F106+F114+F120+F127+F133+F142+F147+F155+F160+F164+F171+F177+F181+F186+F193+F202+F206+F211+F216+F220+F224+F229+F233+F238+F242+F248+F253+F257+F262+F267+F273+F277+F282+F315+F324+F346+F351+F355+F359+F363+F369+F374+F398+F33</f>
        <v>15563151.5</v>
      </c>
      <c r="G400" s="58">
        <f t="shared" ref="G400:P400" si="167">+G19+G24+G28+FG28434+G40+G48+G52+G60+G66+G75+G79+G85+G91+G98+G102+G106+G114+G120+G127+G133+G142+G147+G155+G160+G164+G171+G177+G181+G186+G193+G202+G206+G211+G216+G220+G224+G229+G233+G238+G242+G248+G253+G257+G262+G267+G273+G277+G282+G315+G324+G346+G351+G355+G359+G363+G369+G374+G398+G33</f>
        <v>446662.45094999991</v>
      </c>
      <c r="H400" s="58">
        <f t="shared" si="167"/>
        <v>470872.02640000003</v>
      </c>
      <c r="I400" s="58">
        <f t="shared" si="167"/>
        <v>129382.10999999999</v>
      </c>
      <c r="J400" s="58">
        <f t="shared" si="167"/>
        <v>1046916.5873500002</v>
      </c>
      <c r="K400" s="58">
        <f t="shared" si="167"/>
        <v>14516234.912650004</v>
      </c>
      <c r="L400" s="58">
        <f t="shared" si="167"/>
        <v>1450246.1243750001</v>
      </c>
      <c r="M400" s="58">
        <f t="shared" si="167"/>
        <v>4374.28</v>
      </c>
      <c r="N400" s="58">
        <f t="shared" si="167"/>
        <v>734945.60000000021</v>
      </c>
      <c r="O400" s="58">
        <f t="shared" si="167"/>
        <v>3232108.3144333358</v>
      </c>
      <c r="P400" s="58">
        <f t="shared" si="167"/>
        <v>12331043.18556666</v>
      </c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</row>
    <row r="401" spans="1:60" ht="15.75" x14ac:dyDescent="0.25">
      <c r="A401" s="44"/>
      <c r="B401" s="42"/>
      <c r="C401" s="44"/>
      <c r="D401" s="42"/>
      <c r="E401" s="42"/>
      <c r="F401" s="284"/>
      <c r="G401" s="32"/>
      <c r="H401" s="32"/>
      <c r="I401" s="32"/>
      <c r="J401" s="32"/>
      <c r="K401" s="38"/>
      <c r="L401" s="32"/>
      <c r="M401" s="32"/>
      <c r="N401" s="32"/>
      <c r="O401" s="32"/>
      <c r="P401" s="38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</row>
    <row r="402" spans="1:60" ht="15.75" x14ac:dyDescent="0.25">
      <c r="A402" s="44"/>
      <c r="B402" s="42"/>
      <c r="C402" s="44"/>
      <c r="D402" s="42"/>
      <c r="E402" s="42"/>
      <c r="F402" s="39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</row>
    <row r="403" spans="1:60" ht="15.75" x14ac:dyDescent="0.25">
      <c r="A403" s="44"/>
      <c r="B403" s="19"/>
      <c r="C403" s="141"/>
      <c r="D403" s="20"/>
      <c r="E403" s="19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8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</row>
    <row r="404" spans="1:60" ht="15.75" x14ac:dyDescent="0.25">
      <c r="A404" s="44"/>
      <c r="B404" s="21"/>
      <c r="C404" s="142"/>
      <c r="D404" s="20"/>
      <c r="E404" s="21" t="s">
        <v>487</v>
      </c>
      <c r="F404" s="32"/>
      <c r="G404" s="32"/>
      <c r="H404" s="32"/>
      <c r="I404" s="38"/>
      <c r="J404" s="32"/>
      <c r="K404" s="32"/>
      <c r="L404" s="32"/>
      <c r="M404" s="32"/>
      <c r="N404" s="32"/>
      <c r="O404" s="32"/>
      <c r="P404" s="49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</row>
    <row r="405" spans="1:60" ht="15.75" x14ac:dyDescent="0.25">
      <c r="A405" s="44"/>
      <c r="B405" s="21" t="s">
        <v>488</v>
      </c>
      <c r="C405" s="142"/>
      <c r="D405" s="20"/>
      <c r="E405" s="21" t="s">
        <v>489</v>
      </c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</row>
    <row r="406" spans="1:60" ht="15.75" x14ac:dyDescent="0.25">
      <c r="A406" s="44"/>
      <c r="B406" s="42"/>
      <c r="C406" s="44"/>
      <c r="D406" s="42"/>
      <c r="E406" s="42"/>
      <c r="F406" s="39"/>
      <c r="G406" s="32"/>
      <c r="H406" s="32"/>
      <c r="I406" s="32"/>
      <c r="J406" s="32"/>
      <c r="K406" s="32"/>
      <c r="L406" s="32"/>
      <c r="M406" s="32"/>
      <c r="N406" s="32"/>
      <c r="O406" s="32"/>
      <c r="P406" s="38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</row>
    <row r="407" spans="1:60" ht="15.75" x14ac:dyDescent="0.25">
      <c r="A407" s="44"/>
      <c r="B407" s="42"/>
      <c r="C407" s="44"/>
      <c r="D407" s="42"/>
      <c r="E407" s="42"/>
      <c r="F407" s="39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</row>
    <row r="408" spans="1:60" ht="15.75" x14ac:dyDescent="0.25">
      <c r="A408" s="44"/>
      <c r="B408" s="42"/>
      <c r="C408" s="44"/>
      <c r="D408" s="42"/>
      <c r="E408" s="42"/>
      <c r="F408" s="39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</row>
    <row r="409" spans="1:60" ht="15.75" x14ac:dyDescent="0.25">
      <c r="A409" s="44"/>
      <c r="B409" s="42"/>
      <c r="C409" s="44"/>
      <c r="D409" s="42"/>
      <c r="E409" s="42"/>
      <c r="F409" s="39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</row>
    <row r="410" spans="1:60" ht="15.75" x14ac:dyDescent="0.25">
      <c r="A410" s="44"/>
      <c r="B410" s="42"/>
      <c r="C410" s="44"/>
      <c r="D410" s="42"/>
      <c r="E410" s="42"/>
      <c r="F410" s="39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</row>
    <row r="411" spans="1:60" ht="15.75" x14ac:dyDescent="0.25">
      <c r="A411" s="44"/>
      <c r="B411" s="42"/>
      <c r="C411" s="44"/>
      <c r="D411" s="42"/>
      <c r="E411" s="42"/>
      <c r="F411" s="39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</row>
    <row r="412" spans="1:60" ht="15.75" x14ac:dyDescent="0.25">
      <c r="A412" s="44"/>
      <c r="B412" s="42"/>
      <c r="C412" s="44"/>
      <c r="D412" s="42"/>
      <c r="E412" s="42"/>
      <c r="F412" s="39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  <c r="AB412" s="32"/>
      <c r="AC412" s="32"/>
      <c r="AD412" s="32"/>
      <c r="AE412" s="32"/>
      <c r="AF412" s="32"/>
      <c r="AG412" s="32"/>
      <c r="AH412" s="32"/>
      <c r="AI412" s="32"/>
      <c r="AJ412" s="32"/>
      <c r="AK412" s="32"/>
      <c r="AL412" s="32"/>
      <c r="AM412" s="32"/>
      <c r="AN412" s="32"/>
      <c r="AO412" s="32"/>
      <c r="AP412" s="32"/>
      <c r="AQ412" s="32"/>
      <c r="AR412" s="32"/>
      <c r="AS412" s="32"/>
      <c r="AT412" s="32"/>
      <c r="AU412" s="32"/>
      <c r="AV412" s="32"/>
      <c r="AW412" s="32"/>
      <c r="AX412" s="32"/>
      <c r="AY412" s="32"/>
      <c r="AZ412" s="32"/>
      <c r="BA412" s="32"/>
      <c r="BB412" s="32"/>
      <c r="BC412" s="32"/>
      <c r="BD412" s="32"/>
      <c r="BE412" s="32"/>
      <c r="BF412" s="32"/>
      <c r="BG412" s="32"/>
      <c r="BH412" s="32"/>
    </row>
    <row r="413" spans="1:60" ht="15.75" x14ac:dyDescent="0.25">
      <c r="A413" s="44"/>
      <c r="B413" s="42"/>
      <c r="C413" s="44"/>
      <c r="D413" s="42"/>
      <c r="E413" s="42"/>
      <c r="F413" s="39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  <c r="AA413" s="32"/>
      <c r="AB413" s="32"/>
      <c r="AC413" s="32"/>
      <c r="AD413" s="32"/>
      <c r="AE413" s="32"/>
      <c r="AF413" s="32"/>
      <c r="AG413" s="32"/>
      <c r="AH413" s="32"/>
      <c r="AI413" s="32"/>
      <c r="AJ413" s="32"/>
      <c r="AK413" s="32"/>
      <c r="AL413" s="32"/>
      <c r="AM413" s="32"/>
      <c r="AN413" s="32"/>
      <c r="AO413" s="32"/>
      <c r="AP413" s="32"/>
      <c r="AQ413" s="32"/>
      <c r="AR413" s="32"/>
      <c r="AS413" s="32"/>
      <c r="AT413" s="32"/>
      <c r="AU413" s="32"/>
      <c r="AV413" s="32"/>
      <c r="AW413" s="32"/>
      <c r="AX413" s="32"/>
      <c r="AY413" s="32"/>
      <c r="AZ413" s="32"/>
      <c r="BA413" s="32"/>
      <c r="BB413" s="32"/>
      <c r="BC413" s="32"/>
      <c r="BD413" s="32"/>
      <c r="BE413" s="32"/>
      <c r="BF413" s="32"/>
      <c r="BG413" s="32"/>
      <c r="BH413" s="32"/>
    </row>
    <row r="414" spans="1:60" ht="15.75" x14ac:dyDescent="0.25">
      <c r="A414" s="44"/>
      <c r="B414" s="42"/>
      <c r="C414" s="44"/>
      <c r="D414" s="42"/>
      <c r="E414" s="42"/>
      <c r="F414" s="39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  <c r="AA414" s="32"/>
      <c r="AB414" s="32"/>
      <c r="AC414" s="32"/>
      <c r="AD414" s="32"/>
      <c r="AE414" s="32"/>
      <c r="AF414" s="32"/>
      <c r="AG414" s="32"/>
      <c r="AH414" s="32"/>
      <c r="AI414" s="32"/>
      <c r="AJ414" s="32"/>
      <c r="AK414" s="32"/>
      <c r="AL414" s="32"/>
      <c r="AM414" s="32"/>
      <c r="AN414" s="32"/>
      <c r="AO414" s="32"/>
      <c r="AP414" s="32"/>
      <c r="AQ414" s="32"/>
      <c r="AR414" s="32"/>
      <c r="AS414" s="32"/>
      <c r="AT414" s="32"/>
      <c r="AU414" s="32"/>
      <c r="AV414" s="32"/>
      <c r="AW414" s="32"/>
      <c r="AX414" s="32"/>
      <c r="AY414" s="32"/>
      <c r="AZ414" s="32"/>
      <c r="BA414" s="32"/>
      <c r="BB414" s="32"/>
      <c r="BC414" s="32"/>
      <c r="BD414" s="32"/>
      <c r="BE414" s="32"/>
      <c r="BF414" s="32"/>
      <c r="BG414" s="32"/>
      <c r="BH414" s="32"/>
    </row>
    <row r="415" spans="1:60" ht="15.75" x14ac:dyDescent="0.25">
      <c r="A415" s="44"/>
      <c r="B415" s="42"/>
      <c r="C415" s="44"/>
      <c r="D415" s="42"/>
      <c r="E415" s="42"/>
      <c r="F415" s="39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  <c r="AA415" s="32"/>
      <c r="AB415" s="32"/>
      <c r="AC415" s="32"/>
      <c r="AD415" s="32"/>
      <c r="AE415" s="32"/>
      <c r="AF415" s="32"/>
      <c r="AG415" s="32"/>
      <c r="AH415" s="32"/>
      <c r="AI415" s="32"/>
      <c r="AJ415" s="32"/>
      <c r="AK415" s="32"/>
      <c r="AL415" s="32"/>
      <c r="AM415" s="32"/>
      <c r="AN415" s="32"/>
      <c r="AO415" s="32"/>
      <c r="AP415" s="32"/>
      <c r="AQ415" s="32"/>
      <c r="AR415" s="32"/>
      <c r="AS415" s="32"/>
      <c r="AT415" s="32"/>
      <c r="AU415" s="32"/>
      <c r="AV415" s="32"/>
      <c r="AW415" s="32"/>
      <c r="AX415" s="32"/>
      <c r="AY415" s="32"/>
      <c r="AZ415" s="32"/>
      <c r="BA415" s="32"/>
      <c r="BB415" s="32"/>
      <c r="BC415" s="32"/>
      <c r="BD415" s="32"/>
      <c r="BE415" s="32"/>
      <c r="BF415" s="32"/>
      <c r="BG415" s="32"/>
      <c r="BH415" s="32"/>
    </row>
    <row r="416" spans="1:60" ht="15.75" x14ac:dyDescent="0.25">
      <c r="A416" s="44"/>
      <c r="B416" s="42"/>
      <c r="C416" s="44"/>
      <c r="D416" s="42"/>
      <c r="E416" s="42"/>
      <c r="F416" s="39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  <c r="AA416" s="32"/>
      <c r="AB416" s="32"/>
      <c r="AC416" s="32"/>
      <c r="AD416" s="32"/>
      <c r="AE416" s="32"/>
      <c r="AF416" s="32"/>
      <c r="AG416" s="32"/>
      <c r="AH416" s="32"/>
      <c r="AI416" s="32"/>
      <c r="AJ416" s="32"/>
      <c r="AK416" s="32"/>
      <c r="AL416" s="32"/>
      <c r="AM416" s="32"/>
      <c r="AN416" s="32"/>
      <c r="AO416" s="32"/>
      <c r="AP416" s="32"/>
      <c r="AQ416" s="32"/>
      <c r="AR416" s="32"/>
      <c r="AS416" s="32"/>
      <c r="AT416" s="32"/>
      <c r="AU416" s="32"/>
      <c r="AV416" s="32"/>
      <c r="AW416" s="32"/>
      <c r="AX416" s="32"/>
      <c r="AY416" s="32"/>
      <c r="AZ416" s="32"/>
      <c r="BA416" s="32"/>
      <c r="BB416" s="32"/>
      <c r="BC416" s="32"/>
      <c r="BD416" s="32"/>
      <c r="BE416" s="32"/>
      <c r="BF416" s="32"/>
      <c r="BG416" s="32"/>
      <c r="BH416" s="32"/>
    </row>
    <row r="417" spans="1:60" ht="15.75" x14ac:dyDescent="0.25">
      <c r="A417" s="44"/>
      <c r="B417" s="42"/>
      <c r="C417" s="44"/>
      <c r="D417" s="42"/>
      <c r="E417" s="42"/>
      <c r="F417" s="39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  <c r="AA417" s="32"/>
      <c r="AB417" s="32"/>
      <c r="AC417" s="32"/>
      <c r="AD417" s="32"/>
      <c r="AE417" s="32"/>
      <c r="AF417" s="32"/>
      <c r="AG417" s="32"/>
      <c r="AH417" s="32"/>
      <c r="AI417" s="32"/>
      <c r="AJ417" s="32"/>
      <c r="AK417" s="32"/>
      <c r="AL417" s="32"/>
      <c r="AM417" s="32"/>
      <c r="AN417" s="32"/>
      <c r="AO417" s="32"/>
      <c r="AP417" s="32"/>
      <c r="AQ417" s="32"/>
      <c r="AR417" s="32"/>
      <c r="AS417" s="32"/>
      <c r="AT417" s="32"/>
      <c r="AU417" s="32"/>
      <c r="AV417" s="32"/>
      <c r="AW417" s="32"/>
      <c r="AX417" s="32"/>
      <c r="AY417" s="32"/>
      <c r="AZ417" s="32"/>
      <c r="BA417" s="32"/>
      <c r="BB417" s="32"/>
      <c r="BC417" s="32"/>
      <c r="BD417" s="32"/>
      <c r="BE417" s="32"/>
      <c r="BF417" s="32"/>
      <c r="BG417" s="32"/>
      <c r="BH417" s="32"/>
    </row>
    <row r="418" spans="1:60" ht="15.75" x14ac:dyDescent="0.25">
      <c r="A418" s="44"/>
      <c r="B418" s="42"/>
      <c r="C418" s="44"/>
      <c r="D418" s="42"/>
      <c r="E418" s="42"/>
      <c r="F418" s="39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  <c r="AA418" s="32"/>
      <c r="AB418" s="32"/>
      <c r="AC418" s="32"/>
      <c r="AD418" s="32"/>
      <c r="AE418" s="32"/>
      <c r="AF418" s="32"/>
      <c r="AG418" s="32"/>
      <c r="AH418" s="32"/>
      <c r="AI418" s="32"/>
      <c r="AJ418" s="32"/>
      <c r="AK418" s="32"/>
      <c r="AL418" s="32"/>
      <c r="AM418" s="32"/>
      <c r="AN418" s="32"/>
      <c r="AO418" s="32"/>
      <c r="AP418" s="32"/>
      <c r="AQ418" s="32"/>
      <c r="AR418" s="32"/>
      <c r="AS418" s="32"/>
      <c r="AT418" s="32"/>
      <c r="AU418" s="32"/>
      <c r="AV418" s="32"/>
      <c r="AW418" s="32"/>
      <c r="AX418" s="32"/>
      <c r="AY418" s="32"/>
      <c r="AZ418" s="32"/>
      <c r="BA418" s="32"/>
      <c r="BB418" s="32"/>
      <c r="BC418" s="32"/>
      <c r="BD418" s="32"/>
      <c r="BE418" s="32"/>
      <c r="BF418" s="32"/>
      <c r="BG418" s="32"/>
      <c r="BH418" s="32"/>
    </row>
    <row r="419" spans="1:60" ht="15.75" x14ac:dyDescent="0.25">
      <c r="A419" s="44"/>
      <c r="B419" s="42"/>
      <c r="C419" s="44"/>
      <c r="D419" s="42"/>
      <c r="E419" s="42"/>
      <c r="F419" s="39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  <c r="AA419" s="32"/>
      <c r="AB419" s="32"/>
      <c r="AC419" s="32"/>
      <c r="AD419" s="32"/>
      <c r="AE419" s="32"/>
      <c r="AF419" s="32"/>
      <c r="AG419" s="32"/>
      <c r="AH419" s="32"/>
      <c r="AI419" s="32"/>
      <c r="AJ419" s="32"/>
      <c r="AK419" s="32"/>
      <c r="AL419" s="32"/>
      <c r="AM419" s="32"/>
      <c r="AN419" s="32"/>
      <c r="AO419" s="32"/>
      <c r="AP419" s="32"/>
      <c r="AQ419" s="32"/>
      <c r="AR419" s="32"/>
      <c r="AS419" s="32"/>
      <c r="AT419" s="32"/>
      <c r="AU419" s="32"/>
      <c r="AV419" s="32"/>
      <c r="AW419" s="32"/>
      <c r="AX419" s="32"/>
      <c r="AY419" s="32"/>
      <c r="AZ419" s="32"/>
      <c r="BA419" s="32"/>
      <c r="BB419" s="32"/>
      <c r="BC419" s="32"/>
      <c r="BD419" s="32"/>
      <c r="BE419" s="32"/>
      <c r="BF419" s="32"/>
      <c r="BG419" s="32"/>
      <c r="BH419" s="32"/>
    </row>
    <row r="420" spans="1:60" ht="15.75" x14ac:dyDescent="0.25">
      <c r="A420" s="44"/>
      <c r="B420" s="42"/>
      <c r="C420" s="44"/>
      <c r="D420" s="42"/>
      <c r="E420" s="42"/>
      <c r="F420" s="39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  <c r="AA420" s="32"/>
      <c r="AB420" s="32"/>
      <c r="AC420" s="32"/>
      <c r="AD420" s="32"/>
      <c r="AE420" s="32"/>
      <c r="AF420" s="32"/>
      <c r="AG420" s="32"/>
      <c r="AH420" s="32"/>
      <c r="AI420" s="32"/>
      <c r="AJ420" s="32"/>
      <c r="AK420" s="32"/>
      <c r="AL420" s="32"/>
      <c r="AM420" s="32"/>
      <c r="AN420" s="32"/>
      <c r="AO420" s="32"/>
      <c r="AP420" s="32"/>
      <c r="AQ420" s="32"/>
      <c r="AR420" s="32"/>
      <c r="AS420" s="32"/>
      <c r="AT420" s="32"/>
      <c r="AU420" s="32"/>
      <c r="AV420" s="32"/>
      <c r="AW420" s="32"/>
      <c r="AX420" s="32"/>
      <c r="AY420" s="32"/>
      <c r="AZ420" s="32"/>
      <c r="BA420" s="32"/>
      <c r="BB420" s="32"/>
      <c r="BC420" s="32"/>
      <c r="BD420" s="32"/>
      <c r="BE420" s="32"/>
      <c r="BF420" s="32"/>
      <c r="BG420" s="32"/>
      <c r="BH420" s="32"/>
    </row>
    <row r="421" spans="1:60" ht="15.75" x14ac:dyDescent="0.25">
      <c r="A421" s="44"/>
      <c r="B421" s="42"/>
      <c r="C421" s="44"/>
      <c r="D421" s="42"/>
      <c r="E421" s="42"/>
      <c r="F421" s="39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  <c r="AA421" s="32"/>
      <c r="AB421" s="32"/>
      <c r="AC421" s="32"/>
      <c r="AD421" s="32"/>
      <c r="AE421" s="32"/>
      <c r="AF421" s="32"/>
      <c r="AG421" s="32"/>
      <c r="AH421" s="32"/>
      <c r="AI421" s="32"/>
      <c r="AJ421" s="32"/>
      <c r="AK421" s="32"/>
      <c r="AL421" s="32"/>
      <c r="AM421" s="32"/>
      <c r="AN421" s="32"/>
      <c r="AO421" s="32"/>
      <c r="AP421" s="32"/>
      <c r="AQ421" s="32"/>
      <c r="AR421" s="32"/>
      <c r="AS421" s="32"/>
      <c r="AT421" s="32"/>
      <c r="AU421" s="32"/>
      <c r="AV421" s="32"/>
      <c r="AW421" s="32"/>
      <c r="AX421" s="32"/>
      <c r="AY421" s="32"/>
      <c r="AZ421" s="32"/>
      <c r="BA421" s="32"/>
      <c r="BB421" s="32"/>
      <c r="BC421" s="32"/>
      <c r="BD421" s="32"/>
      <c r="BE421" s="32"/>
      <c r="BF421" s="32"/>
      <c r="BG421" s="32"/>
      <c r="BH421" s="32"/>
    </row>
    <row r="422" spans="1:60" ht="15.75" x14ac:dyDescent="0.25">
      <c r="A422" s="44"/>
      <c r="B422" s="42"/>
      <c r="C422" s="44"/>
      <c r="D422" s="42"/>
      <c r="E422" s="42"/>
      <c r="F422" s="39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  <c r="AA422" s="32"/>
      <c r="AB422" s="32"/>
      <c r="AC422" s="32"/>
      <c r="AD422" s="32"/>
      <c r="AE422" s="32"/>
      <c r="AF422" s="32"/>
      <c r="AG422" s="32"/>
      <c r="AH422" s="32"/>
      <c r="AI422" s="32"/>
      <c r="AJ422" s="32"/>
      <c r="AK422" s="32"/>
      <c r="AL422" s="32"/>
      <c r="AM422" s="32"/>
      <c r="AN422" s="32"/>
      <c r="AO422" s="32"/>
      <c r="AP422" s="32"/>
      <c r="AQ422" s="32"/>
      <c r="AR422" s="32"/>
      <c r="AS422" s="32"/>
      <c r="AT422" s="32"/>
      <c r="AU422" s="32"/>
      <c r="AV422" s="32"/>
      <c r="AW422" s="32"/>
      <c r="AX422" s="32"/>
      <c r="AY422" s="32"/>
      <c r="AZ422" s="32"/>
      <c r="BA422" s="32"/>
      <c r="BB422" s="32"/>
      <c r="BC422" s="32"/>
      <c r="BD422" s="32"/>
      <c r="BE422" s="32"/>
      <c r="BF422" s="32"/>
      <c r="BG422" s="32"/>
      <c r="BH422" s="32"/>
    </row>
    <row r="16884" spans="2:16" s="4" customFormat="1" x14ac:dyDescent="0.2">
      <c r="B16884" s="23"/>
      <c r="D16884" s="23"/>
      <c r="E16884" s="23"/>
      <c r="F16884" s="2"/>
      <c r="G16884" s="1"/>
      <c r="H16884" s="1"/>
      <c r="I16884" s="1"/>
      <c r="J16884" s="1"/>
      <c r="K16884" s="1"/>
      <c r="L16884" s="1"/>
      <c r="M16884" s="1"/>
      <c r="N16884" s="1"/>
      <c r="O16884" s="1"/>
      <c r="P16884" s="1"/>
    </row>
    <row r="16886" spans="2:16" s="4" customFormat="1" x14ac:dyDescent="0.2">
      <c r="B16886" s="23"/>
      <c r="D16886" s="23"/>
      <c r="E16886" s="23"/>
      <c r="F16886" s="2"/>
      <c r="G16886" s="1"/>
      <c r="H16886" s="1"/>
      <c r="I16886" s="1"/>
      <c r="J16886" s="1"/>
      <c r="K16886" s="1"/>
      <c r="L16886" s="1"/>
      <c r="M16886" s="1"/>
      <c r="N16886" s="1"/>
      <c r="O16886" s="1"/>
      <c r="P16886" s="1"/>
    </row>
    <row r="16907" spans="7:11" x14ac:dyDescent="0.2">
      <c r="G16907" s="4"/>
      <c r="H16907" s="4"/>
      <c r="I16907" s="4"/>
      <c r="J16907" s="4"/>
      <c r="K16907" s="4"/>
    </row>
    <row r="16909" spans="7:11" x14ac:dyDescent="0.2">
      <c r="G16909" s="4"/>
      <c r="H16909" s="4"/>
      <c r="I16909" s="4"/>
      <c r="J16909" s="4"/>
      <c r="K16909" s="4"/>
    </row>
    <row r="16919" spans="2:16" x14ac:dyDescent="0.2">
      <c r="N16919" s="4"/>
      <c r="O16919" s="4"/>
      <c r="P16919" s="4"/>
    </row>
    <row r="16921" spans="2:16" x14ac:dyDescent="0.2">
      <c r="N16921" s="4"/>
      <c r="O16921" s="4"/>
      <c r="P16921" s="4"/>
    </row>
    <row r="16922" spans="2:16" x14ac:dyDescent="0.2">
      <c r="L16922" s="4"/>
      <c r="M16922" s="4"/>
    </row>
    <row r="16923" spans="2:16" x14ac:dyDescent="0.2">
      <c r="B16923" s="23">
        <f>SUM(B6:B16922)</f>
        <v>0</v>
      </c>
    </row>
    <row r="16924" spans="2:16" x14ac:dyDescent="0.2">
      <c r="L16924" s="4"/>
      <c r="M16924" s="4"/>
    </row>
    <row r="16925" spans="2:16" x14ac:dyDescent="0.2">
      <c r="B16925" s="23">
        <f>SUM(B16923)</f>
        <v>0</v>
      </c>
    </row>
    <row r="1000248" spans="15:15" x14ac:dyDescent="0.2">
      <c r="O1000248" s="11" t="e">
        <f>SUM(#REF!)</f>
        <v>#REF!</v>
      </c>
    </row>
  </sheetData>
  <mergeCells count="22">
    <mergeCell ref="A144:E144"/>
    <mergeCell ref="A149:E149"/>
    <mergeCell ref="A166:E166"/>
    <mergeCell ref="A255:D255"/>
    <mergeCell ref="G5:J5"/>
    <mergeCell ref="A54:B54"/>
    <mergeCell ref="A62:B62"/>
    <mergeCell ref="A68:B68"/>
    <mergeCell ref="A76:C76"/>
    <mergeCell ref="A81:D81"/>
    <mergeCell ref="A87:D87"/>
    <mergeCell ref="A103:E103"/>
    <mergeCell ref="A108:E108"/>
    <mergeCell ref="A116:E116"/>
    <mergeCell ref="A122:E122"/>
    <mergeCell ref="A128:E128"/>
    <mergeCell ref="A135:E135"/>
    <mergeCell ref="A1:P1"/>
    <mergeCell ref="A2:P2"/>
    <mergeCell ref="A3:P3"/>
    <mergeCell ref="A93:D93"/>
    <mergeCell ref="A100:E100"/>
  </mergeCells>
  <pageMargins left="0.23622047244094488" right="0.23622047244094488" top="0.88" bottom="0.74803149606299213" header="0.31496062992125984" footer="0.31496062992125984"/>
  <pageSetup paperSize="5" scale="50" fitToHeight="0" orientation="landscape" r:id="rId1"/>
  <rowBreaks count="14" manualBreakCount="14">
    <brk id="34" max="15" man="1"/>
    <brk id="61" max="15" man="1"/>
    <brk id="86" max="15" man="1"/>
    <brk id="115" max="15" man="1"/>
    <brk id="143" max="15" man="1"/>
    <brk id="165" max="15" man="1"/>
    <brk id="193" max="15" man="1"/>
    <brk id="217" max="15" man="1"/>
    <brk id="243" max="15" man="1"/>
    <brk id="268" max="15" man="1"/>
    <brk id="297" max="15" man="1"/>
    <brk id="324" max="15" man="1"/>
    <brk id="352" max="15" man="1"/>
    <brk id="380" max="15" man="1"/>
  </rowBreaks>
  <ignoredErrors>
    <ignoredError sqref="A5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11"/>
  <sheetViews>
    <sheetView showGridLines="0" tabSelected="1" zoomScale="70" zoomScaleNormal="70" zoomScaleSheetLayoutView="30" workbookViewId="0">
      <pane xSplit="2" ySplit="8" topLeftCell="C257" activePane="bottomRight" state="frozen"/>
      <selection pane="topRight" activeCell="C1" sqref="C1"/>
      <selection pane="bottomLeft" activeCell="A9" sqref="A9"/>
      <selection pane="bottomRight" activeCell="A3" sqref="A3:R3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25.140625" style="23" customWidth="1"/>
    <col min="7" max="7" width="25.5703125" style="23" customWidth="1"/>
    <col min="8" max="8" width="17" style="2" bestFit="1" customWidth="1"/>
    <col min="9" max="9" width="17.140625" style="1" customWidth="1"/>
    <col min="10" max="12" width="15.5703125" style="1" customWidth="1"/>
    <col min="13" max="13" width="16.28515625" style="1" customWidth="1"/>
    <col min="14" max="14" width="14.5703125" style="1" customWidth="1"/>
    <col min="15" max="15" width="14.5703125" style="1" hidden="1" customWidth="1"/>
    <col min="16" max="16" width="19" style="1" bestFit="1" customWidth="1"/>
    <col min="17" max="17" width="20" style="1" customWidth="1"/>
    <col min="18" max="18" width="17" style="1" bestFit="1" customWidth="1"/>
    <col min="19" max="16384" width="11.42578125" style="1"/>
  </cols>
  <sheetData>
    <row r="1" spans="1:19" x14ac:dyDescent="0.2">
      <c r="B1" s="22"/>
      <c r="C1" s="136"/>
    </row>
    <row r="2" spans="1:19" ht="23.25" x14ac:dyDescent="0.35">
      <c r="A2" s="294" t="s">
        <v>409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</row>
    <row r="3" spans="1:19" ht="21" x14ac:dyDescent="0.35">
      <c r="A3" s="295" t="s">
        <v>412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</row>
    <row r="4" spans="1:19" ht="18.75" x14ac:dyDescent="0.3">
      <c r="A4" s="304" t="s">
        <v>711</v>
      </c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</row>
    <row r="5" spans="1:19" ht="6.75" customHeight="1" thickBot="1" x14ac:dyDescent="0.35">
      <c r="A5" s="198"/>
      <c r="B5" s="198"/>
      <c r="C5" s="15"/>
      <c r="D5" s="22"/>
      <c r="E5" s="22"/>
      <c r="F5" s="22"/>
      <c r="G5" s="22"/>
      <c r="H5" s="15"/>
    </row>
    <row r="6" spans="1:19" ht="24.75" customHeight="1" thickBot="1" x14ac:dyDescent="0.3">
      <c r="A6" s="220"/>
      <c r="B6" s="220"/>
      <c r="C6" s="50"/>
      <c r="D6" s="42"/>
      <c r="E6" s="42"/>
      <c r="F6" s="42"/>
      <c r="G6" s="42"/>
      <c r="H6" s="39"/>
      <c r="I6" s="305" t="s">
        <v>120</v>
      </c>
      <c r="J6" s="306"/>
      <c r="K6" s="306"/>
      <c r="L6" s="307"/>
      <c r="M6" s="283"/>
      <c r="N6" s="32"/>
      <c r="O6" s="32"/>
      <c r="P6" s="32"/>
      <c r="Q6" s="32"/>
      <c r="R6" s="32"/>
    </row>
    <row r="7" spans="1:19" s="2" customFormat="1" ht="28.5" customHeight="1" thickBot="1" x14ac:dyDescent="0.25">
      <c r="A7" s="33" t="s">
        <v>0</v>
      </c>
      <c r="B7" s="33" t="s">
        <v>418</v>
      </c>
      <c r="C7" s="33" t="s">
        <v>422</v>
      </c>
      <c r="D7" s="33" t="s">
        <v>442</v>
      </c>
      <c r="E7" s="33" t="s">
        <v>114</v>
      </c>
      <c r="F7" s="33" t="s">
        <v>118</v>
      </c>
      <c r="G7" s="33" t="s">
        <v>119</v>
      </c>
      <c r="H7" s="35" t="s">
        <v>124</v>
      </c>
      <c r="I7" s="33" t="s">
        <v>1</v>
      </c>
      <c r="J7" s="33" t="s">
        <v>2</v>
      </c>
      <c r="K7" s="35" t="s">
        <v>585</v>
      </c>
      <c r="L7" s="33" t="s">
        <v>582</v>
      </c>
      <c r="M7" s="35" t="s">
        <v>583</v>
      </c>
      <c r="N7" s="35" t="s">
        <v>115</v>
      </c>
      <c r="O7" s="35" t="s">
        <v>621</v>
      </c>
      <c r="P7" s="35" t="s">
        <v>117</v>
      </c>
      <c r="Q7" s="35" t="s">
        <v>3</v>
      </c>
      <c r="R7" s="35" t="s">
        <v>116</v>
      </c>
    </row>
    <row r="8" spans="1:19" s="2" customFormat="1" ht="24.95" customHeight="1" thickBot="1" x14ac:dyDescent="0.25">
      <c r="A8" s="229" t="s">
        <v>367</v>
      </c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30"/>
      <c r="R8" s="230"/>
    </row>
    <row r="9" spans="1:19" s="68" customFormat="1" ht="24.95" customHeight="1" x14ac:dyDescent="0.2">
      <c r="A9" s="96">
        <v>1</v>
      </c>
      <c r="B9" s="59" t="s">
        <v>369</v>
      </c>
      <c r="C9" s="145" t="s">
        <v>420</v>
      </c>
      <c r="D9" s="115" t="s">
        <v>419</v>
      </c>
      <c r="E9" s="115" t="s">
        <v>213</v>
      </c>
      <c r="F9" s="190" t="s">
        <v>599</v>
      </c>
      <c r="G9" s="190" t="s">
        <v>690</v>
      </c>
      <c r="H9" s="163">
        <v>130000</v>
      </c>
      <c r="I9" s="8">
        <f>H9*2.87%</f>
        <v>3731</v>
      </c>
      <c r="J9" s="8">
        <f>+H9*3.04%</f>
        <v>3952</v>
      </c>
      <c r="K9" s="8"/>
      <c r="L9" s="8">
        <f>+J9+I9+K9</f>
        <v>7683</v>
      </c>
      <c r="M9" s="8">
        <f>+H9-L9</f>
        <v>122317</v>
      </c>
      <c r="N9" s="8">
        <f>+IF(M9*12&lt;=416220.01,0,IF(M9*12&lt;=624329.01,(((M9*12-416220.01)*0.15)/12),IF((M9*12&lt;=867123.01),(31216+0.2*(M9*12-624329.01))/12,((79776+0.25*(M9*12-867123.01))/12))))-O9</f>
        <v>19162.187291666665</v>
      </c>
      <c r="O9" s="8"/>
      <c r="P9" s="99">
        <v>25</v>
      </c>
      <c r="Q9" s="8">
        <f>+P9+N9+L9</f>
        <v>26870.187291666665</v>
      </c>
      <c r="R9" s="9">
        <f>+H9-Q9</f>
        <v>103129.81270833334</v>
      </c>
      <c r="S9" s="2"/>
    </row>
    <row r="10" spans="1:19" s="68" customFormat="1" ht="24.95" customHeight="1" x14ac:dyDescent="0.2">
      <c r="A10" s="66">
        <v>2</v>
      </c>
      <c r="B10" s="187" t="s">
        <v>541</v>
      </c>
      <c r="C10" s="144" t="s">
        <v>420</v>
      </c>
      <c r="D10" s="118" t="s">
        <v>131</v>
      </c>
      <c r="E10" s="115" t="s">
        <v>213</v>
      </c>
      <c r="F10" s="190" t="s">
        <v>691</v>
      </c>
      <c r="G10" s="190" t="s">
        <v>692</v>
      </c>
      <c r="H10" s="10">
        <v>50000</v>
      </c>
      <c r="I10" s="5">
        <f>H10*2.87%</f>
        <v>1435</v>
      </c>
      <c r="J10" s="5">
        <f>+H10*3.04%</f>
        <v>1520</v>
      </c>
      <c r="K10" s="5"/>
      <c r="L10" s="8">
        <f t="shared" ref="L10:L17" si="0">+J10+I10+K10</f>
        <v>2955</v>
      </c>
      <c r="M10" s="8">
        <f t="shared" ref="M10:M17" si="1">+H10-L10</f>
        <v>47045</v>
      </c>
      <c r="N10" s="8">
        <f t="shared" ref="N10" si="2">+IF(M10*12&lt;=416220.01,0,IF(M10*12&lt;=624329.01,(((M10*12-416220.01)*0.15)/12),IF((M10*12&lt;=867123.01),(31216+0.2*(M10*12-624329.01))/12,((79776+0.25*(M10*12-867123.01))/12))))-O10</f>
        <v>-1.2500000025283953E-4</v>
      </c>
      <c r="O10" s="8">
        <v>1854</v>
      </c>
      <c r="P10" s="67">
        <v>1098.01</v>
      </c>
      <c r="Q10" s="8">
        <f>+P10+N10+L10</f>
        <v>4053.0098749999997</v>
      </c>
      <c r="R10" s="114">
        <f>H10-Q10</f>
        <v>45946.990124999997</v>
      </c>
      <c r="S10" s="2"/>
    </row>
    <row r="11" spans="1:19" s="68" customFormat="1" ht="24.95" customHeight="1" x14ac:dyDescent="0.2">
      <c r="S11" s="2"/>
    </row>
    <row r="12" spans="1:19" s="2" customFormat="1" ht="20.25" customHeight="1" x14ac:dyDescent="0.2">
      <c r="A12" s="300" t="s">
        <v>125</v>
      </c>
      <c r="B12" s="301"/>
      <c r="C12" s="223"/>
      <c r="D12" s="223"/>
      <c r="E12" s="223"/>
      <c r="F12" s="223"/>
      <c r="G12" s="223"/>
      <c r="H12" s="14">
        <f>+H9+H10</f>
        <v>180000</v>
      </c>
      <c r="I12" s="14">
        <f>+I9+I10</f>
        <v>5166</v>
      </c>
      <c r="J12" s="14">
        <f t="shared" ref="J12:R12" si="3">+J9+J10</f>
        <v>5472</v>
      </c>
      <c r="K12" s="14">
        <f t="shared" si="3"/>
        <v>0</v>
      </c>
      <c r="L12" s="14">
        <f t="shared" si="3"/>
        <v>10638</v>
      </c>
      <c r="M12" s="14">
        <f t="shared" si="3"/>
        <v>169362</v>
      </c>
      <c r="N12" s="14">
        <f>+N9+N10</f>
        <v>19162.187166666667</v>
      </c>
      <c r="O12" s="14">
        <f t="shared" si="3"/>
        <v>1854</v>
      </c>
      <c r="P12" s="14">
        <f t="shared" si="3"/>
        <v>1123.01</v>
      </c>
      <c r="Q12" s="14">
        <f t="shared" si="3"/>
        <v>30923.197166666665</v>
      </c>
      <c r="R12" s="14">
        <f t="shared" si="3"/>
        <v>149076.80283333332</v>
      </c>
    </row>
    <row r="13" spans="1:19" s="2" customFormat="1" ht="21" customHeight="1" thickBot="1" x14ac:dyDescent="0.25">
      <c r="A13"/>
      <c r="B13"/>
      <c r="C13" s="136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24.95" customHeight="1" thickBot="1" x14ac:dyDescent="0.25">
      <c r="A14" s="229" t="s">
        <v>291</v>
      </c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</row>
    <row r="15" spans="1:19" s="74" customFormat="1" ht="24.95" customHeight="1" x14ac:dyDescent="0.2">
      <c r="A15" s="66">
        <f>+A10+1</f>
        <v>3</v>
      </c>
      <c r="B15" s="187" t="s">
        <v>371</v>
      </c>
      <c r="C15" s="144" t="s">
        <v>421</v>
      </c>
      <c r="D15" s="118" t="s">
        <v>214</v>
      </c>
      <c r="E15" s="115" t="s">
        <v>213</v>
      </c>
      <c r="F15" s="190" t="s">
        <v>601</v>
      </c>
      <c r="G15" s="190" t="s">
        <v>696</v>
      </c>
      <c r="H15" s="9">
        <v>70000</v>
      </c>
      <c r="I15" s="100">
        <f>H15*2.87%</f>
        <v>2009</v>
      </c>
      <c r="J15" s="100">
        <f>+H15*3.04%</f>
        <v>2128</v>
      </c>
      <c r="K15" s="100"/>
      <c r="L15" s="8">
        <f t="shared" si="0"/>
        <v>4137</v>
      </c>
      <c r="M15" s="8">
        <f t="shared" si="1"/>
        <v>65863</v>
      </c>
      <c r="N15" s="8">
        <f>+IF(M15*12&lt;=416220.01,0,IF(M15*12&lt;=624329.01,(((M15*12-416220.01)*0.15)/12),IF((M15*12&lt;=867123.01),(31216+0.2*(M15*12-624329.01))/12,((79776+0.25*(M15*12-867123.01))/12))))-O15</f>
        <v>5368.4498333333331</v>
      </c>
      <c r="O15" s="8"/>
      <c r="P15" s="99">
        <v>25</v>
      </c>
      <c r="Q15" s="8">
        <f>+P15+N15+L15</f>
        <v>9530.4498333333322</v>
      </c>
      <c r="R15" s="99">
        <f>+H15-Q15</f>
        <v>60469.550166666668</v>
      </c>
      <c r="S15" s="6"/>
    </row>
    <row r="16" spans="1:19" s="68" customFormat="1" ht="24.95" customHeight="1" x14ac:dyDescent="0.2">
      <c r="A16" s="66">
        <f>+A15+1</f>
        <v>4</v>
      </c>
      <c r="B16" s="187" t="s">
        <v>574</v>
      </c>
      <c r="C16" s="144" t="s">
        <v>420</v>
      </c>
      <c r="D16" s="118" t="s">
        <v>555</v>
      </c>
      <c r="E16" s="115" t="s">
        <v>213</v>
      </c>
      <c r="F16" s="190" t="s">
        <v>554</v>
      </c>
      <c r="G16" s="190" t="s">
        <v>602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v>5368.45</v>
      </c>
      <c r="O16" s="8">
        <v>5368.45</v>
      </c>
      <c r="P16" s="67">
        <v>25</v>
      </c>
      <c r="Q16" s="8">
        <f>+P16+N16+L16</f>
        <v>9530.4500000000007</v>
      </c>
      <c r="R16" s="114">
        <f>H16-Q16</f>
        <v>60469.55</v>
      </c>
      <c r="S16" s="2"/>
    </row>
    <row r="17" spans="1:19" s="68" customFormat="1" ht="24.95" customHeight="1" x14ac:dyDescent="0.2">
      <c r="A17" s="66">
        <f>+A16+1</f>
        <v>5</v>
      </c>
      <c r="B17" s="187" t="s">
        <v>573</v>
      </c>
      <c r="C17" s="144" t="s">
        <v>421</v>
      </c>
      <c r="D17" s="118" t="s">
        <v>697</v>
      </c>
      <c r="E17" s="115" t="s">
        <v>213</v>
      </c>
      <c r="F17" s="190" t="s">
        <v>575</v>
      </c>
      <c r="G17" s="190" t="s">
        <v>661</v>
      </c>
      <c r="H17" s="10">
        <v>170000</v>
      </c>
      <c r="I17" s="5">
        <v>4879</v>
      </c>
      <c r="J17" s="5">
        <f>+H17*3.04%</f>
        <v>5168</v>
      </c>
      <c r="K17" s="5"/>
      <c r="L17" s="8">
        <f t="shared" si="0"/>
        <v>10047</v>
      </c>
      <c r="M17" s="8">
        <f t="shared" si="1"/>
        <v>159953</v>
      </c>
      <c r="N17" s="8">
        <f t="shared" ref="N17" si="4">+IF(M17*12&lt;=416220.01,0,IF(M17*12&lt;=624329.01,(((M17*12-416220.01)*0.15)/12),IF((M17*12&lt;=867123.01),(31216+0.2*(M17*12-624329.01))/12,((79776+0.25*(M17*12-867123.01))/12))))-O17</f>
        <v>28571.187291666665</v>
      </c>
      <c r="O17" s="8"/>
      <c r="P17" s="67">
        <v>25</v>
      </c>
      <c r="Q17" s="8">
        <f>+P17+N17+L17</f>
        <v>38643.187291666662</v>
      </c>
      <c r="R17" s="114">
        <f>H17-Q17</f>
        <v>131356.81270833334</v>
      </c>
      <c r="S17" s="2"/>
    </row>
    <row r="18" spans="1:19" s="68" customFormat="1" ht="24.95" customHeight="1" x14ac:dyDescent="0.2">
      <c r="A18" s="119">
        <f>+A17+1</f>
        <v>6</v>
      </c>
      <c r="B18" s="187" t="s">
        <v>553</v>
      </c>
      <c r="C18" s="144" t="s">
        <v>420</v>
      </c>
      <c r="D18" s="118" t="s">
        <v>131</v>
      </c>
      <c r="E18" s="115" t="s">
        <v>213</v>
      </c>
      <c r="F18" s="183" t="s">
        <v>554</v>
      </c>
      <c r="G18" s="190" t="s">
        <v>600</v>
      </c>
      <c r="H18" s="10">
        <v>70000</v>
      </c>
      <c r="I18" s="5">
        <f>H18*2.87%</f>
        <v>2009</v>
      </c>
      <c r="J18" s="5">
        <f>+H18*3.04%</f>
        <v>2128</v>
      </c>
      <c r="K18" s="5"/>
      <c r="L18" s="8">
        <f>+J18+I18+K18</f>
        <v>4137</v>
      </c>
      <c r="M18" s="8">
        <f>+H18-L18</f>
        <v>65863</v>
      </c>
      <c r="N18" s="8">
        <f>+IF(M18*12&lt;=416220.01,0,IF(M18*12&lt;=624329.01,(((M18*12-416220.01)*0.15)/12),IF((M18*12&lt;=867123.01),(31216+0.2*(M18*12-624329.01))/12,((79776+0.25*(M18*12-867123.01))/12))))-O18</f>
        <v>5368.4498333333331</v>
      </c>
      <c r="O18" s="8"/>
      <c r="P18" s="67">
        <v>25</v>
      </c>
      <c r="Q18" s="8">
        <f>+P18+N18+L18</f>
        <v>9530.4498333333322</v>
      </c>
      <c r="R18" s="114">
        <f>H18-Q18</f>
        <v>60469.550166666668</v>
      </c>
      <c r="S18" s="2"/>
    </row>
    <row r="19" spans="1:19" s="2" customFormat="1" ht="24.95" customHeight="1" x14ac:dyDescent="0.2">
      <c r="A19" s="300" t="s">
        <v>125</v>
      </c>
      <c r="B19" s="301"/>
      <c r="C19" s="223"/>
      <c r="D19" s="223"/>
      <c r="E19" s="223"/>
      <c r="F19" s="223"/>
      <c r="G19" s="223"/>
      <c r="H19" s="14">
        <f>SUM(H15:H18)</f>
        <v>380000</v>
      </c>
      <c r="I19" s="14">
        <f t="shared" ref="I19:R19" si="5">SUM(I15:I18)</f>
        <v>10906</v>
      </c>
      <c r="J19" s="14">
        <f t="shared" si="5"/>
        <v>11552</v>
      </c>
      <c r="K19" s="14">
        <f t="shared" si="5"/>
        <v>0</v>
      </c>
      <c r="L19" s="14">
        <f t="shared" si="5"/>
        <v>22458</v>
      </c>
      <c r="M19" s="14">
        <f t="shared" si="5"/>
        <v>357542</v>
      </c>
      <c r="N19" s="14">
        <f t="shared" si="5"/>
        <v>44676.53695833333</v>
      </c>
      <c r="O19" s="14">
        <f t="shared" si="5"/>
        <v>5368.45</v>
      </c>
      <c r="P19" s="14">
        <f t="shared" si="5"/>
        <v>100</v>
      </c>
      <c r="Q19" s="14">
        <f t="shared" si="5"/>
        <v>67234.536958333323</v>
      </c>
      <c r="R19" s="14">
        <f t="shared" si="5"/>
        <v>312765.46304166666</v>
      </c>
    </row>
    <row r="20" spans="1:19" s="2" customFormat="1" ht="20.25" customHeight="1" thickBot="1" x14ac:dyDescent="0.25">
      <c r="A20" s="62"/>
      <c r="B20" s="62"/>
      <c r="C20" s="62"/>
      <c r="D20" s="62"/>
      <c r="E20" s="62"/>
      <c r="F20" s="62"/>
      <c r="G20" s="62"/>
      <c r="H20"/>
      <c r="I20"/>
      <c r="J20"/>
      <c r="K20"/>
      <c r="L20"/>
      <c r="M20"/>
      <c r="N20"/>
      <c r="O20"/>
      <c r="P20"/>
      <c r="Q20"/>
      <c r="R20"/>
    </row>
    <row r="21" spans="1:19" s="2" customFormat="1" ht="24.95" customHeight="1" thickBot="1" x14ac:dyDescent="0.25">
      <c r="A21" s="229" t="s">
        <v>90</v>
      </c>
      <c r="B21" s="230"/>
      <c r="C21" s="230"/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</row>
    <row r="22" spans="1:19" s="74" customFormat="1" ht="24.95" customHeight="1" x14ac:dyDescent="0.2">
      <c r="A22" s="96">
        <f>+A18+1</f>
        <v>7</v>
      </c>
      <c r="B22" s="59" t="s">
        <v>370</v>
      </c>
      <c r="C22" s="145" t="s">
        <v>420</v>
      </c>
      <c r="D22" s="118" t="s">
        <v>521</v>
      </c>
      <c r="E22" s="115" t="s">
        <v>213</v>
      </c>
      <c r="F22" s="24" t="s">
        <v>603</v>
      </c>
      <c r="G22" s="24" t="s">
        <v>716</v>
      </c>
      <c r="H22" s="9">
        <v>170000</v>
      </c>
      <c r="I22" s="100">
        <f>H22*2.87%</f>
        <v>4879</v>
      </c>
      <c r="J22" s="192">
        <f>+H22*3.04%</f>
        <v>5168</v>
      </c>
      <c r="K22" s="100"/>
      <c r="L22" s="8">
        <f>+J22+I22+K22</f>
        <v>10047</v>
      </c>
      <c r="M22" s="8">
        <f>+H22-L22</f>
        <v>159953</v>
      </c>
      <c r="N22" s="8">
        <f>+IF(M22*12&lt;=416220.01,0,IF(M22*12&lt;=624329.01,(((M22*12-416220.01)*0.15)/12),IF((M22*12&lt;=867123.01),(31216+0.2*(M22*12-624329.01))/12,((79776+0.25*(M22*12-867123.01))/12))))-O22</f>
        <v>28571.187291666665</v>
      </c>
      <c r="O22" s="8"/>
      <c r="P22" s="99">
        <v>7525</v>
      </c>
      <c r="Q22" s="8">
        <f>+P22+N22+L22</f>
        <v>46143.187291666662</v>
      </c>
      <c r="R22" s="99">
        <f>+H22-Q22</f>
        <v>123856.81270833334</v>
      </c>
      <c r="S22" s="6"/>
    </row>
    <row r="23" spans="1:19" s="68" customFormat="1" ht="24.95" customHeight="1" x14ac:dyDescent="0.2">
      <c r="A23" s="179">
        <f>+A22+1</f>
        <v>8</v>
      </c>
      <c r="B23" s="194" t="s">
        <v>373</v>
      </c>
      <c r="C23" s="191" t="s">
        <v>420</v>
      </c>
      <c r="D23" s="180" t="s">
        <v>142</v>
      </c>
      <c r="E23" s="180" t="s">
        <v>213</v>
      </c>
      <c r="F23" s="61" t="s">
        <v>604</v>
      </c>
      <c r="G23" s="61" t="s">
        <v>698</v>
      </c>
      <c r="H23" s="9">
        <v>90000</v>
      </c>
      <c r="I23" s="192">
        <f>H23*2.87%</f>
        <v>2583</v>
      </c>
      <c r="J23" s="192">
        <f>+H23*3.04%</f>
        <v>2736</v>
      </c>
      <c r="K23" s="192"/>
      <c r="L23" s="8">
        <f>+J23+I23+K23</f>
        <v>5319</v>
      </c>
      <c r="M23" s="8">
        <f>+H23-L23</f>
        <v>84681</v>
      </c>
      <c r="N23" s="8">
        <f t="shared" ref="N23:N24" si="6">+IF(M23*12&lt;=416220.01,0,IF(M23*12&lt;=624329.01,(((M23*12-416220.01)*0.15)/12),IF((M23*12&lt;=867123.01),(31216+0.2*(M23*12-624329.01))/12,((79776+0.25*(M23*12-867123.01))/12))))-O23</f>
        <v>9753.1872916666671</v>
      </c>
      <c r="O23" s="8"/>
      <c r="P23" s="193">
        <v>25</v>
      </c>
      <c r="Q23" s="8">
        <f>+P23+N23+L23</f>
        <v>15097.187291666667</v>
      </c>
      <c r="R23" s="193">
        <f>+H23-Q23</f>
        <v>74902.812708333338</v>
      </c>
      <c r="S23" s="2"/>
    </row>
    <row r="24" spans="1:19" s="68" customFormat="1" ht="24.95" customHeight="1" x14ac:dyDescent="0.2">
      <c r="A24" s="119">
        <f>A23+1</f>
        <v>9</v>
      </c>
      <c r="B24" s="5" t="s">
        <v>542</v>
      </c>
      <c r="C24" s="144" t="s">
        <v>420</v>
      </c>
      <c r="D24" s="118" t="s">
        <v>142</v>
      </c>
      <c r="E24" s="180" t="s">
        <v>213</v>
      </c>
      <c r="F24" s="61" t="s">
        <v>605</v>
      </c>
      <c r="G24" s="61" t="s">
        <v>699</v>
      </c>
      <c r="H24" s="114">
        <v>70000</v>
      </c>
      <c r="I24" s="61">
        <f>H24*2.87%</f>
        <v>2009</v>
      </c>
      <c r="J24" s="61">
        <f>+H24*3.04%</f>
        <v>2128</v>
      </c>
      <c r="K24" s="61"/>
      <c r="L24" s="8">
        <f>+J24+I24+K24</f>
        <v>4137</v>
      </c>
      <c r="M24" s="8">
        <f>+H24-L24</f>
        <v>65863</v>
      </c>
      <c r="N24" s="8">
        <f t="shared" si="6"/>
        <v>-1.6666666670062114E-4</v>
      </c>
      <c r="O24" s="8">
        <v>5368.45</v>
      </c>
      <c r="P24" s="67">
        <v>1044.96</v>
      </c>
      <c r="Q24" s="8">
        <f>+P24+N24+L24</f>
        <v>5181.9598333333333</v>
      </c>
      <c r="R24" s="67">
        <f>H24-Q24</f>
        <v>64818.040166666666</v>
      </c>
      <c r="S24" s="2"/>
    </row>
    <row r="25" spans="1:19" s="2" customFormat="1" ht="24.95" customHeight="1" x14ac:dyDescent="0.2">
      <c r="A25" s="300" t="s">
        <v>125</v>
      </c>
      <c r="B25" s="301"/>
      <c r="C25" s="223"/>
      <c r="D25" s="223"/>
      <c r="E25" s="223"/>
      <c r="F25" s="223"/>
      <c r="G25" s="223"/>
      <c r="H25" s="14">
        <f>SUM(H22:H24)</f>
        <v>330000</v>
      </c>
      <c r="I25" s="14">
        <f t="shared" ref="I25:R25" si="7">SUM(I22:I24)</f>
        <v>9471</v>
      </c>
      <c r="J25" s="14">
        <f t="shared" si="7"/>
        <v>10032</v>
      </c>
      <c r="K25" s="14">
        <f t="shared" si="7"/>
        <v>0</v>
      </c>
      <c r="L25" s="14">
        <f t="shared" si="7"/>
        <v>19503</v>
      </c>
      <c r="M25" s="14">
        <f t="shared" si="7"/>
        <v>310497</v>
      </c>
      <c r="N25" s="14">
        <f t="shared" si="7"/>
        <v>38324.374416666666</v>
      </c>
      <c r="O25" s="14">
        <f t="shared" si="7"/>
        <v>5368.45</v>
      </c>
      <c r="P25" s="14">
        <f t="shared" si="7"/>
        <v>8594.9599999999991</v>
      </c>
      <c r="Q25" s="14">
        <f t="shared" si="7"/>
        <v>66422.334416666665</v>
      </c>
      <c r="R25" s="14">
        <f t="shared" si="7"/>
        <v>263577.66558333335</v>
      </c>
    </row>
    <row r="26" spans="1:19" s="2" customFormat="1" ht="15.75" customHeight="1" thickBot="1" x14ac:dyDescent="0.25">
      <c r="A26" s="62"/>
      <c r="B26" s="62"/>
      <c r="C26" s="62"/>
      <c r="D26" s="62"/>
      <c r="E26" s="62"/>
      <c r="F26" s="62"/>
      <c r="G26" s="62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9" s="2" customFormat="1" ht="24.95" customHeight="1" thickBot="1" x14ac:dyDescent="0.25">
      <c r="A27" s="221" t="s">
        <v>430</v>
      </c>
      <c r="B27" s="222"/>
      <c r="C27" s="222"/>
      <c r="D27" s="222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</row>
    <row r="28" spans="1:19" s="74" customFormat="1" ht="28.5" customHeight="1" x14ac:dyDescent="0.2">
      <c r="A28" s="101">
        <f>A24+1</f>
        <v>10</v>
      </c>
      <c r="B28" s="178" t="s">
        <v>431</v>
      </c>
      <c r="C28" s="179" t="s">
        <v>421</v>
      </c>
      <c r="D28" s="180" t="s">
        <v>432</v>
      </c>
      <c r="E28" s="115" t="s">
        <v>213</v>
      </c>
      <c r="F28" s="24" t="s">
        <v>606</v>
      </c>
      <c r="G28" s="24" t="s">
        <v>722</v>
      </c>
      <c r="H28" s="10">
        <v>130000</v>
      </c>
      <c r="I28" s="8">
        <f>H28*2.87%</f>
        <v>3731</v>
      </c>
      <c r="J28" s="8">
        <f>+H28*3.04%</f>
        <v>3952</v>
      </c>
      <c r="K28" s="8"/>
      <c r="L28" s="8">
        <f>+J28+I28+K28</f>
        <v>7683</v>
      </c>
      <c r="M28" s="8">
        <f>+H28-L28</f>
        <v>122317</v>
      </c>
      <c r="N28" s="8">
        <f>+IF(M28*12&lt;=416220.01,0,IF(M28*12&lt;=624329.01,(((M28*12-416220.01)*0.15)/12),IF((M28*12&lt;=867123.01),(31216+0.2*(M28*12-624329.01))/12,((79776+0.25*(M28*12-867123.01))/12))))</f>
        <v>19162.187291666665</v>
      </c>
      <c r="O28" s="8"/>
      <c r="P28" s="99">
        <v>25</v>
      </c>
      <c r="Q28" s="8">
        <f>+P28+N28+L28</f>
        <v>26870.187291666665</v>
      </c>
      <c r="R28" s="9">
        <f>+H28-Q28</f>
        <v>103129.81270833334</v>
      </c>
      <c r="S28" s="6"/>
    </row>
    <row r="29" spans="1:19" s="6" customFormat="1" ht="24.95" customHeight="1" x14ac:dyDescent="0.2">
      <c r="A29" s="300" t="s">
        <v>125</v>
      </c>
      <c r="B29" s="301"/>
      <c r="C29" s="223"/>
      <c r="D29" s="223"/>
      <c r="E29" s="223"/>
      <c r="F29" s="223"/>
      <c r="G29" s="223"/>
      <c r="H29" s="14">
        <f>SUM(H28)</f>
        <v>130000</v>
      </c>
      <c r="I29" s="14">
        <f t="shared" ref="I29:R29" si="8">SUM(I28)</f>
        <v>3731</v>
      </c>
      <c r="J29" s="14">
        <f t="shared" si="8"/>
        <v>3952</v>
      </c>
      <c r="K29" s="14">
        <f t="shared" si="8"/>
        <v>0</v>
      </c>
      <c r="L29" s="14">
        <f t="shared" si="8"/>
        <v>7683</v>
      </c>
      <c r="M29" s="14">
        <f t="shared" si="8"/>
        <v>122317</v>
      </c>
      <c r="N29" s="14">
        <f t="shared" si="8"/>
        <v>19162.187291666665</v>
      </c>
      <c r="O29" s="14">
        <f t="shared" si="8"/>
        <v>0</v>
      </c>
      <c r="P29" s="14">
        <f t="shared" si="8"/>
        <v>25</v>
      </c>
      <c r="Q29" s="14">
        <f t="shared" si="8"/>
        <v>26870.187291666665</v>
      </c>
      <c r="R29" s="14">
        <f t="shared" si="8"/>
        <v>103129.81270833334</v>
      </c>
    </row>
    <row r="30" spans="1:19" s="6" customFormat="1" ht="24.95" customHeight="1" thickBot="1" x14ac:dyDescent="0.25">
      <c r="A30" s="62"/>
      <c r="B30" s="62"/>
      <c r="C30" s="62"/>
      <c r="D30" s="62"/>
      <c r="E30" s="62"/>
      <c r="F30" s="62"/>
      <c r="G30" s="62"/>
    </row>
    <row r="31" spans="1:19" s="2" customFormat="1" ht="24.95" customHeight="1" thickBot="1" x14ac:dyDescent="0.25">
      <c r="A31" s="229" t="s">
        <v>374</v>
      </c>
      <c r="B31" s="230"/>
      <c r="C31" s="230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230"/>
      <c r="R31" s="230"/>
    </row>
    <row r="32" spans="1:19" s="2" customFormat="1" ht="24.95" customHeight="1" x14ac:dyDescent="0.2">
      <c r="A32" s="119">
        <f>+A28+1</f>
        <v>11</v>
      </c>
      <c r="B32" s="5" t="s">
        <v>372</v>
      </c>
      <c r="C32" s="145" t="s">
        <v>420</v>
      </c>
      <c r="D32" s="115" t="s">
        <v>535</v>
      </c>
      <c r="E32" s="115" t="s">
        <v>213</v>
      </c>
      <c r="F32" s="190" t="s">
        <v>607</v>
      </c>
      <c r="G32" s="190" t="s">
        <v>689</v>
      </c>
      <c r="H32" s="9">
        <v>100000</v>
      </c>
      <c r="I32" s="100">
        <f>H32*2.87%</f>
        <v>2870</v>
      </c>
      <c r="J32" s="100">
        <f>+H32*3.04%</f>
        <v>3040</v>
      </c>
      <c r="K32" s="100"/>
      <c r="L32" s="8">
        <f>+J32+I32+K32</f>
        <v>5910</v>
      </c>
      <c r="M32" s="8">
        <f>+H32-L32</f>
        <v>94090</v>
      </c>
      <c r="N32" s="8">
        <f>+IF(M32*12&lt;=416220.01,0,IF(M32*12&lt;=624329.01,(((M32*12-416220.01)*0.15)/12),IF((M32*12&lt;=867123.01),(31216+0.2*(M32*12-624329.01))/12,((79776+0.25*(M32*12-867123.01))/12))))-O32</f>
        <v>12105.437291666667</v>
      </c>
      <c r="O32" s="8"/>
      <c r="P32" s="99">
        <v>23985.35</v>
      </c>
      <c r="Q32" s="8">
        <f>+P32+N32+L32</f>
        <v>42000.787291666667</v>
      </c>
      <c r="R32" s="99">
        <f>+H32-Q32</f>
        <v>57999.212708333333</v>
      </c>
    </row>
    <row r="33" spans="1:19" s="68" customFormat="1" ht="27" customHeight="1" x14ac:dyDescent="0.2">
      <c r="A33" s="12">
        <f>A32+1</f>
        <v>12</v>
      </c>
      <c r="B33" s="100" t="s">
        <v>375</v>
      </c>
      <c r="C33" s="145" t="s">
        <v>421</v>
      </c>
      <c r="D33" s="115" t="s">
        <v>145</v>
      </c>
      <c r="E33" s="115" t="s">
        <v>213</v>
      </c>
      <c r="F33" s="98" t="s">
        <v>608</v>
      </c>
      <c r="G33" s="98" t="s">
        <v>682</v>
      </c>
      <c r="H33" s="9">
        <v>100000</v>
      </c>
      <c r="I33" s="100">
        <f>H33*2.87%</f>
        <v>2870</v>
      </c>
      <c r="J33" s="100">
        <f>+H33*3.04%</f>
        <v>3040</v>
      </c>
      <c r="K33" s="100"/>
      <c r="L33" s="8">
        <f>+J33+I33+K33</f>
        <v>5910</v>
      </c>
      <c r="M33" s="8">
        <f>+H33-L33</f>
        <v>94090</v>
      </c>
      <c r="N33" s="8">
        <f t="shared" ref="N33:N34" si="9">+IF(M33*12&lt;=416220.01,0,IF(M33*12&lt;=624329.01,(((M33*12-416220.01)*0.15)/12),IF((M33*12&lt;=867123.01),(31216+0.2*(M33*12-624329.01))/12,((79776+0.25*(M33*12-867123.01))/12))))-O33</f>
        <v>12105.437291666667</v>
      </c>
      <c r="O33" s="8"/>
      <c r="P33" s="99">
        <f>1073.01+25</f>
        <v>1098.01</v>
      </c>
      <c r="Q33" s="8">
        <f>+P33+N33+L33</f>
        <v>19113.447291666667</v>
      </c>
      <c r="R33" s="99">
        <f>+H33-Q33</f>
        <v>80886.552708333329</v>
      </c>
      <c r="S33" s="2"/>
    </row>
    <row r="34" spans="1:19" s="74" customFormat="1" ht="24.95" customHeight="1" x14ac:dyDescent="0.2">
      <c r="A34" s="96">
        <f>+A33+1</f>
        <v>13</v>
      </c>
      <c r="B34" s="117" t="s">
        <v>386</v>
      </c>
      <c r="C34" s="144" t="s">
        <v>421</v>
      </c>
      <c r="D34" s="115" t="s">
        <v>685</v>
      </c>
      <c r="E34" s="115" t="s">
        <v>213</v>
      </c>
      <c r="F34" s="24" t="s">
        <v>552</v>
      </c>
      <c r="G34" s="24" t="s">
        <v>610</v>
      </c>
      <c r="H34" s="114">
        <v>70000</v>
      </c>
      <c r="I34" s="8">
        <f t="shared" ref="I34" si="10">H34*2.87%</f>
        <v>2009</v>
      </c>
      <c r="J34" s="8">
        <f t="shared" ref="J34" si="11">+H34*3.04%</f>
        <v>2128</v>
      </c>
      <c r="K34" s="8"/>
      <c r="L34" s="8">
        <f>+J34+I34+K34</f>
        <v>4137</v>
      </c>
      <c r="M34" s="8">
        <f>+H34-L34</f>
        <v>65863</v>
      </c>
      <c r="N34" s="8">
        <f t="shared" si="9"/>
        <v>5368.4498333333331</v>
      </c>
      <c r="O34" s="8"/>
      <c r="P34" s="99">
        <v>7865.58</v>
      </c>
      <c r="Q34" s="8">
        <f>+P34+N34+L34</f>
        <v>17371.029833333334</v>
      </c>
      <c r="R34" s="9">
        <f>+H34-Q34</f>
        <v>52628.970166666666</v>
      </c>
      <c r="S34" s="6"/>
    </row>
    <row r="35" spans="1:19" s="2" customFormat="1" ht="24.95" customHeight="1" x14ac:dyDescent="0.2">
      <c r="A35" s="300" t="s">
        <v>125</v>
      </c>
      <c r="B35" s="301"/>
      <c r="C35" s="223"/>
      <c r="D35" s="223"/>
      <c r="E35" s="223"/>
      <c r="F35" s="223"/>
      <c r="G35" s="223"/>
      <c r="H35" s="14">
        <f>SUM(H32:H34)</f>
        <v>270000</v>
      </c>
      <c r="I35" s="14">
        <f t="shared" ref="I35:R35" si="12">SUM(I32:I34)</f>
        <v>7749</v>
      </c>
      <c r="J35" s="14">
        <f t="shared" si="12"/>
        <v>8208</v>
      </c>
      <c r="K35" s="14">
        <f t="shared" si="12"/>
        <v>0</v>
      </c>
      <c r="L35" s="14">
        <f t="shared" si="12"/>
        <v>15957</v>
      </c>
      <c r="M35" s="14">
        <f t="shared" si="12"/>
        <v>254043</v>
      </c>
      <c r="N35" s="14">
        <f t="shared" si="12"/>
        <v>29579.324416666666</v>
      </c>
      <c r="O35" s="14">
        <f t="shared" si="12"/>
        <v>0</v>
      </c>
      <c r="P35" s="14">
        <f t="shared" si="12"/>
        <v>32948.939999999995</v>
      </c>
      <c r="Q35" s="14">
        <f t="shared" si="12"/>
        <v>78485.264416666672</v>
      </c>
      <c r="R35" s="14">
        <f t="shared" si="12"/>
        <v>191514.73558333333</v>
      </c>
    </row>
    <row r="36" spans="1:19" s="6" customFormat="1" ht="15" customHeight="1" thickBot="1" x14ac:dyDescent="0.25">
      <c r="A36" s="62"/>
      <c r="B36" s="62"/>
      <c r="C36" s="62"/>
      <c r="D36" s="62"/>
      <c r="E36" s="62"/>
      <c r="F36" s="62"/>
      <c r="G36" s="62"/>
    </row>
    <row r="37" spans="1:19" s="2" customFormat="1" ht="24.95" customHeight="1" thickBot="1" x14ac:dyDescent="0.25">
      <c r="A37" s="229" t="s">
        <v>92</v>
      </c>
      <c r="B37" s="230"/>
      <c r="C37" s="230"/>
      <c r="D37" s="230"/>
      <c r="E37" s="230"/>
      <c r="F37" s="230"/>
      <c r="G37" s="230"/>
      <c r="H37" s="230"/>
      <c r="I37" s="230"/>
      <c r="J37" s="230"/>
      <c r="K37" s="230"/>
      <c r="L37" s="230"/>
      <c r="M37" s="230"/>
      <c r="N37" s="230"/>
      <c r="O37" s="230"/>
      <c r="P37" s="230"/>
      <c r="Q37" s="230"/>
      <c r="R37" s="230"/>
    </row>
    <row r="38" spans="1:19" s="74" customFormat="1" ht="35.25" customHeight="1" x14ac:dyDescent="0.2">
      <c r="A38" s="119">
        <f>+A34+1</f>
        <v>14</v>
      </c>
      <c r="B38" s="120" t="s">
        <v>376</v>
      </c>
      <c r="C38" s="119" t="s">
        <v>421</v>
      </c>
      <c r="D38" s="118" t="s">
        <v>452</v>
      </c>
      <c r="E38" s="118" t="s">
        <v>213</v>
      </c>
      <c r="F38" s="183" t="s">
        <v>605</v>
      </c>
      <c r="G38" s="183" t="s">
        <v>700</v>
      </c>
      <c r="H38" s="61">
        <v>110000</v>
      </c>
      <c r="I38" s="61">
        <f>H38*2.87%</f>
        <v>3157</v>
      </c>
      <c r="J38" s="61">
        <f>+H38*3.04%</f>
        <v>3344</v>
      </c>
      <c r="K38" s="61"/>
      <c r="L38" s="8">
        <f>+J38+I38+K38</f>
        <v>6501</v>
      </c>
      <c r="M38" s="8">
        <f>+H38-L38</f>
        <v>103499</v>
      </c>
      <c r="N38" s="8">
        <f>+IF(M38*12&lt;=416220.01,0,IF(M38*12&lt;=624329.01,(((M38*12-416220.01)*0.15)/12),IF((M38*12&lt;=867123.01),(31216+0.2*(M38*12-624329.01))/12,((79776+0.25*(M38*12-867123.01))/12))))-O38</f>
        <v>14457.687291666667</v>
      </c>
      <c r="O38" s="8"/>
      <c r="P38" s="67">
        <v>25</v>
      </c>
      <c r="Q38" s="8">
        <f>+P38+N38+L38</f>
        <v>20983.687291666669</v>
      </c>
      <c r="R38" s="67">
        <f>+H38-Q38</f>
        <v>89016.312708333338</v>
      </c>
      <c r="S38" s="6"/>
    </row>
    <row r="39" spans="1:19" s="74" customFormat="1" ht="35.25" customHeight="1" x14ac:dyDescent="0.2">
      <c r="A39" s="66">
        <f>+A38+1</f>
        <v>15</v>
      </c>
      <c r="B39" s="120" t="s">
        <v>433</v>
      </c>
      <c r="C39" s="119" t="s">
        <v>421</v>
      </c>
      <c r="D39" s="118" t="s">
        <v>286</v>
      </c>
      <c r="E39" s="118" t="s">
        <v>213</v>
      </c>
      <c r="F39" s="98" t="s">
        <v>603</v>
      </c>
      <c r="G39" s="98" t="s">
        <v>716</v>
      </c>
      <c r="H39" s="100">
        <v>80000</v>
      </c>
      <c r="I39" s="100">
        <f>H39*2.87%</f>
        <v>2296</v>
      </c>
      <c r="J39" s="100">
        <f>+H39*3.04%</f>
        <v>2432</v>
      </c>
      <c r="K39" s="100"/>
      <c r="L39" s="8">
        <f>+J39+I39+K39</f>
        <v>4728</v>
      </c>
      <c r="M39" s="8">
        <f>+H39-L39</f>
        <v>75272</v>
      </c>
      <c r="N39" s="8">
        <f>+IF(M39*12&lt;=416220.01,0,IF(M39*12&lt;=624329.01,(((M39*12-416220.01)*0.15)/12),IF((M39*12&lt;=867123.01),(31216+0.2*(M39*12-624329.01))/12,((79776+0.25*(M39*12-867123.01))/12))))-O39</f>
        <v>7400.9372916666662</v>
      </c>
      <c r="O39" s="8"/>
      <c r="P39" s="99">
        <v>25</v>
      </c>
      <c r="Q39" s="8">
        <f>+P39+N39+L39</f>
        <v>12153.937291666665</v>
      </c>
      <c r="R39" s="99">
        <f>+H39-Q39</f>
        <v>67846.062708333338</v>
      </c>
      <c r="S39" s="6"/>
    </row>
    <row r="40" spans="1:19" s="6" customFormat="1" ht="24.95" customHeight="1" x14ac:dyDescent="0.2">
      <c r="A40" s="96">
        <f>+A39+1</f>
        <v>16</v>
      </c>
      <c r="B40" s="24" t="s">
        <v>501</v>
      </c>
      <c r="C40" s="12" t="s">
        <v>421</v>
      </c>
      <c r="D40" s="118" t="s">
        <v>286</v>
      </c>
      <c r="E40" s="115" t="s">
        <v>213</v>
      </c>
      <c r="F40" s="98" t="s">
        <v>616</v>
      </c>
      <c r="G40" s="98" t="s">
        <v>701</v>
      </c>
      <c r="H40" s="100">
        <v>70000</v>
      </c>
      <c r="I40" s="100">
        <f>H40*2.87%</f>
        <v>2009</v>
      </c>
      <c r="J40" s="100">
        <f>+H40*3.04%</f>
        <v>2128</v>
      </c>
      <c r="K40" s="100"/>
      <c r="L40" s="8">
        <f>+J40+I40+K40</f>
        <v>4137</v>
      </c>
      <c r="M40" s="8">
        <f>+H40-L40</f>
        <v>65863</v>
      </c>
      <c r="N40" s="5">
        <f>+IF(M40*12&lt;=416220.01,0,IF(M40*12&lt;=624329.01,(((M40*12-416220.01)*0.15)/12),IF((M40*12&lt;=867123.01),(31216+0.2*(M40*12-624329.01))/12,((79776+0.25*(M40*12-867123.01))/12))))-O40</f>
        <v>5368.4498333333331</v>
      </c>
      <c r="O40" s="8">
        <v>0</v>
      </c>
      <c r="P40" s="99">
        <v>2525</v>
      </c>
      <c r="Q40" s="8">
        <f>+P40+N40+L40</f>
        <v>12030.449833333332</v>
      </c>
      <c r="R40" s="99">
        <f>+H40-Q40</f>
        <v>57969.550166666668</v>
      </c>
    </row>
    <row r="41" spans="1:19" s="6" customFormat="1" ht="24.95" customHeight="1" x14ac:dyDescent="0.2">
      <c r="A41" s="96">
        <f>+A40+1</f>
        <v>17</v>
      </c>
      <c r="B41" s="24" t="s">
        <v>668</v>
      </c>
      <c r="C41" s="12" t="s">
        <v>420</v>
      </c>
      <c r="D41" s="118" t="s">
        <v>286</v>
      </c>
      <c r="E41" s="115" t="s">
        <v>213</v>
      </c>
      <c r="F41" s="98" t="s">
        <v>605</v>
      </c>
      <c r="G41" s="98" t="s">
        <v>658</v>
      </c>
      <c r="H41" s="100">
        <v>70000</v>
      </c>
      <c r="I41" s="100">
        <f>H41*2.87%</f>
        <v>2009</v>
      </c>
      <c r="J41" s="100">
        <f>+H41*3.04%</f>
        <v>2128</v>
      </c>
      <c r="K41" s="100"/>
      <c r="L41" s="8">
        <f>+J41+I41+K41</f>
        <v>4137</v>
      </c>
      <c r="M41" s="8">
        <f>+H41-L41</f>
        <v>65863</v>
      </c>
      <c r="N41" s="5">
        <f>+IF(M41*12&lt;=416220.01,0,IF(M41*12&lt;=624329.01,(((M41*12-416220.01)*0.15)/12),IF((M41*12&lt;=867123.01),(31216+0.2*(M41*12-624329.01))/12,((79776+0.25*(M41*12-867123.01))/12))))-O41</f>
        <v>5368.4498333333331</v>
      </c>
      <c r="O41" s="8"/>
      <c r="P41" s="99">
        <v>65</v>
      </c>
      <c r="Q41" s="100">
        <f>+P41+N41+L41</f>
        <v>9570.4498333333322</v>
      </c>
      <c r="R41" s="99">
        <f>+H41-Q41</f>
        <v>60429.550166666668</v>
      </c>
    </row>
    <row r="42" spans="1:19" s="6" customFormat="1" ht="24.95" customHeight="1" x14ac:dyDescent="0.2">
      <c r="A42" s="96">
        <f>+A41+1</f>
        <v>18</v>
      </c>
      <c r="B42" s="24" t="s">
        <v>632</v>
      </c>
      <c r="C42" s="246" t="s">
        <v>421</v>
      </c>
      <c r="D42" s="118" t="s">
        <v>286</v>
      </c>
      <c r="E42" s="115" t="s">
        <v>213</v>
      </c>
      <c r="F42" s="190" t="s">
        <v>608</v>
      </c>
      <c r="G42" s="98" t="s">
        <v>682</v>
      </c>
      <c r="H42" s="100">
        <v>70000</v>
      </c>
      <c r="I42" s="100">
        <f t="shared" ref="I42" si="13">H42*2.87%</f>
        <v>2009</v>
      </c>
      <c r="J42" s="100">
        <f t="shared" ref="J42" si="14">+H42*3.04%</f>
        <v>2128</v>
      </c>
      <c r="K42" s="100"/>
      <c r="L42" s="8">
        <f>+I42+J42+K42</f>
        <v>4137</v>
      </c>
      <c r="M42" s="8">
        <f>+H42-L42</f>
        <v>65863</v>
      </c>
      <c r="N42" s="5">
        <f t="shared" ref="N42" si="15">+IF(M42*12&lt;=416220.01,0,IF(M42*12&lt;=624329.01,(((M42*12-416220.01)*0.15)/12),IF((M42*12&lt;=867123.01),(31216+0.2*(M42*12-624329.01))/12,((79776+0.25*(M42*12-867123.01))/12))))</f>
        <v>5368.4498333333331</v>
      </c>
      <c r="O42" s="8"/>
      <c r="P42" s="99">
        <v>2025</v>
      </c>
      <c r="Q42" s="100">
        <f>+P42+K42+J42+I42+N42</f>
        <v>11530.449833333332</v>
      </c>
      <c r="R42" s="99">
        <f>+H42-Q42</f>
        <v>58469.550166666668</v>
      </c>
    </row>
    <row r="43" spans="1:19" s="6" customFormat="1" ht="24.95" customHeight="1" x14ac:dyDescent="0.2">
      <c r="A43" s="300" t="s">
        <v>125</v>
      </c>
      <c r="B43" s="301"/>
      <c r="C43" s="223"/>
      <c r="D43" s="223"/>
      <c r="E43" s="223"/>
      <c r="F43" s="223"/>
      <c r="G43" s="223"/>
      <c r="H43" s="14">
        <f>SUM(H38:H42)</f>
        <v>400000</v>
      </c>
      <c r="I43" s="14">
        <f t="shared" ref="I43:R43" si="16">SUM(I38:I42)</f>
        <v>11480</v>
      </c>
      <c r="J43" s="14">
        <f t="shared" si="16"/>
        <v>12160</v>
      </c>
      <c r="K43" s="14">
        <f t="shared" si="16"/>
        <v>0</v>
      </c>
      <c r="L43" s="14">
        <f t="shared" si="16"/>
        <v>23640</v>
      </c>
      <c r="M43" s="14">
        <f t="shared" si="16"/>
        <v>376360</v>
      </c>
      <c r="N43" s="14">
        <f t="shared" si="16"/>
        <v>37963.974083333334</v>
      </c>
      <c r="O43" s="14">
        <f t="shared" si="16"/>
        <v>0</v>
      </c>
      <c r="P43" s="14">
        <f t="shared" si="16"/>
        <v>4665</v>
      </c>
      <c r="Q43" s="14">
        <f t="shared" si="16"/>
        <v>66268.974083333334</v>
      </c>
      <c r="R43" s="14">
        <f t="shared" si="16"/>
        <v>333731.02591666672</v>
      </c>
    </row>
    <row r="44" spans="1:19" s="74" customFormat="1" ht="24.95" customHeight="1" thickBot="1" x14ac:dyDescent="0.25">
      <c r="A44" s="195"/>
      <c r="B44" s="195"/>
      <c r="C44" s="195"/>
      <c r="D44" s="195"/>
      <c r="E44" s="195"/>
      <c r="F44" s="195"/>
      <c r="G44" s="195"/>
      <c r="S44" s="6"/>
    </row>
    <row r="45" spans="1:19" s="2" customFormat="1" ht="24.95" customHeight="1" thickBot="1" x14ac:dyDescent="0.25">
      <c r="A45" s="221" t="s">
        <v>152</v>
      </c>
      <c r="B45" s="222"/>
      <c r="C45" s="222"/>
      <c r="D45" s="222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</row>
    <row r="46" spans="1:19" s="6" customFormat="1" ht="24.95" customHeight="1" x14ac:dyDescent="0.2">
      <c r="A46" s="12">
        <f>+A42+1</f>
        <v>19</v>
      </c>
      <c r="B46" s="1" t="s">
        <v>713</v>
      </c>
      <c r="C46" s="4" t="s">
        <v>420</v>
      </c>
      <c r="D46" s="115" t="s">
        <v>545</v>
      </c>
      <c r="E46" s="115" t="s">
        <v>213</v>
      </c>
      <c r="F46" s="24" t="s">
        <v>714</v>
      </c>
      <c r="G46" s="24" t="s">
        <v>717</v>
      </c>
      <c r="H46" s="8">
        <v>63000</v>
      </c>
      <c r="I46" s="8">
        <f>H46*2.87%</f>
        <v>1808.1</v>
      </c>
      <c r="J46" s="8">
        <f>+H46*3.04%</f>
        <v>1915.2</v>
      </c>
      <c r="K46" s="8"/>
      <c r="L46" s="8">
        <f>+J46+I46+K46</f>
        <v>3723.3</v>
      </c>
      <c r="M46" s="8">
        <f>+H46-L46</f>
        <v>59276.7</v>
      </c>
      <c r="N46" s="8">
        <f>+IF(M46*12&lt;=416220.01,0,IF(M46*12&lt;=624329.01,(((M46*12-416220.01)*0.15)/12),IF((M46*12&lt;=867123.01),(31216+0.2*(M46*12-624329.01))/12,((79776+0.25*(M46*12-867123.01))/12))))-O46</f>
        <v>4051.1898333333315</v>
      </c>
      <c r="O46" s="8"/>
      <c r="P46" s="9">
        <v>25</v>
      </c>
      <c r="Q46" s="8">
        <f>+P46+N46+L46</f>
        <v>7799.4898333333313</v>
      </c>
      <c r="R46" s="9">
        <f>+H46-Q46</f>
        <v>55200.510166666667</v>
      </c>
    </row>
    <row r="47" spans="1:19" s="6" customFormat="1" ht="24.95" customHeight="1" x14ac:dyDescent="0.2">
      <c r="A47" s="300" t="s">
        <v>125</v>
      </c>
      <c r="B47" s="301"/>
      <c r="C47" s="223"/>
      <c r="D47" s="223"/>
      <c r="E47" s="223"/>
      <c r="F47" s="223"/>
      <c r="G47" s="223"/>
      <c r="H47" s="14">
        <f>SUM(H46)</f>
        <v>63000</v>
      </c>
      <c r="I47" s="14">
        <f t="shared" ref="I47:R47" si="17">SUM(I46)</f>
        <v>1808.1</v>
      </c>
      <c r="J47" s="14">
        <f t="shared" si="17"/>
        <v>1915.2</v>
      </c>
      <c r="K47" s="14">
        <f t="shared" si="17"/>
        <v>0</v>
      </c>
      <c r="L47" s="14">
        <f t="shared" si="17"/>
        <v>3723.3</v>
      </c>
      <c r="M47" s="14">
        <f t="shared" si="17"/>
        <v>59276.7</v>
      </c>
      <c r="N47" s="14">
        <f t="shared" si="17"/>
        <v>4051.1898333333315</v>
      </c>
      <c r="O47" s="14">
        <f t="shared" si="17"/>
        <v>0</v>
      </c>
      <c r="P47" s="14">
        <f t="shared" si="17"/>
        <v>25</v>
      </c>
      <c r="Q47" s="14">
        <f t="shared" si="17"/>
        <v>7799.4898333333313</v>
      </c>
      <c r="R47" s="14">
        <f t="shared" si="17"/>
        <v>55200.510166666667</v>
      </c>
    </row>
    <row r="48" spans="1:19" s="6" customFormat="1" ht="18.75" customHeight="1" thickBot="1" x14ac:dyDescent="0.25">
      <c r="A48" s="62"/>
      <c r="B48" s="62"/>
      <c r="C48" s="62"/>
      <c r="D48" s="62"/>
      <c r="E48" s="62"/>
      <c r="F48" s="62"/>
      <c r="G48" s="62"/>
    </row>
    <row r="49" spans="1:19" s="2" customFormat="1" ht="24.95" customHeight="1" thickBot="1" x14ac:dyDescent="0.25">
      <c r="A49" s="221" t="s">
        <v>153</v>
      </c>
      <c r="B49" s="222"/>
      <c r="C49" s="222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</row>
    <row r="50" spans="1:19" s="74" customFormat="1" ht="24.95" customHeight="1" x14ac:dyDescent="0.2">
      <c r="A50" s="96">
        <f>+A46+1</f>
        <v>20</v>
      </c>
      <c r="B50" s="1" t="s">
        <v>128</v>
      </c>
      <c r="C50" s="4" t="s">
        <v>420</v>
      </c>
      <c r="D50" s="115" t="s">
        <v>51</v>
      </c>
      <c r="E50" s="115" t="s">
        <v>213</v>
      </c>
      <c r="F50" s="24" t="s">
        <v>603</v>
      </c>
      <c r="G50" s="24" t="s">
        <v>716</v>
      </c>
      <c r="H50" s="8">
        <v>80000</v>
      </c>
      <c r="I50" s="100">
        <f>H50*2.87%</f>
        <v>2296</v>
      </c>
      <c r="J50" s="100">
        <f>+H50*3.04%</f>
        <v>2432</v>
      </c>
      <c r="K50" s="100"/>
      <c r="L50" s="8">
        <f>+J50+I50+K50</f>
        <v>4728</v>
      </c>
      <c r="M50" s="8">
        <f>+H50-L50</f>
        <v>75272</v>
      </c>
      <c r="N50" s="8">
        <f>+IF(M50*12&lt;=416220.01,0,IF(M50*12&lt;=624329.01,(((M50*12-416220.01)*0.15)/12),IF((M50*12&lt;=867123.01),(31216+0.2*(M50*12-624329.01))/12,((79776+0.25*(M50*12-867123.01))/12))))-O50</f>
        <v>7400.9372916666662</v>
      </c>
      <c r="O50" s="8"/>
      <c r="P50" s="99">
        <v>25</v>
      </c>
      <c r="Q50" s="8">
        <f>+P50+N50+L50</f>
        <v>12153.937291666665</v>
      </c>
      <c r="R50" s="99">
        <f>+H50-Q50</f>
        <v>67846.062708333338</v>
      </c>
      <c r="S50" s="6"/>
    </row>
    <row r="51" spans="1:19" s="6" customFormat="1" ht="24.95" customHeight="1" x14ac:dyDescent="0.2">
      <c r="A51" s="300" t="s">
        <v>125</v>
      </c>
      <c r="B51" s="301"/>
      <c r="C51" s="223"/>
      <c r="D51" s="223"/>
      <c r="E51" s="223"/>
      <c r="F51" s="223"/>
      <c r="G51" s="223"/>
      <c r="H51" s="14">
        <f>SUM(H50)</f>
        <v>80000</v>
      </c>
      <c r="I51" s="14">
        <f t="shared" ref="I51:R51" si="18">SUM(I50)</f>
        <v>2296</v>
      </c>
      <c r="J51" s="14">
        <f t="shared" si="18"/>
        <v>2432</v>
      </c>
      <c r="K51" s="14">
        <f t="shared" si="18"/>
        <v>0</v>
      </c>
      <c r="L51" s="14">
        <f t="shared" si="18"/>
        <v>4728</v>
      </c>
      <c r="M51" s="14">
        <f t="shared" si="18"/>
        <v>75272</v>
      </c>
      <c r="N51" s="14">
        <f t="shared" si="18"/>
        <v>7400.9372916666662</v>
      </c>
      <c r="O51" s="14">
        <f t="shared" si="18"/>
        <v>0</v>
      </c>
      <c r="P51" s="14">
        <f t="shared" si="18"/>
        <v>25</v>
      </c>
      <c r="Q51" s="14">
        <f t="shared" si="18"/>
        <v>12153.937291666665</v>
      </c>
      <c r="R51" s="14">
        <f t="shared" si="18"/>
        <v>67846.062708333338</v>
      </c>
    </row>
    <row r="52" spans="1:19" s="6" customFormat="1" ht="18.75" customHeight="1" thickBot="1" x14ac:dyDescent="0.25">
      <c r="A52" s="62"/>
      <c r="B52" s="62"/>
      <c r="C52" s="62"/>
      <c r="D52" s="62"/>
      <c r="E52" s="62"/>
      <c r="F52" s="62"/>
      <c r="G52" s="62"/>
    </row>
    <row r="53" spans="1:19" s="2" customFormat="1" ht="24.95" customHeight="1" thickBot="1" x14ac:dyDescent="0.25">
      <c r="A53" s="221" t="s">
        <v>154</v>
      </c>
      <c r="B53" s="222"/>
      <c r="C53" s="222"/>
      <c r="D53" s="222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</row>
    <row r="54" spans="1:19" s="74" customFormat="1" ht="30.75" customHeight="1" x14ac:dyDescent="0.2">
      <c r="A54" s="96">
        <f>+A50+1</f>
        <v>21</v>
      </c>
      <c r="B54" s="133" t="s">
        <v>215</v>
      </c>
      <c r="C54" s="12" t="s">
        <v>421</v>
      </c>
      <c r="D54" s="115" t="s">
        <v>146</v>
      </c>
      <c r="E54" s="115" t="s">
        <v>213</v>
      </c>
      <c r="F54" s="183" t="s">
        <v>605</v>
      </c>
      <c r="G54" s="183" t="s">
        <v>700</v>
      </c>
      <c r="H54" s="100">
        <v>70000</v>
      </c>
      <c r="I54" s="100">
        <f>H54*2.87%</f>
        <v>2009</v>
      </c>
      <c r="J54" s="100">
        <f>+H54*3.04%</f>
        <v>2128</v>
      </c>
      <c r="K54" s="100"/>
      <c r="L54" s="8">
        <f>+J54+I54+K54</f>
        <v>4137</v>
      </c>
      <c r="M54" s="8">
        <f>+H54-L54</f>
        <v>65863</v>
      </c>
      <c r="N54" s="8">
        <f>+IF(M54*12&lt;=416220.01,0,IF(M54*12&lt;=624329.01,(((M54*12-416220.01)*0.15)/12),IF((M54*12&lt;=867123.01),(31216+0.2*(M54*12-624329.01))/12,((79776+0.25*(M54*12-867123.01))/12))))</f>
        <v>5368.4498333333331</v>
      </c>
      <c r="O54" s="8"/>
      <c r="P54" s="99">
        <v>2387.12</v>
      </c>
      <c r="Q54" s="8">
        <f>+P54+N54+L54</f>
        <v>11892.569833333333</v>
      </c>
      <c r="R54" s="99">
        <f>+H54-Q54</f>
        <v>58107.430166666665</v>
      </c>
      <c r="S54" s="6"/>
    </row>
    <row r="55" spans="1:19" s="74" customFormat="1" ht="27" customHeight="1" x14ac:dyDescent="0.2">
      <c r="A55" s="96">
        <f>+A54+1</f>
        <v>22</v>
      </c>
      <c r="B55" s="117" t="s">
        <v>434</v>
      </c>
      <c r="C55" s="119" t="s">
        <v>421</v>
      </c>
      <c r="D55" s="118" t="s">
        <v>146</v>
      </c>
      <c r="E55" s="118" t="s">
        <v>213</v>
      </c>
      <c r="F55" s="24" t="s">
        <v>603</v>
      </c>
      <c r="G55" s="24" t="s">
        <v>716</v>
      </c>
      <c r="H55" s="8">
        <v>70000</v>
      </c>
      <c r="I55" s="100">
        <f>H55*2.87%</f>
        <v>2009</v>
      </c>
      <c r="J55" s="100">
        <f>+H55*3.04%</f>
        <v>2128</v>
      </c>
      <c r="K55" s="100"/>
      <c r="L55" s="8">
        <f>+J55+I55+K55</f>
        <v>4137</v>
      </c>
      <c r="M55" s="8">
        <f>+H55-L55</f>
        <v>65863</v>
      </c>
      <c r="N55" s="8">
        <f>+IF(M55*12&lt;=416220.01,0,IF(M55*12&lt;=624329.01,(((M55*12-416220.01)*0.15)/12),IF((M55*12&lt;=867123.01),(31216+0.2*(M55*12-624329.01))/12,((79776+0.25*(M55*12-867123.01))/12))))-O55</f>
        <v>5368.4498333333331</v>
      </c>
      <c r="O55" s="8"/>
      <c r="P55" s="99">
        <v>25</v>
      </c>
      <c r="Q55" s="8">
        <f>+P55+N55+L55</f>
        <v>9530.4498333333322</v>
      </c>
      <c r="R55" s="99">
        <f>+H55-Q55</f>
        <v>60469.550166666668</v>
      </c>
      <c r="S55" s="6"/>
    </row>
    <row r="56" spans="1:19" s="6" customFormat="1" ht="24.75" customHeight="1" x14ac:dyDescent="0.2">
      <c r="A56" s="300" t="s">
        <v>125</v>
      </c>
      <c r="B56" s="301"/>
      <c r="C56" s="223"/>
      <c r="D56" s="223"/>
      <c r="E56" s="223"/>
      <c r="F56" s="223"/>
      <c r="G56" s="223"/>
      <c r="H56" s="14">
        <f>SUM(H54:H55)</f>
        <v>140000</v>
      </c>
      <c r="I56" s="14">
        <f t="shared" ref="I56:R56" si="19">SUM(I54:I55)</f>
        <v>4018</v>
      </c>
      <c r="J56" s="14">
        <f t="shared" si="19"/>
        <v>4256</v>
      </c>
      <c r="K56" s="14">
        <f t="shared" si="19"/>
        <v>0</v>
      </c>
      <c r="L56" s="14">
        <f t="shared" si="19"/>
        <v>8274</v>
      </c>
      <c r="M56" s="14">
        <f t="shared" si="19"/>
        <v>131726</v>
      </c>
      <c r="N56" s="14">
        <f t="shared" si="19"/>
        <v>10736.899666666666</v>
      </c>
      <c r="O56" s="14">
        <f t="shared" si="19"/>
        <v>0</v>
      </c>
      <c r="P56" s="14">
        <f t="shared" si="19"/>
        <v>2412.12</v>
      </c>
      <c r="Q56" s="14">
        <f t="shared" si="19"/>
        <v>21423.019666666667</v>
      </c>
      <c r="R56" s="14">
        <f t="shared" si="19"/>
        <v>118576.98033333334</v>
      </c>
    </row>
    <row r="57" spans="1:19" s="6" customFormat="1" ht="14.25" customHeight="1" x14ac:dyDescent="0.2">
      <c r="A57" s="62"/>
      <c r="B57" s="62"/>
      <c r="C57" s="62"/>
      <c r="D57" s="62"/>
      <c r="E57" s="62"/>
      <c r="F57" s="62"/>
      <c r="G57" s="62"/>
    </row>
    <row r="58" spans="1:19" s="6" customFormat="1" ht="16.5" customHeight="1" thickBot="1" x14ac:dyDescent="0.25">
      <c r="A58" s="62"/>
      <c r="B58" s="62"/>
      <c r="C58" s="62"/>
      <c r="D58" s="62"/>
      <c r="E58" s="62"/>
      <c r="F58" s="62"/>
      <c r="G58" s="62"/>
    </row>
    <row r="59" spans="1:19" s="6" customFormat="1" ht="23.25" customHeight="1" thickBot="1" x14ac:dyDescent="0.25">
      <c r="A59" s="229" t="s">
        <v>155</v>
      </c>
      <c r="B59" s="230"/>
      <c r="C59" s="230"/>
      <c r="D59" s="230"/>
      <c r="E59" s="230"/>
      <c r="F59" s="230"/>
      <c r="G59" s="230"/>
      <c r="H59" s="230"/>
      <c r="I59" s="230"/>
      <c r="J59" s="230"/>
      <c r="K59" s="230"/>
      <c r="L59" s="230"/>
      <c r="M59" s="230"/>
      <c r="N59" s="230"/>
      <c r="O59" s="230"/>
      <c r="P59" s="230"/>
      <c r="Q59" s="230"/>
      <c r="R59" s="230"/>
    </row>
    <row r="60" spans="1:19" s="6" customFormat="1" ht="28.5" customHeight="1" x14ac:dyDescent="0.2">
      <c r="A60" s="12">
        <f>+A55+1</f>
        <v>23</v>
      </c>
      <c r="B60" s="5" t="s">
        <v>656</v>
      </c>
      <c r="C60" s="145" t="s">
        <v>420</v>
      </c>
      <c r="D60" s="115" t="s">
        <v>146</v>
      </c>
      <c r="E60" s="115" t="s">
        <v>213</v>
      </c>
      <c r="F60" s="24" t="s">
        <v>657</v>
      </c>
      <c r="G60" s="24" t="s">
        <v>658</v>
      </c>
      <c r="H60" s="9">
        <v>70000</v>
      </c>
      <c r="I60" s="8">
        <f>H60*2.87%</f>
        <v>2009</v>
      </c>
      <c r="J60" s="8">
        <f>+H60*3.04%</f>
        <v>2128</v>
      </c>
      <c r="K60" s="8"/>
      <c r="L60" s="8">
        <f>+J60+I60+K60</f>
        <v>4137</v>
      </c>
      <c r="M60" s="8">
        <f>+H60-L60</f>
        <v>65863</v>
      </c>
      <c r="N60" s="8">
        <f>+IF(M61*12&lt;=416220.01,0,IF(M60*12&lt;=624329.01,(((M60*12-416220.01)*0.15)/12),IF((M60*12&lt;=867123.01),(31216+0.2*(M60*12-624329.01))/12,((79776+0.25*(M60*12-867123.01))/12))))-O60</f>
        <v>5368.4498333333331</v>
      </c>
      <c r="O60" s="8"/>
      <c r="P60" s="99">
        <v>10025</v>
      </c>
      <c r="Q60" s="8">
        <f>+P60+N60+L60</f>
        <v>19530.449833333332</v>
      </c>
      <c r="R60" s="9">
        <f>+H60-Q60</f>
        <v>50469.550166666668</v>
      </c>
    </row>
    <row r="61" spans="1:19" s="6" customFormat="1" ht="23.25" customHeight="1" x14ac:dyDescent="0.2">
      <c r="A61" s="300" t="s">
        <v>125</v>
      </c>
      <c r="B61" s="301"/>
      <c r="C61" s="223"/>
      <c r="D61" s="223"/>
      <c r="E61" s="223"/>
      <c r="F61" s="223"/>
      <c r="G61" s="223"/>
      <c r="H61" s="14">
        <f>SUM(H60)</f>
        <v>70000</v>
      </c>
      <c r="I61" s="14">
        <f t="shared" ref="I61:R61" si="20">SUM(I60)</f>
        <v>2009</v>
      </c>
      <c r="J61" s="14">
        <f t="shared" si="20"/>
        <v>2128</v>
      </c>
      <c r="K61" s="14">
        <f t="shared" si="20"/>
        <v>0</v>
      </c>
      <c r="L61" s="14">
        <f t="shared" si="20"/>
        <v>4137</v>
      </c>
      <c r="M61" s="14">
        <f t="shared" si="20"/>
        <v>65863</v>
      </c>
      <c r="N61" s="14">
        <f t="shared" si="20"/>
        <v>5368.4498333333331</v>
      </c>
      <c r="O61" s="14">
        <f t="shared" si="20"/>
        <v>0</v>
      </c>
      <c r="P61" s="14">
        <f t="shared" si="20"/>
        <v>10025</v>
      </c>
      <c r="Q61" s="14">
        <f t="shared" si="20"/>
        <v>19530.449833333332</v>
      </c>
      <c r="R61" s="14">
        <f t="shared" si="20"/>
        <v>50469.550166666668</v>
      </c>
    </row>
    <row r="62" spans="1:19" s="6" customFormat="1" ht="16.5" customHeight="1" x14ac:dyDescent="0.2">
      <c r="A62" s="62"/>
      <c r="B62" s="62"/>
      <c r="C62" s="62"/>
      <c r="D62" s="62"/>
      <c r="E62" s="62"/>
      <c r="F62" s="62"/>
      <c r="G62" s="62"/>
    </row>
    <row r="63" spans="1:19" s="6" customFormat="1" ht="16.5" customHeight="1" thickBot="1" x14ac:dyDescent="0.25">
      <c r="A63" s="62"/>
      <c r="B63" s="62"/>
      <c r="C63" s="62"/>
      <c r="D63" s="62"/>
      <c r="E63" s="62"/>
      <c r="F63" s="62"/>
      <c r="G63" s="62"/>
    </row>
    <row r="64" spans="1:19" s="6" customFormat="1" ht="23.25" customHeight="1" thickBot="1" x14ac:dyDescent="0.25">
      <c r="A64" s="229" t="s">
        <v>157</v>
      </c>
      <c r="B64" s="230"/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  <c r="N64" s="230"/>
      <c r="O64" s="230"/>
      <c r="P64" s="230"/>
      <c r="Q64" s="230"/>
      <c r="R64" s="230"/>
    </row>
    <row r="65" spans="1:19" s="6" customFormat="1" ht="28.5" customHeight="1" x14ac:dyDescent="0.2">
      <c r="A65" s="12">
        <f>+A60+1</f>
        <v>24</v>
      </c>
      <c r="B65" s="5" t="s">
        <v>460</v>
      </c>
      <c r="C65" s="145" t="s">
        <v>420</v>
      </c>
      <c r="D65" s="115" t="s">
        <v>146</v>
      </c>
      <c r="E65" s="115" t="s">
        <v>213</v>
      </c>
      <c r="F65" s="24" t="s">
        <v>571</v>
      </c>
      <c r="G65" s="24" t="s">
        <v>659</v>
      </c>
      <c r="H65" s="9">
        <v>70000</v>
      </c>
      <c r="I65" s="8">
        <f>H65*2.87%</f>
        <v>2009</v>
      </c>
      <c r="J65" s="8">
        <f>+H65*3.04%</f>
        <v>2128</v>
      </c>
      <c r="K65" s="8"/>
      <c r="L65" s="8">
        <f>+J65+I65+K65</f>
        <v>4137</v>
      </c>
      <c r="M65" s="8">
        <f>+H65-L65</f>
        <v>65863</v>
      </c>
      <c r="N65" s="8">
        <f>+IF(M66*12&lt;=416220.01,0,IF(M65*12&lt;=624329.01,(((M65*12-416220.01)*0.15)/12),IF((M65*12&lt;=867123.01),(31216+0.2*(M65*12-624329.01))/12,((79776+0.25*(M65*12-867123.01))/12))))-O65</f>
        <v>5368.4498333333331</v>
      </c>
      <c r="O65" s="8"/>
      <c r="P65" s="99">
        <v>3668.07</v>
      </c>
      <c r="Q65" s="8">
        <f>+P65+N65+L65</f>
        <v>13173.519833333334</v>
      </c>
      <c r="R65" s="9">
        <f>+H65-Q65</f>
        <v>56826.480166666668</v>
      </c>
    </row>
    <row r="66" spans="1:19" s="6" customFormat="1" ht="23.25" customHeight="1" x14ac:dyDescent="0.2">
      <c r="A66" s="300" t="s">
        <v>125</v>
      </c>
      <c r="B66" s="301"/>
      <c r="C66" s="223"/>
      <c r="D66" s="223"/>
      <c r="E66" s="223"/>
      <c r="F66" s="223"/>
      <c r="G66" s="223"/>
      <c r="H66" s="14">
        <f>SUM(H65)</f>
        <v>70000</v>
      </c>
      <c r="I66" s="14">
        <f t="shared" ref="I66:R66" si="21">SUM(I65)</f>
        <v>2009</v>
      </c>
      <c r="J66" s="14">
        <f t="shared" si="21"/>
        <v>2128</v>
      </c>
      <c r="K66" s="14">
        <f t="shared" si="21"/>
        <v>0</v>
      </c>
      <c r="L66" s="14">
        <f t="shared" si="21"/>
        <v>4137</v>
      </c>
      <c r="M66" s="14">
        <f t="shared" si="21"/>
        <v>65863</v>
      </c>
      <c r="N66" s="14">
        <f t="shared" si="21"/>
        <v>5368.4498333333331</v>
      </c>
      <c r="O66" s="14">
        <f t="shared" si="21"/>
        <v>0</v>
      </c>
      <c r="P66" s="14">
        <f t="shared" si="21"/>
        <v>3668.07</v>
      </c>
      <c r="Q66" s="14">
        <f t="shared" si="21"/>
        <v>13173.519833333334</v>
      </c>
      <c r="R66" s="14">
        <f t="shared" si="21"/>
        <v>56826.480166666668</v>
      </c>
    </row>
    <row r="67" spans="1:19" s="6" customFormat="1" ht="23.25" customHeight="1" thickBot="1" x14ac:dyDescent="0.25">
      <c r="A67" s="62"/>
      <c r="B67" s="62"/>
      <c r="C67" s="62"/>
      <c r="D67" s="62"/>
      <c r="E67" s="62"/>
      <c r="F67" s="62"/>
      <c r="G67" s="62"/>
      <c r="J67" s="74"/>
      <c r="K67" s="74"/>
      <c r="L67" s="74"/>
      <c r="M67" s="74"/>
      <c r="N67" s="74"/>
      <c r="O67" s="74"/>
      <c r="P67" s="74"/>
      <c r="Q67" s="74"/>
      <c r="R67" s="74"/>
    </row>
    <row r="68" spans="1:19" s="6" customFormat="1" ht="23.25" customHeight="1" thickBot="1" x14ac:dyDescent="0.25">
      <c r="A68" s="229" t="s">
        <v>498</v>
      </c>
      <c r="B68" s="230"/>
      <c r="C68" s="230"/>
      <c r="D68" s="230"/>
      <c r="E68" s="230"/>
      <c r="F68" s="230"/>
      <c r="G68" s="230"/>
      <c r="H68" s="230"/>
      <c r="I68" s="230"/>
      <c r="J68" s="230"/>
      <c r="K68" s="230"/>
      <c r="L68" s="230"/>
      <c r="M68" s="230"/>
      <c r="N68" s="230"/>
      <c r="O68" s="230"/>
      <c r="P68" s="230"/>
      <c r="Q68" s="230"/>
      <c r="R68" s="230"/>
    </row>
    <row r="69" spans="1:19" s="6" customFormat="1" ht="29.25" customHeight="1" x14ac:dyDescent="0.2">
      <c r="A69" s="12">
        <f>+A65+1</f>
        <v>25</v>
      </c>
      <c r="B69" s="5" t="s">
        <v>497</v>
      </c>
      <c r="C69" s="145" t="s">
        <v>421</v>
      </c>
      <c r="D69" s="115" t="s">
        <v>146</v>
      </c>
      <c r="E69" s="115" t="s">
        <v>213</v>
      </c>
      <c r="F69" s="24" t="s">
        <v>609</v>
      </c>
      <c r="G69" s="24" t="s">
        <v>723</v>
      </c>
      <c r="H69" s="9">
        <v>70000</v>
      </c>
      <c r="I69" s="8">
        <f>H69*2.87%</f>
        <v>2009</v>
      </c>
      <c r="J69" s="8">
        <f>+H69*3.04%</f>
        <v>2128</v>
      </c>
      <c r="K69" s="8"/>
      <c r="L69" s="8">
        <f>+J69+I69+K69</f>
        <v>4137</v>
      </c>
      <c r="M69" s="8">
        <f>+H69-L69</f>
        <v>65863</v>
      </c>
      <c r="N69" s="8">
        <f>+IF(M69*12&lt;=416220.01,0,IF(M69*12&lt;=624329.01,(((M69*12-416220.01)*0.15)/12),IF((M69*12&lt;=867123.01),(31216+0.2*(M69*12-624329.01))/12,((79776+0.25*(M69*12-867123.01))/12))))-O69</f>
        <v>5368.4498333333331</v>
      </c>
      <c r="O69" s="8">
        <v>0</v>
      </c>
      <c r="P69" s="99">
        <v>2705</v>
      </c>
      <c r="Q69" s="8">
        <f>+P69+N69+L69</f>
        <v>12210.449833333332</v>
      </c>
      <c r="R69" s="9">
        <f>+H69-Q69</f>
        <v>57789.550166666668</v>
      </c>
    </row>
    <row r="70" spans="1:19" s="6" customFormat="1" ht="23.25" customHeight="1" x14ac:dyDescent="0.2">
      <c r="A70" s="300" t="s">
        <v>125</v>
      </c>
      <c r="B70" s="301"/>
      <c r="C70" s="223"/>
      <c r="D70" s="223"/>
      <c r="E70" s="223"/>
      <c r="F70" s="223"/>
      <c r="G70" s="223"/>
      <c r="H70" s="14">
        <f>SUM(H69)</f>
        <v>70000</v>
      </c>
      <c r="I70" s="14">
        <f t="shared" ref="I70:R70" si="22">SUM(I69)</f>
        <v>2009</v>
      </c>
      <c r="J70" s="14">
        <f t="shared" si="22"/>
        <v>2128</v>
      </c>
      <c r="K70" s="14">
        <f t="shared" si="22"/>
        <v>0</v>
      </c>
      <c r="L70" s="14">
        <f t="shared" si="22"/>
        <v>4137</v>
      </c>
      <c r="M70" s="14">
        <f t="shared" si="22"/>
        <v>65863</v>
      </c>
      <c r="N70" s="14">
        <f t="shared" si="22"/>
        <v>5368.4498333333331</v>
      </c>
      <c r="O70" s="14">
        <f t="shared" si="22"/>
        <v>0</v>
      </c>
      <c r="P70" s="14">
        <f t="shared" si="22"/>
        <v>2705</v>
      </c>
      <c r="Q70" s="14">
        <f t="shared" si="22"/>
        <v>12210.449833333332</v>
      </c>
      <c r="R70" s="14">
        <f t="shared" si="22"/>
        <v>57789.550166666668</v>
      </c>
    </row>
    <row r="71" spans="1:19" s="6" customFormat="1" ht="23.25" customHeight="1" x14ac:dyDescent="0.2">
      <c r="A71" s="62"/>
      <c r="B71" s="62"/>
      <c r="C71" s="62"/>
      <c r="D71" s="62"/>
      <c r="E71" s="62"/>
      <c r="F71" s="62"/>
      <c r="G71" s="62"/>
    </row>
    <row r="72" spans="1:19" s="2" customFormat="1" ht="12" customHeight="1" thickBot="1" x14ac:dyDescent="0.25">
      <c r="A72" s="62"/>
      <c r="B72" s="62"/>
      <c r="C72" s="62"/>
      <c r="D72" s="62"/>
      <c r="E72" s="62"/>
      <c r="F72" s="62"/>
      <c r="G72" s="62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</row>
    <row r="73" spans="1:19" s="68" customFormat="1" ht="27" customHeight="1" thickBot="1" x14ac:dyDescent="0.25">
      <c r="A73" s="229" t="s">
        <v>194</v>
      </c>
      <c r="B73" s="230"/>
      <c r="C73" s="230"/>
      <c r="D73" s="230"/>
      <c r="E73" s="230"/>
      <c r="F73" s="230"/>
      <c r="G73" s="230"/>
      <c r="H73" s="230"/>
      <c r="I73" s="230"/>
      <c r="J73" s="230"/>
      <c r="K73" s="230"/>
      <c r="L73" s="230"/>
      <c r="M73" s="230"/>
      <c r="N73" s="230"/>
      <c r="O73" s="230"/>
      <c r="P73" s="230"/>
      <c r="Q73" s="230"/>
      <c r="R73" s="230"/>
      <c r="S73" s="2"/>
    </row>
    <row r="74" spans="1:19" s="68" customFormat="1" ht="39" customHeight="1" x14ac:dyDescent="0.2">
      <c r="A74" s="96">
        <f>A69+1</f>
        <v>26</v>
      </c>
      <c r="B74" s="5" t="s">
        <v>377</v>
      </c>
      <c r="C74" s="145" t="s">
        <v>421</v>
      </c>
      <c r="D74" s="115" t="s">
        <v>146</v>
      </c>
      <c r="E74" s="115" t="s">
        <v>213</v>
      </c>
      <c r="F74" s="98" t="s">
        <v>608</v>
      </c>
      <c r="G74" s="98" t="s">
        <v>700</v>
      </c>
      <c r="H74" s="9">
        <v>80000</v>
      </c>
      <c r="I74" s="100">
        <f>H74*2.87%</f>
        <v>2296</v>
      </c>
      <c r="J74" s="100">
        <f>+H74*3.04%</f>
        <v>2432</v>
      </c>
      <c r="K74" s="100"/>
      <c r="L74" s="8">
        <f>+J74+I74+K74</f>
        <v>4728</v>
      </c>
      <c r="M74" s="8">
        <f>+H74-L74</f>
        <v>75272</v>
      </c>
      <c r="N74" s="8">
        <f>+IF(M74*12&lt;=416220.01,0,IF(M74*12&lt;=624329.01,(((M74*12-416220.01)*0.15)/12),IF((M74*12&lt;=867123.01),(31216+0.2*(M74*12-624329.01))/12,((79776+0.25*(M74*12-867123.01))/12))))-O74</f>
        <v>7400.9372916666662</v>
      </c>
      <c r="O74" s="8"/>
      <c r="P74" s="99">
        <v>6248.01</v>
      </c>
      <c r="Q74" s="8">
        <f>+P74+N74+L74</f>
        <v>18376.947291666667</v>
      </c>
      <c r="R74" s="99">
        <f>+H74-Q74</f>
        <v>61623.052708333329</v>
      </c>
      <c r="S74" s="2"/>
    </row>
    <row r="75" spans="1:19" s="68" customFormat="1" ht="39" customHeight="1" x14ac:dyDescent="0.2">
      <c r="A75" s="96">
        <f>+A74+1</f>
        <v>27</v>
      </c>
      <c r="B75" s="5" t="s">
        <v>378</v>
      </c>
      <c r="C75" s="145" t="s">
        <v>421</v>
      </c>
      <c r="D75" s="115" t="s">
        <v>146</v>
      </c>
      <c r="E75" s="115" t="s">
        <v>213</v>
      </c>
      <c r="F75" s="120" t="s">
        <v>556</v>
      </c>
      <c r="G75" s="120" t="s">
        <v>611</v>
      </c>
      <c r="H75" s="9">
        <v>70000</v>
      </c>
      <c r="I75" s="100">
        <f>H75*2.87%</f>
        <v>2009</v>
      </c>
      <c r="J75" s="100">
        <f>+H75*3.04%</f>
        <v>2128</v>
      </c>
      <c r="K75" s="100"/>
      <c r="L75" s="8">
        <f>+J75+I75+K75</f>
        <v>4137</v>
      </c>
      <c r="M75" s="8">
        <f>+H75-L75</f>
        <v>65863</v>
      </c>
      <c r="N75" s="8">
        <f>+IF(M75*12&lt;=416220.01,0,IF(M75*12&lt;=624329.01,(((M75*12-416220.01)*0.15)/12),IF((M75*12&lt;=867123.01),(31216+0.2*(M75*12-624329.01))/12,((79776+0.25*(M75*12-867123.01))/12))))-O75</f>
        <v>5368.4498333333331</v>
      </c>
      <c r="O75" s="8"/>
      <c r="P75" s="99">
        <v>6336.33</v>
      </c>
      <c r="Q75" s="8">
        <f>+P75+N75+L75</f>
        <v>15841.779833333334</v>
      </c>
      <c r="R75" s="99">
        <f>+H75-Q75</f>
        <v>54158.220166666666</v>
      </c>
      <c r="S75" s="2"/>
    </row>
    <row r="76" spans="1:19" s="2" customFormat="1" ht="23.25" customHeight="1" x14ac:dyDescent="0.2">
      <c r="A76" s="300" t="s">
        <v>125</v>
      </c>
      <c r="B76" s="301"/>
      <c r="C76" s="223"/>
      <c r="D76" s="223"/>
      <c r="E76" s="223"/>
      <c r="F76" s="223"/>
      <c r="G76" s="223"/>
      <c r="H76" s="14">
        <f>SUM(H74:H75)</f>
        <v>150000</v>
      </c>
      <c r="I76" s="14">
        <f t="shared" ref="I76:R76" si="23">SUM(I74:I75)</f>
        <v>4305</v>
      </c>
      <c r="J76" s="14">
        <f t="shared" si="23"/>
        <v>4560</v>
      </c>
      <c r="K76" s="14">
        <f t="shared" si="23"/>
        <v>0</v>
      </c>
      <c r="L76" s="14">
        <f t="shared" si="23"/>
        <v>8865</v>
      </c>
      <c r="M76" s="14">
        <f t="shared" si="23"/>
        <v>141135</v>
      </c>
      <c r="N76" s="14">
        <f t="shared" si="23"/>
        <v>12769.387124999999</v>
      </c>
      <c r="O76" s="14">
        <f t="shared" si="23"/>
        <v>0</v>
      </c>
      <c r="P76" s="14">
        <f t="shared" si="23"/>
        <v>12584.34</v>
      </c>
      <c r="Q76" s="14">
        <f t="shared" si="23"/>
        <v>34218.727125000005</v>
      </c>
      <c r="R76" s="14">
        <f t="shared" si="23"/>
        <v>115781.272875</v>
      </c>
    </row>
    <row r="77" spans="1:19" s="6" customFormat="1" ht="24.75" customHeight="1" thickBot="1" x14ac:dyDescent="0.25">
      <c r="A77" s="62"/>
      <c r="B77" s="62"/>
      <c r="C77" s="62"/>
      <c r="D77" s="62"/>
      <c r="E77" s="62"/>
      <c r="F77" s="62"/>
      <c r="G77" s="62"/>
    </row>
    <row r="78" spans="1:19" s="74" customFormat="1" ht="30" customHeight="1" thickBot="1" x14ac:dyDescent="0.25">
      <c r="A78" s="229" t="s">
        <v>160</v>
      </c>
      <c r="B78" s="230"/>
      <c r="C78" s="230"/>
      <c r="D78" s="230"/>
      <c r="E78" s="230"/>
      <c r="F78" s="230"/>
      <c r="G78" s="230"/>
      <c r="H78" s="230"/>
      <c r="I78" s="230"/>
      <c r="J78" s="230"/>
      <c r="K78" s="230"/>
      <c r="L78" s="230"/>
      <c r="M78" s="230"/>
      <c r="N78" s="230"/>
      <c r="O78" s="230"/>
      <c r="P78" s="230"/>
      <c r="Q78" s="230"/>
      <c r="R78" s="230"/>
      <c r="S78" s="6"/>
    </row>
    <row r="79" spans="1:19" s="74" customFormat="1" ht="38.25" x14ac:dyDescent="0.2">
      <c r="A79" s="96">
        <f>A75+1</f>
        <v>28</v>
      </c>
      <c r="B79" s="5" t="s">
        <v>150</v>
      </c>
      <c r="C79" s="145" t="s">
        <v>420</v>
      </c>
      <c r="D79" s="115" t="s">
        <v>537</v>
      </c>
      <c r="E79" s="115" t="s">
        <v>213</v>
      </c>
      <c r="F79" s="24" t="s">
        <v>571</v>
      </c>
      <c r="G79" s="24" t="s">
        <v>659</v>
      </c>
      <c r="H79" s="9">
        <v>155000</v>
      </c>
      <c r="I79" s="100">
        <f>H79*2.87%</f>
        <v>4448.5</v>
      </c>
      <c r="J79" s="100">
        <f>+H79*3.04%</f>
        <v>4712</v>
      </c>
      <c r="K79" s="100"/>
      <c r="L79" s="8">
        <f>+J79+I79+K79</f>
        <v>9160.5</v>
      </c>
      <c r="M79" s="8">
        <f>+H79-L79</f>
        <v>145839.5</v>
      </c>
      <c r="N79" s="8">
        <f>+IF(M79*12&lt;=416220.01,0,IF(M79*12&lt;=624329.01,(((M79*12-416220.01)*0.15)/12),IF((M79*12&lt;=867123.01),(31216+0.2*(M79*12-624329.01))/12,((79776+0.25*(M79*12-867123.01))/12))))-O79</f>
        <v>25042.812291666665</v>
      </c>
      <c r="O79" s="8">
        <v>0</v>
      </c>
      <c r="P79" s="99">
        <v>25</v>
      </c>
      <c r="Q79" s="8">
        <f>+P79+N79+L79</f>
        <v>34228.312291666662</v>
      </c>
      <c r="R79" s="99">
        <f>+H79-Q79</f>
        <v>120771.68770833334</v>
      </c>
      <c r="S79" s="6"/>
    </row>
    <row r="80" spans="1:19" s="6" customFormat="1" ht="31.5" customHeight="1" x14ac:dyDescent="0.2">
      <c r="A80" s="12">
        <f>A79+1</f>
        <v>29</v>
      </c>
      <c r="B80" s="5" t="s">
        <v>379</v>
      </c>
      <c r="C80" s="145" t="s">
        <v>420</v>
      </c>
      <c r="D80" s="115" t="s">
        <v>146</v>
      </c>
      <c r="E80" s="115" t="s">
        <v>213</v>
      </c>
      <c r="F80" s="120" t="s">
        <v>603</v>
      </c>
      <c r="G80" s="120" t="s">
        <v>724</v>
      </c>
      <c r="H80" s="9">
        <v>70000</v>
      </c>
      <c r="I80" s="100">
        <f>H80*2.87%</f>
        <v>2009</v>
      </c>
      <c r="J80" s="100">
        <f>+H80*3.04%</f>
        <v>2128</v>
      </c>
      <c r="K80" s="100"/>
      <c r="L80" s="8">
        <f>+J80+I80+K80</f>
        <v>4137</v>
      </c>
      <c r="M80" s="8">
        <f>+H80-L80</f>
        <v>65863</v>
      </c>
      <c r="N80" s="8">
        <f>+IF(M80*12&lt;=416220.01,0,IF(M80*12&lt;=624329.01,(((M80*12-416220.01)*0.15)/12),IF((M80*12&lt;=867123.01),(31216+0.2*(M80*12-624329.01))/12,((79776+0.25*(M80*12-867123.01))/12))))-O80</f>
        <v>5368.4498333333331</v>
      </c>
      <c r="O80" s="8"/>
      <c r="P80" s="99">
        <v>9650.24</v>
      </c>
      <c r="Q80" s="8">
        <f>+P80+N80+L80</f>
        <v>19155.689833333334</v>
      </c>
      <c r="R80" s="99">
        <f>+H80-Q80</f>
        <v>50844.310166666663</v>
      </c>
    </row>
    <row r="81" spans="1:19" s="6" customFormat="1" ht="29.25" customHeight="1" x14ac:dyDescent="0.2">
      <c r="A81" s="12">
        <f>+A80+1</f>
        <v>30</v>
      </c>
      <c r="B81" s="5" t="s">
        <v>499</v>
      </c>
      <c r="C81" s="145" t="s">
        <v>421</v>
      </c>
      <c r="D81" s="115" t="s">
        <v>146</v>
      </c>
      <c r="E81" s="115" t="s">
        <v>213</v>
      </c>
      <c r="F81" s="120" t="s">
        <v>609</v>
      </c>
      <c r="G81" s="120" t="s">
        <v>725</v>
      </c>
      <c r="H81" s="9">
        <v>70000</v>
      </c>
      <c r="I81" s="100">
        <f>H81*2.87%</f>
        <v>2009</v>
      </c>
      <c r="J81" s="100">
        <f>+H81*3.04%</f>
        <v>2128</v>
      </c>
      <c r="K81" s="100"/>
      <c r="L81" s="8">
        <f>+J81+I81+K81</f>
        <v>4137</v>
      </c>
      <c r="M81" s="8">
        <f>+H81-L81</f>
        <v>65863</v>
      </c>
      <c r="N81" s="8">
        <f>+IF(M81*12&lt;=416220.01,0,IF(M81*12&lt;=624329.01,(((M81*12-416220.01)*0.15)/12),IF((M81*12&lt;=867123.01),(31216+0.2*(M81*12-624329.01))/12,((79776+0.25*(M81*12-867123.01))/12))))-O81</f>
        <v>5368.4498333333331</v>
      </c>
      <c r="O81" s="8">
        <v>0</v>
      </c>
      <c r="P81" s="99">
        <v>1025</v>
      </c>
      <c r="Q81" s="8">
        <f>+P81+N81+L81</f>
        <v>10530.449833333332</v>
      </c>
      <c r="R81" s="99">
        <f>+H81-Q81</f>
        <v>59469.550166666668</v>
      </c>
    </row>
    <row r="82" spans="1:19" s="6" customFormat="1" ht="23.25" customHeight="1" x14ac:dyDescent="0.2">
      <c r="A82" s="300" t="s">
        <v>125</v>
      </c>
      <c r="B82" s="301"/>
      <c r="C82" s="223"/>
      <c r="D82" s="223"/>
      <c r="E82" s="223"/>
      <c r="F82" s="223"/>
      <c r="G82" s="223"/>
      <c r="H82" s="14">
        <f>SUM(H79:H81)</f>
        <v>295000</v>
      </c>
      <c r="I82" s="14">
        <f t="shared" ref="I82:R82" si="24">SUM(I79:I81)</f>
        <v>8466.5</v>
      </c>
      <c r="J82" s="14">
        <f t="shared" si="24"/>
        <v>8968</v>
      </c>
      <c r="K82" s="14">
        <f t="shared" si="24"/>
        <v>0</v>
      </c>
      <c r="L82" s="14">
        <f t="shared" si="24"/>
        <v>17434.5</v>
      </c>
      <c r="M82" s="14">
        <f t="shared" si="24"/>
        <v>277565.5</v>
      </c>
      <c r="N82" s="14">
        <f t="shared" si="24"/>
        <v>35779.711958333333</v>
      </c>
      <c r="O82" s="14">
        <f t="shared" si="24"/>
        <v>0</v>
      </c>
      <c r="P82" s="14">
        <f t="shared" si="24"/>
        <v>10700.24</v>
      </c>
      <c r="Q82" s="14">
        <f t="shared" si="24"/>
        <v>63914.451958333331</v>
      </c>
      <c r="R82" s="14">
        <f t="shared" si="24"/>
        <v>231085.54804166668</v>
      </c>
    </row>
    <row r="83" spans="1:19" s="6" customFormat="1" ht="24.75" customHeight="1" thickBot="1" x14ac:dyDescent="0.25">
      <c r="A83" s="62"/>
      <c r="B83" s="62"/>
      <c r="C83" s="62"/>
      <c r="D83" s="62"/>
      <c r="E83" s="62"/>
      <c r="F83" s="62"/>
      <c r="G83" s="62"/>
    </row>
    <row r="84" spans="1:19" s="74" customFormat="1" ht="30" customHeight="1" thickBot="1" x14ac:dyDescent="0.25">
      <c r="A84" s="229"/>
      <c r="B84" s="230"/>
      <c r="C84" s="230"/>
      <c r="D84" s="230"/>
      <c r="E84" s="230"/>
      <c r="F84" s="230"/>
      <c r="G84" s="230"/>
      <c r="H84" s="230"/>
      <c r="I84" s="230"/>
      <c r="J84" s="230"/>
      <c r="K84" s="230"/>
      <c r="L84" s="230"/>
      <c r="M84" s="230"/>
      <c r="N84" s="230"/>
      <c r="O84" s="230"/>
      <c r="P84" s="230"/>
      <c r="Q84" s="230"/>
      <c r="R84" s="230"/>
      <c r="S84" s="6"/>
    </row>
    <row r="85" spans="1:19" s="74" customFormat="1" ht="30" customHeight="1" thickBot="1" x14ac:dyDescent="0.25">
      <c r="A85" s="229" t="s">
        <v>570</v>
      </c>
      <c r="B85" s="230"/>
      <c r="C85" s="230"/>
      <c r="D85" s="230"/>
      <c r="E85" s="230"/>
      <c r="F85" s="230"/>
      <c r="G85" s="230"/>
      <c r="H85" s="230"/>
      <c r="I85" s="230"/>
      <c r="J85" s="230"/>
      <c r="K85" s="230"/>
      <c r="L85" s="230"/>
      <c r="M85" s="230"/>
      <c r="N85" s="230"/>
      <c r="O85" s="230"/>
      <c r="P85" s="230"/>
      <c r="Q85" s="230"/>
      <c r="R85" s="230"/>
      <c r="S85" s="6"/>
    </row>
    <row r="86" spans="1:19" s="2" customFormat="1" ht="24.95" customHeight="1" x14ac:dyDescent="0.2">
      <c r="A86" s="96">
        <f>+A81+1</f>
        <v>31</v>
      </c>
      <c r="B86" s="59" t="s">
        <v>400</v>
      </c>
      <c r="C86" s="145" t="s">
        <v>420</v>
      </c>
      <c r="D86" s="116" t="s">
        <v>146</v>
      </c>
      <c r="E86" s="115" t="s">
        <v>213</v>
      </c>
      <c r="F86" s="103" t="s">
        <v>599</v>
      </c>
      <c r="G86" s="103" t="s">
        <v>690</v>
      </c>
      <c r="H86" s="100">
        <v>70000</v>
      </c>
      <c r="I86" s="100">
        <f>H86*2.87%</f>
        <v>2009</v>
      </c>
      <c r="J86" s="100">
        <f>+H86*3.04%</f>
        <v>2128</v>
      </c>
      <c r="K86" s="100"/>
      <c r="L86" s="8">
        <f>+J86+I86+K86</f>
        <v>4137</v>
      </c>
      <c r="M86" s="8">
        <f>+H86-L86</f>
        <v>65863</v>
      </c>
      <c r="N86" s="8">
        <f>+IF(M86*12&lt;=416220.01,0,IF(M86*12&lt;=624329.01,(((M86*12-416220.01)*0.15)/12),IF((M86*12&lt;=867123.01),(31216+0.2*(M86*12-624329.01))/12,((79776+0.25*(M86*12-867123.01))/12))))-O86</f>
        <v>5368.4498333333331</v>
      </c>
      <c r="O86" s="8"/>
      <c r="P86" s="99">
        <v>1025</v>
      </c>
      <c r="Q86" s="8">
        <f>+P86+N86+L86</f>
        <v>10530.449833333332</v>
      </c>
      <c r="R86" s="99">
        <f>+H86-Q86</f>
        <v>59469.550166666668</v>
      </c>
    </row>
    <row r="87" spans="1:19" s="6" customFormat="1" ht="24.75" customHeight="1" thickBot="1" x14ac:dyDescent="0.25">
      <c r="A87" s="300" t="s">
        <v>125</v>
      </c>
      <c r="B87" s="301"/>
      <c r="C87" s="223"/>
      <c r="D87" s="223"/>
      <c r="E87" s="223"/>
      <c r="F87" s="223"/>
      <c r="G87" s="223"/>
      <c r="H87" s="14">
        <f>SUM(H86)</f>
        <v>70000</v>
      </c>
      <c r="I87" s="14">
        <f t="shared" ref="I87:R87" si="25">SUM(I86)</f>
        <v>2009</v>
      </c>
      <c r="J87" s="14">
        <f t="shared" si="25"/>
        <v>2128</v>
      </c>
      <c r="K87" s="14">
        <f t="shared" si="25"/>
        <v>0</v>
      </c>
      <c r="L87" s="14">
        <f t="shared" si="25"/>
        <v>4137</v>
      </c>
      <c r="M87" s="14">
        <f t="shared" si="25"/>
        <v>65863</v>
      </c>
      <c r="N87" s="14">
        <f t="shared" si="25"/>
        <v>5368.4498333333331</v>
      </c>
      <c r="O87" s="14">
        <f t="shared" si="25"/>
        <v>0</v>
      </c>
      <c r="P87" s="14">
        <f t="shared" si="25"/>
        <v>1025</v>
      </c>
      <c r="Q87" s="14">
        <f t="shared" si="25"/>
        <v>10530.449833333332</v>
      </c>
      <c r="R87" s="14">
        <f t="shared" si="25"/>
        <v>59469.550166666668</v>
      </c>
    </row>
    <row r="88" spans="1:19" s="6" customFormat="1" ht="28.5" customHeight="1" thickBot="1" x14ac:dyDescent="0.25">
      <c r="A88" s="229" t="s">
        <v>163</v>
      </c>
      <c r="B88" s="230"/>
      <c r="C88" s="230"/>
      <c r="D88" s="230"/>
      <c r="E88" s="230"/>
      <c r="F88" s="230"/>
      <c r="G88" s="230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</row>
    <row r="89" spans="1:19" s="6" customFormat="1" ht="23.25" customHeight="1" x14ac:dyDescent="0.2">
      <c r="A89" s="12">
        <f>+A86+1</f>
        <v>32</v>
      </c>
      <c r="B89" s="5" t="s">
        <v>715</v>
      </c>
      <c r="C89" s="145" t="s">
        <v>421</v>
      </c>
      <c r="D89" s="115" t="s">
        <v>146</v>
      </c>
      <c r="E89" s="115" t="s">
        <v>213</v>
      </c>
      <c r="F89" s="24" t="s">
        <v>603</v>
      </c>
      <c r="G89" s="24" t="s">
        <v>716</v>
      </c>
      <c r="H89" s="9">
        <v>70000</v>
      </c>
      <c r="I89" s="8">
        <f>H89*2.87%</f>
        <v>2009</v>
      </c>
      <c r="J89" s="8">
        <f>+H89*3.04%</f>
        <v>2128</v>
      </c>
      <c r="K89" s="8"/>
      <c r="L89" s="8">
        <f>+J89+I89+K89</f>
        <v>4137</v>
      </c>
      <c r="M89" s="8">
        <f>+H89-L89</f>
        <v>65863</v>
      </c>
      <c r="N89" s="8">
        <f>+IF(M89*12&lt;=416220.01,0,IF(M89*12&lt;=624329.01,(((M89*12-416220.01)*0.15)/12),IF((M89*12&lt;=867123.01),(31216+0.2*(M89*12-624329.01))/12,((79776+0.25*(M89*12-867123.01))/12))))</f>
        <v>5368.4498333333331</v>
      </c>
      <c r="O89" s="8"/>
      <c r="P89" s="9">
        <v>25</v>
      </c>
      <c r="Q89" s="8">
        <f>+P89+N89+L89</f>
        <v>9530.4498333333322</v>
      </c>
      <c r="R89" s="9">
        <f>+H89-Q89</f>
        <v>60469.550166666668</v>
      </c>
    </row>
    <row r="90" spans="1:19" s="6" customFormat="1" ht="26.25" customHeight="1" x14ac:dyDescent="0.2">
      <c r="A90" s="300" t="s">
        <v>125</v>
      </c>
      <c r="B90" s="301"/>
      <c r="C90" s="223"/>
      <c r="D90" s="223"/>
      <c r="E90" s="223"/>
      <c r="F90" s="223"/>
      <c r="G90" s="223"/>
      <c r="H90" s="14">
        <f>SUM(H89)</f>
        <v>70000</v>
      </c>
      <c r="I90" s="14">
        <f t="shared" ref="I90:R90" si="26">SUM(I89)</f>
        <v>2009</v>
      </c>
      <c r="J90" s="14">
        <f t="shared" si="26"/>
        <v>2128</v>
      </c>
      <c r="K90" s="14">
        <f t="shared" si="26"/>
        <v>0</v>
      </c>
      <c r="L90" s="14">
        <f t="shared" si="26"/>
        <v>4137</v>
      </c>
      <c r="M90" s="14">
        <f t="shared" si="26"/>
        <v>65863</v>
      </c>
      <c r="N90" s="14">
        <f t="shared" si="26"/>
        <v>5368.4498333333331</v>
      </c>
      <c r="O90" s="14">
        <f t="shared" si="26"/>
        <v>0</v>
      </c>
      <c r="P90" s="14">
        <f t="shared" si="26"/>
        <v>25</v>
      </c>
      <c r="Q90" s="14">
        <f t="shared" si="26"/>
        <v>9530.4498333333322</v>
      </c>
      <c r="R90" s="14">
        <f t="shared" si="26"/>
        <v>60469.550166666668</v>
      </c>
    </row>
    <row r="91" spans="1:19" s="6" customFormat="1" ht="24.75" customHeight="1" x14ac:dyDescent="0.2">
      <c r="A91" s="62"/>
      <c r="B91" s="62"/>
      <c r="C91" s="62"/>
      <c r="D91" s="62"/>
      <c r="E91" s="62"/>
      <c r="F91" s="62"/>
      <c r="G91" s="62"/>
    </row>
    <row r="92" spans="1:19" s="6" customFormat="1" ht="23.25" customHeight="1" thickBot="1" x14ac:dyDescent="0.25">
      <c r="A92" s="62"/>
      <c r="B92" s="62"/>
      <c r="C92" s="62"/>
      <c r="D92" s="62"/>
      <c r="E92" s="62"/>
      <c r="G92" s="62"/>
    </row>
    <row r="93" spans="1:19" s="6" customFormat="1" ht="28.5" customHeight="1" thickBot="1" x14ac:dyDescent="0.25">
      <c r="A93" s="229" t="s">
        <v>165</v>
      </c>
      <c r="B93" s="230"/>
      <c r="C93" s="230"/>
      <c r="D93" s="230"/>
      <c r="E93" s="230"/>
      <c r="F93" s="230"/>
      <c r="G93" s="230"/>
      <c r="H93" s="230"/>
      <c r="I93" s="230"/>
      <c r="J93" s="230"/>
      <c r="K93" s="230"/>
      <c r="L93" s="230"/>
      <c r="M93" s="230"/>
      <c r="N93" s="230"/>
      <c r="O93" s="230"/>
      <c r="P93" s="230"/>
      <c r="Q93" s="230"/>
      <c r="R93" s="230"/>
    </row>
    <row r="94" spans="1:19" s="6" customFormat="1" ht="23.25" customHeight="1" x14ac:dyDescent="0.2">
      <c r="A94" s="12">
        <f>+A89+1</f>
        <v>33</v>
      </c>
      <c r="B94" s="5" t="s">
        <v>451</v>
      </c>
      <c r="C94" s="145" t="s">
        <v>420</v>
      </c>
      <c r="D94" s="115" t="s">
        <v>146</v>
      </c>
      <c r="E94" s="115" t="s">
        <v>213</v>
      </c>
      <c r="F94" s="24" t="s">
        <v>550</v>
      </c>
      <c r="G94" s="24" t="s">
        <v>612</v>
      </c>
      <c r="H94" s="9">
        <v>70000</v>
      </c>
      <c r="I94" s="8">
        <f>H94*2.87%</f>
        <v>2009</v>
      </c>
      <c r="J94" s="8">
        <f>+H94*3.04%</f>
        <v>2128</v>
      </c>
      <c r="K94" s="8"/>
      <c r="L94" s="8">
        <f>+J94+I94+K94</f>
        <v>4137</v>
      </c>
      <c r="M94" s="8">
        <f>+H94-L94</f>
        <v>65863</v>
      </c>
      <c r="N94" s="8">
        <f>+IF(M94*12&lt;=416220.01,0,IF(M94*12&lt;=624329.01,(((M94*12-416220.01)*0.15)/12),IF((M94*12&lt;=867123.01),(31216+0.2*(M94*12-624329.01))/12,((79776+0.25*(M94*12-867123.01))/12))))</f>
        <v>5368.4498333333331</v>
      </c>
      <c r="O94" s="8"/>
      <c r="P94" s="99">
        <f>25+100</f>
        <v>125</v>
      </c>
      <c r="Q94" s="8">
        <f>+P94+N94+L94</f>
        <v>9630.4498333333322</v>
      </c>
      <c r="R94" s="9">
        <f>+H94-Q94</f>
        <v>60369.550166666668</v>
      </c>
    </row>
    <row r="95" spans="1:19" s="6" customFormat="1" ht="26.25" customHeight="1" x14ac:dyDescent="0.2">
      <c r="A95" s="300" t="s">
        <v>125</v>
      </c>
      <c r="B95" s="301"/>
      <c r="C95" s="223"/>
      <c r="D95" s="223"/>
      <c r="E95" s="223"/>
      <c r="F95" s="223"/>
      <c r="G95" s="223"/>
      <c r="H95" s="14">
        <f>SUM(H94)</f>
        <v>70000</v>
      </c>
      <c r="I95" s="14">
        <f t="shared" ref="I95:R95" si="27">SUM(I94)</f>
        <v>2009</v>
      </c>
      <c r="J95" s="14">
        <f t="shared" si="27"/>
        <v>2128</v>
      </c>
      <c r="K95" s="14">
        <f t="shared" si="27"/>
        <v>0</v>
      </c>
      <c r="L95" s="14">
        <f t="shared" si="27"/>
        <v>4137</v>
      </c>
      <c r="M95" s="14">
        <f t="shared" si="27"/>
        <v>65863</v>
      </c>
      <c r="N95" s="14">
        <f t="shared" si="27"/>
        <v>5368.4498333333331</v>
      </c>
      <c r="O95" s="14">
        <f t="shared" si="27"/>
        <v>0</v>
      </c>
      <c r="P95" s="14">
        <f t="shared" si="27"/>
        <v>125</v>
      </c>
      <c r="Q95" s="14">
        <f t="shared" si="27"/>
        <v>9630.4498333333322</v>
      </c>
      <c r="R95" s="14">
        <f t="shared" si="27"/>
        <v>60369.550166666668</v>
      </c>
    </row>
    <row r="96" spans="1:19" s="6" customFormat="1" ht="24.75" customHeight="1" thickBot="1" x14ac:dyDescent="0.25">
      <c r="A96" s="62"/>
      <c r="B96" s="62"/>
      <c r="C96" s="62"/>
      <c r="D96" s="62"/>
      <c r="E96" s="62"/>
      <c r="F96" s="62"/>
      <c r="G96" s="62"/>
    </row>
    <row r="97" spans="1:19" s="74" customFormat="1" ht="27" customHeight="1" thickBot="1" x14ac:dyDescent="0.25">
      <c r="A97" s="229" t="s">
        <v>166</v>
      </c>
      <c r="B97" s="230"/>
      <c r="C97" s="230"/>
      <c r="D97" s="230"/>
      <c r="E97" s="230"/>
      <c r="F97" s="230"/>
      <c r="G97" s="230"/>
      <c r="H97" s="230"/>
      <c r="I97" s="230"/>
      <c r="J97" s="230"/>
      <c r="K97" s="230"/>
      <c r="L97" s="230"/>
      <c r="M97" s="230"/>
      <c r="N97" s="230"/>
      <c r="O97" s="230"/>
      <c r="P97" s="230"/>
      <c r="Q97" s="230"/>
      <c r="R97" s="230"/>
      <c r="S97" s="6"/>
    </row>
    <row r="98" spans="1:19" s="74" customFormat="1" ht="24.95" customHeight="1" x14ac:dyDescent="0.2">
      <c r="A98" s="12">
        <f>+A94+1</f>
        <v>34</v>
      </c>
      <c r="B98" s="5" t="s">
        <v>435</v>
      </c>
      <c r="C98" s="145" t="s">
        <v>421</v>
      </c>
      <c r="D98" s="115" t="s">
        <v>146</v>
      </c>
      <c r="E98" s="115" t="s">
        <v>213</v>
      </c>
      <c r="F98" s="120" t="s">
        <v>603</v>
      </c>
      <c r="G98" s="120" t="s">
        <v>716</v>
      </c>
      <c r="H98" s="9">
        <v>70000</v>
      </c>
      <c r="I98" s="8">
        <f>H98*2.87%</f>
        <v>2009</v>
      </c>
      <c r="J98" s="8">
        <f>+H98*3.04%</f>
        <v>2128</v>
      </c>
      <c r="K98" s="8"/>
      <c r="L98" s="8">
        <f>+J98+I98+K98</f>
        <v>4137</v>
      </c>
      <c r="M98" s="8">
        <f>+H98-L98</f>
        <v>65863</v>
      </c>
      <c r="N98" s="8">
        <f>+IF(M98*12&lt;=416220.01,0,IF(M98*12&lt;=624329.01,(((M98*12-416220.01)*0.15)/12),IF((M98*12&lt;=867123.01),(31216+0.2*(M98*12-624329.01))/12,((79776+0.25*(M98*12-867123.01))/12))))-O98</f>
        <v>5368.4498333333331</v>
      </c>
      <c r="O98" s="8"/>
      <c r="P98" s="99">
        <v>125</v>
      </c>
      <c r="Q98" s="8">
        <f>+P98+N98+L98</f>
        <v>9630.4498333333322</v>
      </c>
      <c r="R98" s="9">
        <f>+H98-Q98</f>
        <v>60369.550166666668</v>
      </c>
      <c r="S98" s="6"/>
    </row>
    <row r="99" spans="1:19" s="6" customFormat="1" ht="24.75" customHeight="1" x14ac:dyDescent="0.2">
      <c r="A99" s="12">
        <f>+A98+1</f>
        <v>35</v>
      </c>
      <c r="B99" s="5" t="s">
        <v>450</v>
      </c>
      <c r="C99" s="145" t="s">
        <v>421</v>
      </c>
      <c r="D99" s="115" t="s">
        <v>146</v>
      </c>
      <c r="E99" s="115" t="s">
        <v>213</v>
      </c>
      <c r="F99" s="24" t="s">
        <v>550</v>
      </c>
      <c r="G99" s="24" t="s">
        <v>612</v>
      </c>
      <c r="H99" s="9">
        <v>70000</v>
      </c>
      <c r="I99" s="8">
        <f>H99*2.87%</f>
        <v>2009</v>
      </c>
      <c r="J99" s="8">
        <f>+H99*3.04%</f>
        <v>2128</v>
      </c>
      <c r="K99" s="8"/>
      <c r="L99" s="8">
        <f>+J99+I99+K99</f>
        <v>4137</v>
      </c>
      <c r="M99" s="8">
        <f>+H99-L99</f>
        <v>65863</v>
      </c>
      <c r="N99" s="8">
        <f>+IF(M99*12&lt;=416220.01,0,IF(M99*12&lt;=624329.01,(((M99*12-416220.01)*0.15)/12),IF((M99*12&lt;=867123.01),(31216+0.2*(M99*12-624329.01))/12,((79776+0.25*(M99*12-867123.01))/12))))</f>
        <v>5368.4498333333331</v>
      </c>
      <c r="O99" s="8"/>
      <c r="P99" s="99">
        <v>25</v>
      </c>
      <c r="Q99" s="8">
        <f>+P99+N99+L99</f>
        <v>9530.4498333333322</v>
      </c>
      <c r="R99" s="9">
        <f>+H99-Q99</f>
        <v>60469.550166666668</v>
      </c>
    </row>
    <row r="100" spans="1:19" s="6" customFormat="1" ht="24.75" customHeight="1" x14ac:dyDescent="0.2">
      <c r="A100" s="12">
        <f>+A99+1</f>
        <v>36</v>
      </c>
      <c r="B100" s="5" t="s">
        <v>636</v>
      </c>
      <c r="C100" s="145" t="s">
        <v>420</v>
      </c>
      <c r="D100" s="115" t="s">
        <v>146</v>
      </c>
      <c r="E100" s="115" t="s">
        <v>213</v>
      </c>
      <c r="F100" s="120" t="s">
        <v>556</v>
      </c>
      <c r="G100" s="24" t="s">
        <v>611</v>
      </c>
      <c r="H100" s="9">
        <v>70000</v>
      </c>
      <c r="I100" s="8">
        <f>H100*2.87%</f>
        <v>2009</v>
      </c>
      <c r="J100" s="8">
        <f>+H100*3.04%</f>
        <v>2128</v>
      </c>
      <c r="K100" s="8"/>
      <c r="L100" s="8">
        <f>+J100+I100+K100</f>
        <v>4137</v>
      </c>
      <c r="M100" s="8">
        <f>+H100-L100</f>
        <v>65863</v>
      </c>
      <c r="N100" s="8">
        <f>+IF(M100*12&lt;=416220.01,0,IF(M100*12&lt;=624329.01,(((M100*12-416220.01)*0.15)/12),IF((M100*12&lt;=867123.01),(31216+0.2*(M100*12-624329.01))/12,((79776+0.25*(M100*12-867123.01))/12))))-O100</f>
        <v>5368.4498333333331</v>
      </c>
      <c r="O100" s="8"/>
      <c r="P100" s="99">
        <f>40+25</f>
        <v>65</v>
      </c>
      <c r="Q100" s="8">
        <f>+P100+N100+L100</f>
        <v>9570.4498333333322</v>
      </c>
      <c r="R100" s="9">
        <f>+H100-Q100</f>
        <v>60429.550166666668</v>
      </c>
    </row>
    <row r="101" spans="1:19" customFormat="1" ht="21" customHeight="1" thickBot="1" x14ac:dyDescent="0.25">
      <c r="A101" s="302" t="s">
        <v>125</v>
      </c>
      <c r="B101" s="303"/>
      <c r="C101" s="223"/>
      <c r="D101" s="223"/>
      <c r="E101" s="223"/>
      <c r="F101" s="223"/>
      <c r="G101" s="223"/>
      <c r="H101" s="14">
        <f>SUM(H98:H100)</f>
        <v>210000</v>
      </c>
      <c r="I101" s="14">
        <f t="shared" ref="I101:R101" si="28">SUM(I98:I100)</f>
        <v>6027</v>
      </c>
      <c r="J101" s="14">
        <f t="shared" si="28"/>
        <v>6384</v>
      </c>
      <c r="K101" s="14">
        <f t="shared" si="28"/>
        <v>0</v>
      </c>
      <c r="L101" s="14">
        <f t="shared" si="28"/>
        <v>12411</v>
      </c>
      <c r="M101" s="14">
        <f t="shared" si="28"/>
        <v>197589</v>
      </c>
      <c r="N101" s="14">
        <f t="shared" si="28"/>
        <v>16105.3495</v>
      </c>
      <c r="O101" s="14">
        <f t="shared" si="28"/>
        <v>0</v>
      </c>
      <c r="P101" s="14">
        <f t="shared" si="28"/>
        <v>215</v>
      </c>
      <c r="Q101" s="14">
        <f t="shared" si="28"/>
        <v>28731.349499999997</v>
      </c>
      <c r="R101" s="14">
        <f t="shared" si="28"/>
        <v>181268.65049999999</v>
      </c>
      <c r="S101" s="199"/>
    </row>
    <row r="102" spans="1:19" s="6" customFormat="1" ht="28.5" customHeight="1" thickBot="1" x14ac:dyDescent="0.25">
      <c r="A102" s="229" t="s">
        <v>165</v>
      </c>
      <c r="B102" s="230"/>
      <c r="C102" s="230"/>
      <c r="D102" s="230"/>
      <c r="E102" s="230"/>
      <c r="F102" s="230"/>
      <c r="G102" s="230"/>
      <c r="H102" s="230"/>
      <c r="I102" s="230"/>
      <c r="J102" s="230"/>
      <c r="K102" s="230"/>
      <c r="L102" s="230"/>
      <c r="M102" s="230"/>
      <c r="N102" s="230"/>
      <c r="O102" s="230"/>
      <c r="P102" s="230"/>
      <c r="Q102" s="230"/>
      <c r="R102" s="230"/>
    </row>
    <row r="103" spans="1:19" s="6" customFormat="1" ht="31.15" customHeight="1" x14ac:dyDescent="0.2">
      <c r="A103" s="12">
        <f>+A100+1</f>
        <v>37</v>
      </c>
      <c r="B103" s="5" t="s">
        <v>549</v>
      </c>
      <c r="C103" s="145" t="s">
        <v>420</v>
      </c>
      <c r="D103" s="115" t="s">
        <v>146</v>
      </c>
      <c r="E103" s="115" t="s">
        <v>213</v>
      </c>
      <c r="F103" s="24" t="s">
        <v>606</v>
      </c>
      <c r="G103" s="24" t="s">
        <v>722</v>
      </c>
      <c r="H103" s="9">
        <v>70000</v>
      </c>
      <c r="I103" s="8">
        <f>H103*2.87%</f>
        <v>2009</v>
      </c>
      <c r="J103" s="8">
        <f>+H103*3.04%</f>
        <v>2128</v>
      </c>
      <c r="K103" s="8"/>
      <c r="L103" s="8">
        <f>+J103+I103+K103</f>
        <v>4137</v>
      </c>
      <c r="M103" s="8">
        <f>+H103-L103</f>
        <v>65863</v>
      </c>
      <c r="N103" s="8">
        <v>5368.98</v>
      </c>
      <c r="O103" s="8">
        <v>5368.45</v>
      </c>
      <c r="P103" s="99">
        <v>25</v>
      </c>
      <c r="Q103" s="8">
        <f>+P103+N103+L103</f>
        <v>9530.98</v>
      </c>
      <c r="R103" s="9">
        <f>+H103-Q103</f>
        <v>60469.020000000004</v>
      </c>
    </row>
    <row r="104" spans="1:19" s="6" customFormat="1" ht="26.25" customHeight="1" x14ac:dyDescent="0.2">
      <c r="A104" s="300" t="s">
        <v>125</v>
      </c>
      <c r="B104" s="301"/>
      <c r="C104" s="223"/>
      <c r="D104" s="223"/>
      <c r="E104" s="223"/>
      <c r="F104" s="223"/>
      <c r="G104" s="223"/>
      <c r="H104" s="14">
        <f>SUM(H103)</f>
        <v>70000</v>
      </c>
      <c r="I104" s="14">
        <f t="shared" ref="I104:R104" si="29">SUM(I103)</f>
        <v>2009</v>
      </c>
      <c r="J104" s="14">
        <f t="shared" si="29"/>
        <v>2128</v>
      </c>
      <c r="K104" s="14">
        <f t="shared" si="29"/>
        <v>0</v>
      </c>
      <c r="L104" s="14">
        <f t="shared" si="29"/>
        <v>4137</v>
      </c>
      <c r="M104" s="14">
        <f t="shared" si="29"/>
        <v>65863</v>
      </c>
      <c r="N104" s="14">
        <f t="shared" si="29"/>
        <v>5368.98</v>
      </c>
      <c r="O104" s="14">
        <f t="shared" si="29"/>
        <v>5368.45</v>
      </c>
      <c r="P104" s="14">
        <f t="shared" si="29"/>
        <v>25</v>
      </c>
      <c r="Q104" s="14">
        <f t="shared" si="29"/>
        <v>9530.98</v>
      </c>
      <c r="R104" s="14">
        <f t="shared" si="29"/>
        <v>60469.020000000004</v>
      </c>
    </row>
    <row r="105" spans="1:19" s="6" customFormat="1" ht="24.75" customHeight="1" thickBot="1" x14ac:dyDescent="0.25">
      <c r="A105" s="62"/>
      <c r="B105" s="62"/>
      <c r="C105" s="62"/>
      <c r="D105" s="62"/>
      <c r="E105" s="62"/>
      <c r="F105" s="62"/>
      <c r="G105" s="62"/>
    </row>
    <row r="106" spans="1:19" customFormat="1" ht="34.5" customHeight="1" thickBot="1" x14ac:dyDescent="0.25">
      <c r="A106" s="221" t="s">
        <v>171</v>
      </c>
      <c r="B106" s="222"/>
      <c r="C106" s="222"/>
      <c r="D106" s="222"/>
      <c r="E106" s="222"/>
      <c r="F106" s="222"/>
      <c r="G106" s="222"/>
      <c r="H106" s="222"/>
      <c r="I106" s="222"/>
      <c r="J106" s="222"/>
      <c r="K106" s="222"/>
      <c r="L106" s="222"/>
      <c r="M106" s="222"/>
      <c r="N106" s="222"/>
      <c r="O106" s="222"/>
      <c r="P106" s="222"/>
      <c r="Q106" s="222"/>
      <c r="R106" s="222"/>
      <c r="S106" s="199"/>
    </row>
    <row r="107" spans="1:19" customFormat="1" ht="34.5" customHeight="1" x14ac:dyDescent="0.2">
      <c r="A107" s="12">
        <f>+A103+1</f>
        <v>38</v>
      </c>
      <c r="B107" s="59" t="s">
        <v>136</v>
      </c>
      <c r="C107" s="145" t="s">
        <v>420</v>
      </c>
      <c r="D107" s="116" t="s">
        <v>201</v>
      </c>
      <c r="E107" s="115" t="s">
        <v>213</v>
      </c>
      <c r="F107" s="98" t="s">
        <v>613</v>
      </c>
      <c r="G107" s="98" t="s">
        <v>702</v>
      </c>
      <c r="H107" s="10">
        <v>135000</v>
      </c>
      <c r="I107" s="8">
        <f>H107*2.87%</f>
        <v>3874.5</v>
      </c>
      <c r="J107" s="8">
        <f>+H107*3.04%</f>
        <v>4104</v>
      </c>
      <c r="K107" s="8">
        <v>1597.31</v>
      </c>
      <c r="L107" s="8">
        <f>+J107+I107+K107</f>
        <v>9575.81</v>
      </c>
      <c r="M107" s="8">
        <f>+H107-L107</f>
        <v>125424.19</v>
      </c>
      <c r="N107" s="8">
        <f>+IF(M107*12&lt;=416220.01,0,IF(M107*12&lt;=624329.01,(((M107*12-416220.01)*0.15)/12),IF((M107*12&lt;=867123.01),(31216+0.2*(M107*12-624329.01))/12,((79776+0.25*(M107*12-867123.01))/12))))</f>
        <v>19938.984791666666</v>
      </c>
      <c r="O107" s="8"/>
      <c r="P107" s="99">
        <v>8164.84</v>
      </c>
      <c r="Q107" s="8">
        <f>+P107+N107+L107</f>
        <v>37679.634791666664</v>
      </c>
      <c r="R107" s="9">
        <f>+H107-Q107</f>
        <v>97320.365208333329</v>
      </c>
      <c r="S107" s="199"/>
    </row>
    <row r="108" spans="1:19" s="6" customFormat="1" ht="24" customHeight="1" x14ac:dyDescent="0.2">
      <c r="A108" s="12">
        <f>+A107+1</f>
        <v>39</v>
      </c>
      <c r="B108" s="59" t="s">
        <v>216</v>
      </c>
      <c r="C108" s="145" t="s">
        <v>421</v>
      </c>
      <c r="D108" s="115" t="s">
        <v>146</v>
      </c>
      <c r="E108" s="115" t="s">
        <v>213</v>
      </c>
      <c r="F108" s="183" t="s">
        <v>605</v>
      </c>
      <c r="G108" s="183" t="s">
        <v>700</v>
      </c>
      <c r="H108" s="10">
        <v>90000</v>
      </c>
      <c r="I108" s="8">
        <f>H108*2.87%</f>
        <v>2583</v>
      </c>
      <c r="J108" s="8">
        <f>+H108*3.04%</f>
        <v>2736</v>
      </c>
      <c r="K108" s="8">
        <v>1597.31</v>
      </c>
      <c r="L108" s="8">
        <f>+J108+I108+K108</f>
        <v>6916.3099999999995</v>
      </c>
      <c r="M108" s="8">
        <f>+H108-L108</f>
        <v>83083.69</v>
      </c>
      <c r="N108" s="8">
        <f>+IF(M108*12&lt;=416220.01,0,IF(M108*12&lt;=624329.01,(((M108*12-416220.01)*0.15)/12),IF((M108*12&lt;=867123.01),(31216+0.2*(M108*12-624329.01))/12,((79776+0.25*(M108*12-867123.01))/12))))-O108</f>
        <v>9353.8597916666677</v>
      </c>
      <c r="O108" s="8"/>
      <c r="P108" s="99">
        <v>6347.25</v>
      </c>
      <c r="Q108" s="8">
        <f>+P108+N108+L108</f>
        <v>22617.419791666667</v>
      </c>
      <c r="R108" s="9">
        <f>+H108-Q108</f>
        <v>67382.580208333326</v>
      </c>
    </row>
    <row r="109" spans="1:19" s="2" customFormat="1" ht="22.5" customHeight="1" x14ac:dyDescent="0.2">
      <c r="A109" s="300" t="s">
        <v>125</v>
      </c>
      <c r="B109" s="301"/>
      <c r="C109" s="223"/>
      <c r="D109" s="223"/>
      <c r="E109" s="223"/>
      <c r="F109" s="223"/>
      <c r="G109" s="223"/>
      <c r="H109" s="14">
        <f>SUM(H107:H108)</f>
        <v>225000</v>
      </c>
      <c r="I109" s="14">
        <f t="shared" ref="I109:R109" si="30">SUM(I107:I108)</f>
        <v>6457.5</v>
      </c>
      <c r="J109" s="14">
        <f t="shared" si="30"/>
        <v>6840</v>
      </c>
      <c r="K109" s="14">
        <f t="shared" si="30"/>
        <v>3194.62</v>
      </c>
      <c r="L109" s="14">
        <f t="shared" si="30"/>
        <v>16492.12</v>
      </c>
      <c r="M109" s="14">
        <f t="shared" si="30"/>
        <v>208507.88</v>
      </c>
      <c r="N109" s="14">
        <f t="shared" si="30"/>
        <v>29292.844583333332</v>
      </c>
      <c r="O109" s="14">
        <f t="shared" si="30"/>
        <v>0</v>
      </c>
      <c r="P109" s="14">
        <f t="shared" si="30"/>
        <v>14512.09</v>
      </c>
      <c r="Q109" s="14">
        <f t="shared" si="30"/>
        <v>60297.054583333331</v>
      </c>
      <c r="R109" s="14">
        <f t="shared" si="30"/>
        <v>164702.94541666665</v>
      </c>
    </row>
    <row r="110" spans="1:19" s="2" customFormat="1" ht="21" customHeight="1" thickBot="1" x14ac:dyDescent="0.25">
      <c r="A110" s="62"/>
      <c r="B110" s="62"/>
      <c r="C110" s="62"/>
      <c r="D110" s="62"/>
      <c r="E110" s="62"/>
      <c r="F110" s="62"/>
      <c r="G110" s="62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</row>
    <row r="111" spans="1:19" customFormat="1" ht="34.5" customHeight="1" thickBot="1" x14ac:dyDescent="0.25">
      <c r="A111" s="221" t="s">
        <v>173</v>
      </c>
      <c r="B111" s="222"/>
      <c r="C111" s="222"/>
      <c r="D111" s="222"/>
      <c r="E111" s="222"/>
      <c r="F111" s="222"/>
      <c r="G111" s="222"/>
      <c r="H111" s="222"/>
      <c r="I111" s="222"/>
      <c r="J111" s="222"/>
      <c r="K111" s="222"/>
      <c r="L111" s="222"/>
      <c r="M111" s="222"/>
      <c r="N111" s="222"/>
      <c r="O111" s="222"/>
      <c r="P111" s="222"/>
      <c r="Q111" s="222"/>
      <c r="R111" s="222"/>
      <c r="S111" s="199"/>
    </row>
    <row r="112" spans="1:19" customFormat="1" ht="34.5" customHeight="1" x14ac:dyDescent="0.2">
      <c r="A112" s="12">
        <f>+A108+1</f>
        <v>40</v>
      </c>
      <c r="B112" s="59" t="s">
        <v>622</v>
      </c>
      <c r="C112" s="145" t="s">
        <v>421</v>
      </c>
      <c r="D112" s="116" t="s">
        <v>51</v>
      </c>
      <c r="E112" s="115" t="s">
        <v>213</v>
      </c>
      <c r="F112" s="24" t="s">
        <v>551</v>
      </c>
      <c r="G112" s="24" t="s">
        <v>623</v>
      </c>
      <c r="H112" s="10">
        <v>70000</v>
      </c>
      <c r="I112" s="8">
        <f>H112*2.87%</f>
        <v>2009</v>
      </c>
      <c r="J112" s="8">
        <f>+H112*3.04%</f>
        <v>2128</v>
      </c>
      <c r="K112" s="8"/>
      <c r="L112" s="8">
        <f>+J112+I112+K112</f>
        <v>4137</v>
      </c>
      <c r="M112" s="8">
        <f>+H112-L112</f>
        <v>65863</v>
      </c>
      <c r="N112" s="8">
        <f>+IF(M112*12&lt;=416220.01,0,IF(M112*12&lt;=624329.01,(((M112*12-416220.01)*0.15)/12),IF((M112*12&lt;=867123.01),(31216+0.2*(M112*12-624329.01))/12,((79776+0.25*(M112*12-867123.01))/12))))</f>
        <v>5368.4498333333331</v>
      </c>
      <c r="O112" s="8"/>
      <c r="P112" s="99">
        <v>145</v>
      </c>
      <c r="Q112" s="8">
        <f>+P112+N112+L112</f>
        <v>9650.4498333333322</v>
      </c>
      <c r="R112" s="9">
        <f>+H112-Q112</f>
        <v>60349.550166666668</v>
      </c>
      <c r="S112" s="199"/>
    </row>
    <row r="113" spans="1:19" s="2" customFormat="1" ht="22.5" customHeight="1" x14ac:dyDescent="0.2">
      <c r="A113" s="300" t="s">
        <v>125</v>
      </c>
      <c r="B113" s="301"/>
      <c r="C113" s="223"/>
      <c r="D113" s="223"/>
      <c r="E113" s="223"/>
      <c r="F113" s="223"/>
      <c r="G113" s="223"/>
      <c r="H113" s="14">
        <f>SUM(H112:H112)</f>
        <v>70000</v>
      </c>
      <c r="I113" s="14">
        <f t="shared" ref="I113:R113" si="31">SUM(I112:I112)</f>
        <v>2009</v>
      </c>
      <c r="J113" s="14">
        <f t="shared" si="31"/>
        <v>2128</v>
      </c>
      <c r="K113" s="14">
        <f t="shared" si="31"/>
        <v>0</v>
      </c>
      <c r="L113" s="14">
        <f t="shared" si="31"/>
        <v>4137</v>
      </c>
      <c r="M113" s="14">
        <f t="shared" si="31"/>
        <v>65863</v>
      </c>
      <c r="N113" s="14">
        <f t="shared" si="31"/>
        <v>5368.4498333333331</v>
      </c>
      <c r="O113" s="14">
        <f t="shared" si="31"/>
        <v>0</v>
      </c>
      <c r="P113" s="14">
        <f t="shared" si="31"/>
        <v>145</v>
      </c>
      <c r="Q113" s="14">
        <f t="shared" si="31"/>
        <v>9650.4498333333322</v>
      </c>
      <c r="R113" s="14">
        <f t="shared" si="31"/>
        <v>60349.550166666668</v>
      </c>
    </row>
    <row r="114" spans="1:19" s="2" customFormat="1" ht="21" customHeight="1" thickBot="1" x14ac:dyDescent="0.25">
      <c r="A114" s="62"/>
      <c r="B114" s="62"/>
      <c r="C114" s="62"/>
      <c r="D114" s="62"/>
      <c r="E114" s="62"/>
      <c r="F114" s="62"/>
      <c r="G114" s="62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</row>
    <row r="115" spans="1:19" s="2" customFormat="1" ht="28.5" customHeight="1" thickBot="1" x14ac:dyDescent="0.25">
      <c r="A115" s="221" t="s">
        <v>468</v>
      </c>
      <c r="B115" s="222"/>
      <c r="C115" s="222"/>
      <c r="D115" s="222"/>
      <c r="E115" s="222"/>
      <c r="F115" s="222"/>
      <c r="G115" s="222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</row>
    <row r="116" spans="1:19" s="2" customFormat="1" ht="32.25" customHeight="1" thickBot="1" x14ac:dyDescent="0.25">
      <c r="A116" s="221" t="s">
        <v>469</v>
      </c>
      <c r="B116" s="222"/>
      <c r="C116" s="222"/>
      <c r="D116" s="222"/>
      <c r="E116" s="222"/>
      <c r="F116" s="222"/>
      <c r="G116" s="222"/>
      <c r="H116" s="222"/>
      <c r="I116" s="222"/>
      <c r="J116" s="222"/>
      <c r="K116" s="222"/>
      <c r="L116" s="222"/>
      <c r="M116" s="222"/>
      <c r="N116" s="222"/>
      <c r="O116" s="222"/>
      <c r="P116" s="222"/>
      <c r="Q116" s="222"/>
      <c r="R116" s="222"/>
    </row>
    <row r="117" spans="1:19" s="2" customFormat="1" ht="33" customHeight="1" x14ac:dyDescent="0.2">
      <c r="A117" s="12">
        <f>+A112+1</f>
        <v>41</v>
      </c>
      <c r="B117" s="185" t="s">
        <v>490</v>
      </c>
      <c r="C117" s="186" t="s">
        <v>420</v>
      </c>
      <c r="D117" s="97" t="s">
        <v>510</v>
      </c>
      <c r="E117" s="97" t="s">
        <v>213</v>
      </c>
      <c r="F117" s="98" t="s">
        <v>613</v>
      </c>
      <c r="G117" s="98" t="s">
        <v>703</v>
      </c>
      <c r="H117" s="99">
        <v>190000</v>
      </c>
      <c r="I117" s="100">
        <f>H117*2.87%</f>
        <v>5453</v>
      </c>
      <c r="J117" s="8">
        <f>187020*3.04%</f>
        <v>5685.4080000000004</v>
      </c>
      <c r="K117" s="100"/>
      <c r="L117" s="8">
        <f>+J117+I117+K117</f>
        <v>11138.407999999999</v>
      </c>
      <c r="M117" s="8">
        <f>+H117-L117</f>
        <v>178861.592</v>
      </c>
      <c r="N117" s="8">
        <f>+IF(M117*12&lt;=416220.01,0,IF(M117*12&lt;=624329.01,(((M117*12-416220.01)*0.15)/12),IF((M117*12&lt;=867123.01),(31216+0.2*(M117*12-624329.01))/12,((79776+0.25*(M117*12-867123.01))/12))))-O117</f>
        <v>33298.33529166667</v>
      </c>
      <c r="O117" s="8"/>
      <c r="P117" s="99">
        <v>25</v>
      </c>
      <c r="Q117" s="8">
        <f>+P117+N117+L117</f>
        <v>44461.743291666673</v>
      </c>
      <c r="R117" s="99">
        <f>+H117-Q117</f>
        <v>145538.25670833333</v>
      </c>
    </row>
    <row r="118" spans="1:19" s="2" customFormat="1" ht="33" customHeight="1" x14ac:dyDescent="0.2">
      <c r="A118" s="12">
        <f>+A117+1</f>
        <v>42</v>
      </c>
      <c r="B118" s="8" t="s">
        <v>368</v>
      </c>
      <c r="C118" s="145" t="s">
        <v>420</v>
      </c>
      <c r="D118" s="115" t="s">
        <v>467</v>
      </c>
      <c r="E118" s="115" t="s">
        <v>213</v>
      </c>
      <c r="F118" s="98" t="s">
        <v>613</v>
      </c>
      <c r="G118" s="98" t="s">
        <v>702</v>
      </c>
      <c r="H118" s="9">
        <v>150000</v>
      </c>
      <c r="I118" s="100">
        <f>H118*2.87%</f>
        <v>4305</v>
      </c>
      <c r="J118" s="8">
        <f>+H118*3.04%</f>
        <v>4560</v>
      </c>
      <c r="K118" s="8"/>
      <c r="L118" s="8">
        <f>+J118+I118+K118</f>
        <v>8865</v>
      </c>
      <c r="M118" s="8">
        <f>+H118-L118</f>
        <v>141135</v>
      </c>
      <c r="N118" s="8">
        <f t="shared" ref="N118" si="32">+IF(M118*12&lt;=416220.01,0,IF(M118*12&lt;=624329.01,(((M118*12-416220.01)*0.15)/12),IF((M118*12&lt;=867123.01),(31216+0.2*(M118*12-624329.01))/12,((79776+0.25*(M118*12-867123.01))/12))))-O118</f>
        <v>23866.687291666665</v>
      </c>
      <c r="O118" s="8"/>
      <c r="P118" s="99">
        <v>25</v>
      </c>
      <c r="Q118" s="8">
        <f>+P118+N118+L118</f>
        <v>32756.687291666665</v>
      </c>
      <c r="R118" s="99">
        <f>+H118-Q118</f>
        <v>117243.31270833334</v>
      </c>
    </row>
    <row r="119" spans="1:19" s="2" customFormat="1" ht="33" customHeight="1" x14ac:dyDescent="0.2">
      <c r="A119" s="12">
        <f>+A118+1</f>
        <v>43</v>
      </c>
      <c r="B119" s="8" t="s">
        <v>544</v>
      </c>
      <c r="C119" s="145" t="s">
        <v>421</v>
      </c>
      <c r="D119" s="115" t="s">
        <v>545</v>
      </c>
      <c r="E119" s="115" t="s">
        <v>213</v>
      </c>
      <c r="F119" s="98" t="s">
        <v>606</v>
      </c>
      <c r="G119" s="98" t="s">
        <v>722</v>
      </c>
      <c r="H119" s="9">
        <v>90000</v>
      </c>
      <c r="I119" s="100">
        <f>H119*2.87%</f>
        <v>2583</v>
      </c>
      <c r="J119" s="8">
        <f>+H119*3.04%</f>
        <v>2736</v>
      </c>
      <c r="K119" s="8"/>
      <c r="L119" s="8">
        <f>+J119+I119+K119</f>
        <v>5319</v>
      </c>
      <c r="M119" s="8">
        <f>+H119-L119</f>
        <v>84681</v>
      </c>
      <c r="N119" s="8">
        <v>9753.19</v>
      </c>
      <c r="O119" s="8">
        <v>9753.19</v>
      </c>
      <c r="P119" s="99">
        <v>25</v>
      </c>
      <c r="Q119" s="8">
        <f>+P119+N119+L119</f>
        <v>15097.19</v>
      </c>
      <c r="R119" s="99">
        <f>+H119-Q119</f>
        <v>74902.81</v>
      </c>
    </row>
    <row r="120" spans="1:19" s="2" customFormat="1" ht="33" customHeight="1" x14ac:dyDescent="0.2">
      <c r="A120" s="12">
        <f>+A119+1</f>
        <v>44</v>
      </c>
      <c r="B120" s="8" t="s">
        <v>202</v>
      </c>
      <c r="C120" s="145" t="s">
        <v>421</v>
      </c>
      <c r="D120" s="115" t="s">
        <v>203</v>
      </c>
      <c r="E120" s="115" t="s">
        <v>213</v>
      </c>
      <c r="F120" s="24" t="s">
        <v>603</v>
      </c>
      <c r="G120" s="24" t="s">
        <v>716</v>
      </c>
      <c r="H120" s="9">
        <v>80000</v>
      </c>
      <c r="I120" s="8">
        <f>H120*2.87%</f>
        <v>2296</v>
      </c>
      <c r="J120" s="8">
        <f>+H120*3.04%</f>
        <v>2432</v>
      </c>
      <c r="K120" s="8">
        <v>1597.31</v>
      </c>
      <c r="L120" s="8">
        <f>+I120+J120+K120</f>
        <v>6325.3099999999995</v>
      </c>
      <c r="M120" s="8">
        <f>+H120-L120</f>
        <v>73674.69</v>
      </c>
      <c r="N120" s="8">
        <f>+IF(M120*12&lt;=416220.01,0,IF(M120*12&lt;=624329.01,(((M120*12-416220.01)*0.15)/12),IF((M120*12&lt;=867123.01),(31216+0.2*(M120*12-624329.01))/12,((79776+0.25*(M120*12-867123.01))/12))))</f>
        <v>7001.6097916666668</v>
      </c>
      <c r="O120" s="8"/>
      <c r="P120" s="9">
        <v>1125</v>
      </c>
      <c r="Q120" s="8">
        <f>+P120+K120+J120+I120+N120</f>
        <v>14451.919791666667</v>
      </c>
      <c r="R120" s="9">
        <f>+H120-Q120</f>
        <v>65548.080208333326</v>
      </c>
    </row>
    <row r="121" spans="1:19" s="2" customFormat="1" ht="22.5" customHeight="1" x14ac:dyDescent="0.2">
      <c r="A121" s="300" t="s">
        <v>125</v>
      </c>
      <c r="B121" s="301"/>
      <c r="C121" s="223"/>
      <c r="D121" s="223"/>
      <c r="E121" s="223"/>
      <c r="F121" s="223"/>
      <c r="G121" s="223"/>
      <c r="H121" s="14">
        <f>SUM(H117:H120)</f>
        <v>510000</v>
      </c>
      <c r="I121" s="14">
        <f t="shared" ref="I121:R121" si="33">SUM(I117:I120)</f>
        <v>14637</v>
      </c>
      <c r="J121" s="14">
        <f t="shared" si="33"/>
        <v>15413.407999999999</v>
      </c>
      <c r="K121" s="14">
        <f t="shared" si="33"/>
        <v>1597.31</v>
      </c>
      <c r="L121" s="14">
        <f t="shared" si="33"/>
        <v>31647.718000000001</v>
      </c>
      <c r="M121" s="14">
        <f t="shared" si="33"/>
        <v>478352.28200000001</v>
      </c>
      <c r="N121" s="14">
        <f t="shared" si="33"/>
        <v>73919.822375000003</v>
      </c>
      <c r="O121" s="14">
        <f t="shared" si="33"/>
        <v>9753.19</v>
      </c>
      <c r="P121" s="14">
        <f t="shared" si="33"/>
        <v>1200</v>
      </c>
      <c r="Q121" s="14">
        <f t="shared" si="33"/>
        <v>106767.54037500001</v>
      </c>
      <c r="R121" s="14">
        <f t="shared" si="33"/>
        <v>403232.45962499996</v>
      </c>
    </row>
    <row r="122" spans="1:19" s="2" customFormat="1" ht="29.25" customHeight="1" thickBot="1" x14ac:dyDescent="0.25">
      <c r="A122" s="62"/>
      <c r="B122" s="62"/>
      <c r="C122" s="62"/>
      <c r="D122" s="62"/>
      <c r="E122" s="62"/>
      <c r="F122" s="62"/>
      <c r="G122" s="62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</row>
    <row r="123" spans="1:19" s="2" customFormat="1" ht="22.5" customHeight="1" thickBot="1" x14ac:dyDescent="0.25">
      <c r="A123" s="221" t="s">
        <v>380</v>
      </c>
      <c r="B123" s="222"/>
      <c r="C123" s="222"/>
      <c r="D123" s="222"/>
      <c r="E123" s="222"/>
      <c r="F123" s="222"/>
      <c r="G123" s="222"/>
      <c r="H123" s="222"/>
      <c r="I123" s="222"/>
      <c r="J123" s="222"/>
      <c r="K123" s="222"/>
      <c r="L123" s="222"/>
      <c r="M123" s="222"/>
      <c r="N123" s="222"/>
      <c r="O123" s="222"/>
      <c r="P123" s="222"/>
      <c r="Q123" s="222"/>
      <c r="R123" s="222"/>
    </row>
    <row r="124" spans="1:19" s="2" customFormat="1" ht="28.5" customHeight="1" x14ac:dyDescent="0.2">
      <c r="A124" s="96">
        <f>+A120+1</f>
        <v>45</v>
      </c>
      <c r="B124" s="98" t="s">
        <v>514</v>
      </c>
      <c r="C124" s="96" t="s">
        <v>421</v>
      </c>
      <c r="D124" s="98" t="s">
        <v>131</v>
      </c>
      <c r="E124" s="97" t="s">
        <v>213</v>
      </c>
      <c r="F124" s="24" t="s">
        <v>551</v>
      </c>
      <c r="G124" s="24" t="s">
        <v>614</v>
      </c>
      <c r="H124" s="8">
        <v>50000</v>
      </c>
      <c r="I124" s="100">
        <f>H124*2.87%</f>
        <v>1435</v>
      </c>
      <c r="J124" s="100">
        <f>+H124*3.04%</f>
        <v>1520</v>
      </c>
      <c r="K124" s="100"/>
      <c r="L124" s="8">
        <f>+J124+I124+K124</f>
        <v>2955</v>
      </c>
      <c r="M124" s="8">
        <f>+H124-L124</f>
        <v>47045</v>
      </c>
      <c r="N124" s="8">
        <f>+IF(M124*12&lt;=416220.01,0,IF(M124*12&lt;=624329.01,(((M124*12-416220.01)*0.15)/12),IF((M124*12&lt;=867123.01),(31216+0.2*(M124*12-624329.01))/12,((79776+0.25*(M124*12-867123.01))/12))))</f>
        <v>1853.9998749999997</v>
      </c>
      <c r="O124" s="8"/>
      <c r="P124" s="99">
        <v>25</v>
      </c>
      <c r="Q124" s="8">
        <f>+P124+N124+L124</f>
        <v>4833.9998749999995</v>
      </c>
      <c r="R124" s="99">
        <f>+H124-Q124</f>
        <v>45166.000124999999</v>
      </c>
    </row>
    <row r="125" spans="1:19" s="2" customFormat="1" ht="28.5" customHeight="1" x14ac:dyDescent="0.2">
      <c r="A125" s="96">
        <f>+A124+1</f>
        <v>46</v>
      </c>
      <c r="B125" s="98" t="s">
        <v>669</v>
      </c>
      <c r="C125" s="96" t="s">
        <v>421</v>
      </c>
      <c r="D125" s="98" t="s">
        <v>131</v>
      </c>
      <c r="E125" s="97" t="s">
        <v>213</v>
      </c>
      <c r="F125" s="24" t="s">
        <v>605</v>
      </c>
      <c r="G125" s="24" t="s">
        <v>658</v>
      </c>
      <c r="H125" s="8">
        <v>45000</v>
      </c>
      <c r="I125" s="100">
        <f>H125*2.87%</f>
        <v>1291.5</v>
      </c>
      <c r="J125" s="100">
        <f>+H125*3.04%</f>
        <v>1368</v>
      </c>
      <c r="K125" s="100">
        <v>1597.31</v>
      </c>
      <c r="L125" s="8">
        <f>+J125+I125+K125</f>
        <v>4256.8099999999995</v>
      </c>
      <c r="M125" s="8">
        <f>+H125-L125</f>
        <v>40743.19</v>
      </c>
      <c r="N125" s="8">
        <f>+IF(M125*12&lt;=416220.01,0,IF(M125*12&lt;=624329.01,(((M125*12-416220.01)*0.15)/12),IF((M125*12&lt;=867123.01),(31216+0.2*(M125*12-624329.01))/12,((79776+0.25*(M125*12-867123.01))/12))))</f>
        <v>908.72837500000014</v>
      </c>
      <c r="O125" s="8"/>
      <c r="P125" s="99">
        <v>25</v>
      </c>
      <c r="Q125" s="8">
        <f>+P125+N125+L125</f>
        <v>5190.5383750000001</v>
      </c>
      <c r="R125" s="99">
        <f>+H125-Q125</f>
        <v>39809.461624999996</v>
      </c>
    </row>
    <row r="126" spans="1:19" s="2" customFormat="1" ht="29.25" customHeight="1" x14ac:dyDescent="0.2">
      <c r="A126" s="300" t="s">
        <v>125</v>
      </c>
      <c r="B126" s="301"/>
      <c r="C126" s="223"/>
      <c r="D126" s="223"/>
      <c r="E126" s="223"/>
      <c r="F126" s="223"/>
      <c r="G126" s="223"/>
      <c r="H126" s="14">
        <f>SUM(H124:H125)</f>
        <v>95000</v>
      </c>
      <c r="I126" s="14">
        <f t="shared" ref="I126:R126" si="34">SUM(I124:I125)</f>
        <v>2726.5</v>
      </c>
      <c r="J126" s="14">
        <f t="shared" si="34"/>
        <v>2888</v>
      </c>
      <c r="K126" s="14">
        <f t="shared" si="34"/>
        <v>1597.31</v>
      </c>
      <c r="L126" s="14">
        <f t="shared" si="34"/>
        <v>7211.8099999999995</v>
      </c>
      <c r="M126" s="14">
        <f t="shared" si="34"/>
        <v>87788.19</v>
      </c>
      <c r="N126" s="14">
        <f t="shared" si="34"/>
        <v>2762.7282500000001</v>
      </c>
      <c r="O126" s="14">
        <f t="shared" si="34"/>
        <v>0</v>
      </c>
      <c r="P126" s="14">
        <f t="shared" si="34"/>
        <v>50</v>
      </c>
      <c r="Q126" s="14">
        <f t="shared" si="34"/>
        <v>10024.53825</v>
      </c>
      <c r="R126" s="14">
        <f t="shared" si="34"/>
        <v>84975.461749999988</v>
      </c>
    </row>
    <row r="127" spans="1:19" s="68" customFormat="1" ht="29.25" customHeight="1" thickBot="1" x14ac:dyDescent="0.25">
      <c r="A127" s="195"/>
      <c r="B127" s="195"/>
      <c r="C127" s="195"/>
      <c r="D127" s="195"/>
      <c r="E127" s="195"/>
      <c r="F127" s="195"/>
      <c r="G127" s="195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2"/>
    </row>
    <row r="128" spans="1:19" s="74" customFormat="1" ht="24.95" customHeight="1" thickBot="1" x14ac:dyDescent="0.25">
      <c r="A128" s="221" t="s">
        <v>380</v>
      </c>
      <c r="B128" s="222"/>
      <c r="C128" s="222"/>
      <c r="D128" s="222"/>
      <c r="E128" s="222"/>
      <c r="F128" s="222"/>
      <c r="G128" s="222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6"/>
    </row>
    <row r="129" spans="1:19" s="6" customFormat="1" ht="24.75" customHeight="1" x14ac:dyDescent="0.2">
      <c r="A129" s="96">
        <f>+A125+1</f>
        <v>47</v>
      </c>
      <c r="B129" s="24" t="s">
        <v>362</v>
      </c>
      <c r="C129" s="12" t="s">
        <v>421</v>
      </c>
      <c r="D129" s="24" t="s">
        <v>113</v>
      </c>
      <c r="E129" s="115" t="s">
        <v>213</v>
      </c>
      <c r="F129" s="98" t="s">
        <v>615</v>
      </c>
      <c r="G129" s="98" t="s">
        <v>704</v>
      </c>
      <c r="H129" s="8">
        <v>70000</v>
      </c>
      <c r="I129" s="100">
        <f>H129*2.87%</f>
        <v>2009</v>
      </c>
      <c r="J129" s="100">
        <f>+H129*3.04%</f>
        <v>2128</v>
      </c>
      <c r="K129" s="100"/>
      <c r="L129" s="8">
        <f>+J129+I129+K129</f>
        <v>4137</v>
      </c>
      <c r="M129" s="8">
        <f>+H129-L129</f>
        <v>65863</v>
      </c>
      <c r="N129" s="8">
        <f>+IF(M129*12&lt;=416220.01,0,IF(M129*12&lt;=624329.01,(((M129*12-416220.01)*0.15)/12),IF((M129*12&lt;=867123.01),(31216+0.2*(M129*12-624329.01))/12,((79776+0.25*(M129*12-867123.01))/12))))-O129</f>
        <v>5368.4498333333331</v>
      </c>
      <c r="O129" s="8"/>
      <c r="P129" s="99">
        <v>1065</v>
      </c>
      <c r="Q129" s="8">
        <f>+P129+N129+L129</f>
        <v>10570.449833333332</v>
      </c>
      <c r="R129" s="99">
        <f>+H129-Q129</f>
        <v>59429.550166666668</v>
      </c>
    </row>
    <row r="130" spans="1:19" s="6" customFormat="1" ht="24.95" customHeight="1" x14ac:dyDescent="0.2">
      <c r="A130" s="300" t="s">
        <v>125</v>
      </c>
      <c r="B130" s="301"/>
      <c r="C130" s="223"/>
      <c r="D130" s="223"/>
      <c r="E130" s="223"/>
      <c r="F130" s="223"/>
      <c r="G130" s="223"/>
      <c r="H130" s="14">
        <f>SUM(H129:H129)</f>
        <v>70000</v>
      </c>
      <c r="I130" s="14">
        <f t="shared" ref="I130:R130" si="35">SUM(I129:I129)</f>
        <v>2009</v>
      </c>
      <c r="J130" s="14">
        <f t="shared" si="35"/>
        <v>2128</v>
      </c>
      <c r="K130" s="14">
        <f t="shared" si="35"/>
        <v>0</v>
      </c>
      <c r="L130" s="14">
        <f t="shared" si="35"/>
        <v>4137</v>
      </c>
      <c r="M130" s="14">
        <f t="shared" si="35"/>
        <v>65863</v>
      </c>
      <c r="N130" s="14">
        <f t="shared" si="35"/>
        <v>5368.4498333333331</v>
      </c>
      <c r="O130" s="14">
        <f t="shared" si="35"/>
        <v>0</v>
      </c>
      <c r="P130" s="14">
        <f t="shared" si="35"/>
        <v>1065</v>
      </c>
      <c r="Q130" s="14">
        <f t="shared" si="35"/>
        <v>10570.449833333332</v>
      </c>
      <c r="R130" s="14">
        <f t="shared" si="35"/>
        <v>59429.550166666668</v>
      </c>
    </row>
    <row r="131" spans="1:19" s="6" customFormat="1" ht="24.95" customHeight="1" thickBot="1" x14ac:dyDescent="0.25">
      <c r="A131" s="62"/>
      <c r="B131" s="62"/>
      <c r="C131" s="62"/>
      <c r="D131" s="62"/>
      <c r="E131" s="62"/>
      <c r="F131" s="62"/>
      <c r="G131" s="62"/>
    </row>
    <row r="132" spans="1:19" s="6" customFormat="1" ht="24.95" customHeight="1" x14ac:dyDescent="0.2">
      <c r="A132" s="231" t="s">
        <v>500</v>
      </c>
      <c r="B132" s="232"/>
      <c r="C132" s="232"/>
      <c r="D132" s="232"/>
      <c r="E132" s="232"/>
      <c r="F132" s="232"/>
      <c r="G132" s="232"/>
      <c r="H132" s="232"/>
      <c r="I132" s="232"/>
      <c r="J132" s="232"/>
      <c r="K132" s="232"/>
      <c r="L132" s="232"/>
      <c r="M132" s="232"/>
      <c r="N132" s="232"/>
      <c r="O132" s="232"/>
      <c r="P132" s="232"/>
      <c r="Q132" s="232"/>
      <c r="R132" s="232"/>
    </row>
    <row r="133" spans="1:19" s="6" customFormat="1" ht="24.95" customHeight="1" x14ac:dyDescent="0.2">
      <c r="A133" s="66">
        <f>+A129+1</f>
        <v>48</v>
      </c>
      <c r="B133" s="184" t="s">
        <v>513</v>
      </c>
      <c r="C133" s="66" t="s">
        <v>421</v>
      </c>
      <c r="D133" s="184" t="s">
        <v>93</v>
      </c>
      <c r="E133" s="103" t="s">
        <v>213</v>
      </c>
      <c r="F133" s="24" t="s">
        <v>551</v>
      </c>
      <c r="G133" s="24" t="s">
        <v>614</v>
      </c>
      <c r="H133" s="61">
        <v>90000</v>
      </c>
      <c r="I133" s="61">
        <f>H133*2.87%</f>
        <v>2583</v>
      </c>
      <c r="J133" s="61">
        <f>+H133*3.04%</f>
        <v>2736</v>
      </c>
      <c r="K133" s="61"/>
      <c r="L133" s="5">
        <f>+J133+I133+K133</f>
        <v>5319</v>
      </c>
      <c r="M133" s="5">
        <f>+H133-L133</f>
        <v>84681</v>
      </c>
      <c r="N133" s="5">
        <f>+IF(M133*12&lt;=416220.01,0,IF(M133*12&lt;=624329.01,(((M133*12-416220.01)*0.15)/12),IF((M133*12&lt;=867123.01),(31216+0.2*(M133*12-624329.01))/12,((79776+0.25*(M133*12-867123.01))/12))))-O133</f>
        <v>9753.1872916666671</v>
      </c>
      <c r="O133" s="5"/>
      <c r="P133" s="67">
        <v>2783.31</v>
      </c>
      <c r="Q133" s="5">
        <f>+P133+N133+L133</f>
        <v>17855.497291666667</v>
      </c>
      <c r="R133" s="67">
        <f>+H133-Q133</f>
        <v>72144.502708333341</v>
      </c>
    </row>
    <row r="134" spans="1:19" s="6" customFormat="1" ht="24.95" customHeight="1" x14ac:dyDescent="0.2">
      <c r="A134" s="300" t="s">
        <v>125</v>
      </c>
      <c r="B134" s="301"/>
      <c r="C134" s="223"/>
      <c r="D134" s="223"/>
      <c r="E134" s="223"/>
      <c r="F134" s="223"/>
      <c r="G134" s="223"/>
      <c r="H134" s="14">
        <f>SUM(H133:H133)</f>
        <v>90000</v>
      </c>
      <c r="I134" s="14">
        <f t="shared" ref="I134:R134" si="36">SUM(I133:I133)</f>
        <v>2583</v>
      </c>
      <c r="J134" s="14">
        <f t="shared" si="36"/>
        <v>2736</v>
      </c>
      <c r="K134" s="14">
        <f t="shared" si="36"/>
        <v>0</v>
      </c>
      <c r="L134" s="14">
        <f t="shared" si="36"/>
        <v>5319</v>
      </c>
      <c r="M134" s="14">
        <f t="shared" si="36"/>
        <v>84681</v>
      </c>
      <c r="N134" s="14">
        <f t="shared" si="36"/>
        <v>9753.1872916666671</v>
      </c>
      <c r="O134" s="14">
        <f t="shared" si="36"/>
        <v>0</v>
      </c>
      <c r="P134" s="14">
        <f t="shared" si="36"/>
        <v>2783.31</v>
      </c>
      <c r="Q134" s="14">
        <f t="shared" si="36"/>
        <v>17855.497291666667</v>
      </c>
      <c r="R134" s="14">
        <f t="shared" si="36"/>
        <v>72144.502708333341</v>
      </c>
    </row>
    <row r="135" spans="1:19" s="6" customFormat="1" ht="24.95" customHeight="1" thickBot="1" x14ac:dyDescent="0.25">
      <c r="A135" s="62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</row>
    <row r="136" spans="1:19" s="6" customFormat="1" ht="24.95" customHeight="1" x14ac:dyDescent="0.2">
      <c r="A136" s="231" t="s">
        <v>380</v>
      </c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</row>
    <row r="137" spans="1:19" s="6" customFormat="1" ht="24.95" customHeight="1" x14ac:dyDescent="0.2">
      <c r="A137" s="66">
        <f>+A133+1</f>
        <v>49</v>
      </c>
      <c r="B137" s="120" t="s">
        <v>470</v>
      </c>
      <c r="C137" s="119" t="s">
        <v>421</v>
      </c>
      <c r="D137" s="120" t="s">
        <v>471</v>
      </c>
      <c r="E137" s="118" t="s">
        <v>213</v>
      </c>
      <c r="F137" s="183" t="s">
        <v>605</v>
      </c>
      <c r="G137" s="183" t="s">
        <v>700</v>
      </c>
      <c r="H137" s="5">
        <v>70000</v>
      </c>
      <c r="I137" s="61">
        <f>H137*2.87%</f>
        <v>2009</v>
      </c>
      <c r="J137" s="61">
        <f>+H137*3.04%</f>
        <v>2128</v>
      </c>
      <c r="K137" s="61">
        <v>1597.31</v>
      </c>
      <c r="L137" s="8">
        <f>+J137+I137+K137</f>
        <v>5734.3099999999995</v>
      </c>
      <c r="M137" s="8">
        <f>+H137-L137</f>
        <v>64265.69</v>
      </c>
      <c r="N137" s="5">
        <f>+IF(M137*12&lt;=416220.01,0,IF(M137*12&lt;=624329.01,(((M137*12-416220.01)*0.15)/12),IF((M137*12&lt;=867123.01),(31216+0.2*(M137*12-624329.01))/12,((79776+0.25*(M137*12-867123.01))/12))))-O137</f>
        <v>5048.9878333333336</v>
      </c>
      <c r="O137" s="8"/>
      <c r="P137" s="67">
        <v>1025</v>
      </c>
      <c r="Q137" s="8">
        <f>+P137+N137+L137</f>
        <v>11808.297833333334</v>
      </c>
      <c r="R137" s="67">
        <f>+H137-Q137</f>
        <v>58191.70216666667</v>
      </c>
    </row>
    <row r="138" spans="1:19" s="6" customFormat="1" ht="24.95" customHeight="1" x14ac:dyDescent="0.2">
      <c r="A138" s="66">
        <f>+A137+1</f>
        <v>50</v>
      </c>
      <c r="B138" s="120" t="s">
        <v>670</v>
      </c>
      <c r="C138" s="119" t="s">
        <v>421</v>
      </c>
      <c r="D138" s="120" t="s">
        <v>471</v>
      </c>
      <c r="E138" s="118" t="s">
        <v>213</v>
      </c>
      <c r="F138" s="117" t="s">
        <v>605</v>
      </c>
      <c r="G138" s="117" t="s">
        <v>661</v>
      </c>
      <c r="H138" s="5">
        <v>70000</v>
      </c>
      <c r="I138" s="61">
        <f>H138*2.87%</f>
        <v>2009</v>
      </c>
      <c r="J138" s="61">
        <f>+H138*3.04%</f>
        <v>2128</v>
      </c>
      <c r="K138" s="61"/>
      <c r="L138" s="8">
        <f>+J138+I138+K138</f>
        <v>4137</v>
      </c>
      <c r="M138" s="8">
        <f>+H138-L138</f>
        <v>65863</v>
      </c>
      <c r="N138" s="5">
        <f>+IF(M138*12&lt;=416220.01,0,IF(M138*12&lt;=624329.01,(((M138*12-416220.01)*0.15)/12),IF((M138*12&lt;=867123.01),(31216+0.2*(M138*12-624329.01))/12,((79776+0.25*(M138*12-867123.01))/12))))-O138</f>
        <v>5368.4498333333331</v>
      </c>
      <c r="O138" s="8"/>
      <c r="P138" s="67">
        <v>25</v>
      </c>
      <c r="Q138" s="8">
        <f>+P138+N138+L138</f>
        <v>9530.4498333333322</v>
      </c>
      <c r="R138" s="67">
        <f>+H138-Q138</f>
        <v>60469.550166666668</v>
      </c>
    </row>
    <row r="139" spans="1:19" s="6" customFormat="1" ht="24.95" customHeight="1" x14ac:dyDescent="0.2">
      <c r="A139" s="300" t="s">
        <v>125</v>
      </c>
      <c r="B139" s="301"/>
      <c r="C139" s="223"/>
      <c r="D139" s="223"/>
      <c r="E139" s="223"/>
      <c r="F139" s="223"/>
      <c r="G139" s="223"/>
      <c r="H139" s="14">
        <f t="shared" ref="H139:R139" si="37">SUM(H137:H138)</f>
        <v>140000</v>
      </c>
      <c r="I139" s="14">
        <f t="shared" si="37"/>
        <v>4018</v>
      </c>
      <c r="J139" s="14">
        <f t="shared" si="37"/>
        <v>4256</v>
      </c>
      <c r="K139" s="14">
        <f t="shared" si="37"/>
        <v>1597.31</v>
      </c>
      <c r="L139" s="14">
        <f t="shared" si="37"/>
        <v>9871.31</v>
      </c>
      <c r="M139" s="14">
        <f t="shared" si="37"/>
        <v>130128.69</v>
      </c>
      <c r="N139" s="14">
        <f t="shared" si="37"/>
        <v>10417.437666666667</v>
      </c>
      <c r="O139" s="14">
        <f t="shared" si="37"/>
        <v>0</v>
      </c>
      <c r="P139" s="14">
        <f t="shared" si="37"/>
        <v>1050</v>
      </c>
      <c r="Q139" s="14">
        <f t="shared" si="37"/>
        <v>21338.747666666666</v>
      </c>
      <c r="R139" s="14">
        <f t="shared" si="37"/>
        <v>118661.25233333334</v>
      </c>
    </row>
    <row r="140" spans="1:19" s="2" customFormat="1" ht="24.95" customHeight="1" thickBot="1" x14ac:dyDescent="0.25">
      <c r="A140" s="62"/>
      <c r="B140" s="62"/>
      <c r="C140" s="62"/>
      <c r="D140" s="62"/>
      <c r="E140" s="62"/>
      <c r="F140" s="62"/>
      <c r="G140" s="62"/>
      <c r="H140"/>
      <c r="I140"/>
      <c r="J140"/>
      <c r="K140"/>
      <c r="L140"/>
      <c r="M140"/>
      <c r="N140"/>
      <c r="O140"/>
      <c r="P140"/>
      <c r="Q140"/>
      <c r="R140"/>
    </row>
    <row r="141" spans="1:19" s="68" customFormat="1" ht="24.95" customHeight="1" thickBot="1" x14ac:dyDescent="0.25">
      <c r="A141" s="221" t="s">
        <v>297</v>
      </c>
      <c r="B141" s="222"/>
      <c r="C141" s="222"/>
      <c r="D141" s="22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"/>
    </row>
    <row r="142" spans="1:19" s="68" customFormat="1" ht="26.25" customHeight="1" x14ac:dyDescent="0.2">
      <c r="A142" s="96">
        <f>+A138+1</f>
        <v>51</v>
      </c>
      <c r="B142" s="24" t="s">
        <v>130</v>
      </c>
      <c r="C142" s="12" t="s">
        <v>420</v>
      </c>
      <c r="D142" s="115" t="s">
        <v>129</v>
      </c>
      <c r="E142" s="115" t="s">
        <v>213</v>
      </c>
      <c r="F142" s="24" t="s">
        <v>603</v>
      </c>
      <c r="G142" s="24" t="s">
        <v>716</v>
      </c>
      <c r="H142" s="9">
        <v>190000</v>
      </c>
      <c r="I142" s="100">
        <f>H142*2.87%</f>
        <v>5453</v>
      </c>
      <c r="J142" s="5">
        <f>187020*3.04%</f>
        <v>5685.4080000000004</v>
      </c>
      <c r="K142" s="5"/>
      <c r="L142" s="8">
        <f>+J142+I142+K142</f>
        <v>11138.407999999999</v>
      </c>
      <c r="M142" s="8">
        <f>+H142-L142</f>
        <v>178861.592</v>
      </c>
      <c r="N142" s="8">
        <f>+IF(M142*12&lt;=416220.01,0,IF(M142*12&lt;=624329.01,(((M142*12-416220.01)*0.15)/12),IF((M142*12&lt;=867123.01),(31216+0.2*(M142*12-624329.01))/12,((79776+0.25*(M142*12-867123.01))/12))))-O142</f>
        <v>33298.33529166667</v>
      </c>
      <c r="O142" s="8"/>
      <c r="P142" s="99">
        <v>25</v>
      </c>
      <c r="Q142" s="8">
        <f>+P142+N142+L142</f>
        <v>44461.743291666673</v>
      </c>
      <c r="R142" s="99">
        <f>+H142-Q142</f>
        <v>145538.25670833333</v>
      </c>
      <c r="S142" s="2"/>
    </row>
    <row r="143" spans="1:19" s="68" customFormat="1" ht="24.95" customHeight="1" x14ac:dyDescent="0.2">
      <c r="A143" s="96">
        <f>+A142+1</f>
        <v>52</v>
      </c>
      <c r="B143" s="183" t="s">
        <v>624</v>
      </c>
      <c r="C143" s="66" t="s">
        <v>421</v>
      </c>
      <c r="D143" s="183" t="s">
        <v>519</v>
      </c>
      <c r="E143" s="115" t="s">
        <v>213</v>
      </c>
      <c r="F143" s="24" t="s">
        <v>551</v>
      </c>
      <c r="G143" s="24" t="s">
        <v>623</v>
      </c>
      <c r="H143" s="104">
        <v>45000</v>
      </c>
      <c r="I143" s="5">
        <f t="shared" ref="I143:I144" si="38">H143*2.87%</f>
        <v>1291.5</v>
      </c>
      <c r="J143" s="5">
        <f t="shared" ref="J143:J144" si="39">+H143*3.04%</f>
        <v>1368</v>
      </c>
      <c r="K143" s="5"/>
      <c r="L143" s="8">
        <f>+J143+I143+K143</f>
        <v>2659.5</v>
      </c>
      <c r="M143" s="8">
        <f>+H143-L143</f>
        <v>42340.5</v>
      </c>
      <c r="N143" s="8">
        <f t="shared" ref="N143:N144" si="40">+IF(M143*12&lt;=416220.01,0,IF(M143*12&lt;=624329.01,(((M143*12-416220.01)*0.15)/12),IF((M143*12&lt;=867123.01),(31216+0.2*(M143*12-624329.01))/12,((79776+0.25*(M143*12-867123.01))/12))))-O143</f>
        <v>1148.3248749999998</v>
      </c>
      <c r="O143" s="8"/>
      <c r="P143" s="99">
        <v>3525</v>
      </c>
      <c r="Q143" s="8">
        <f t="shared" ref="Q143:Q144" si="41">+P143+N143+L143</f>
        <v>7332.8248750000002</v>
      </c>
      <c r="R143" s="99">
        <f>H143-Q143</f>
        <v>37667.175125000002</v>
      </c>
      <c r="S143" s="2"/>
    </row>
    <row r="144" spans="1:19" s="68" customFormat="1" ht="24.95" customHeight="1" x14ac:dyDescent="0.2">
      <c r="A144" s="96">
        <f t="shared" ref="A144" si="42">+A143+1</f>
        <v>53</v>
      </c>
      <c r="B144" s="183" t="s">
        <v>625</v>
      </c>
      <c r="C144" s="66" t="s">
        <v>421</v>
      </c>
      <c r="D144" s="183" t="s">
        <v>519</v>
      </c>
      <c r="E144" s="115" t="s">
        <v>213</v>
      </c>
      <c r="F144" s="24" t="s">
        <v>551</v>
      </c>
      <c r="G144" s="24" t="s">
        <v>623</v>
      </c>
      <c r="H144" s="104">
        <v>45000</v>
      </c>
      <c r="I144" s="5">
        <f t="shared" si="38"/>
        <v>1291.5</v>
      </c>
      <c r="J144" s="5">
        <f t="shared" si="39"/>
        <v>1368</v>
      </c>
      <c r="K144" s="5">
        <v>3194.62</v>
      </c>
      <c r="L144" s="8">
        <f>+J144+I144+K144</f>
        <v>5854.12</v>
      </c>
      <c r="M144" s="8">
        <f>+H144-L144</f>
        <v>39145.879999999997</v>
      </c>
      <c r="N144" s="8">
        <f t="shared" si="40"/>
        <v>669.13187499999913</v>
      </c>
      <c r="O144" s="8"/>
      <c r="P144" s="99">
        <v>25</v>
      </c>
      <c r="Q144" s="8">
        <f t="shared" si="41"/>
        <v>6548.251874999999</v>
      </c>
      <c r="R144" s="99">
        <f>H144-Q144</f>
        <v>38451.748124999998</v>
      </c>
      <c r="S144" s="2"/>
    </row>
    <row r="145" spans="1:19" s="2" customFormat="1" ht="27" customHeight="1" x14ac:dyDescent="0.2">
      <c r="A145" s="300" t="s">
        <v>125</v>
      </c>
      <c r="B145" s="301"/>
      <c r="C145" s="223"/>
      <c r="D145" s="223"/>
      <c r="E145" s="223"/>
      <c r="F145" s="223"/>
      <c r="G145" s="223"/>
      <c r="H145" s="14">
        <f>SUM(H142:H144)</f>
        <v>280000</v>
      </c>
      <c r="I145" s="14">
        <f t="shared" ref="I145:R145" si="43">SUM(I142:I144)</f>
        <v>8036</v>
      </c>
      <c r="J145" s="14">
        <f t="shared" si="43"/>
        <v>8421.4079999999994</v>
      </c>
      <c r="K145" s="14">
        <f t="shared" si="43"/>
        <v>3194.62</v>
      </c>
      <c r="L145" s="14">
        <f t="shared" si="43"/>
        <v>19652.027999999998</v>
      </c>
      <c r="M145" s="14">
        <f t="shared" si="43"/>
        <v>260347.97200000001</v>
      </c>
      <c r="N145" s="14">
        <f t="shared" si="43"/>
        <v>35115.792041666668</v>
      </c>
      <c r="O145" s="14">
        <f t="shared" si="43"/>
        <v>0</v>
      </c>
      <c r="P145" s="14">
        <f t="shared" si="43"/>
        <v>3575</v>
      </c>
      <c r="Q145" s="14">
        <f t="shared" si="43"/>
        <v>58342.820041666673</v>
      </c>
      <c r="R145" s="14">
        <f t="shared" si="43"/>
        <v>221657.17995833332</v>
      </c>
    </row>
    <row r="146" spans="1:19" s="2" customFormat="1" ht="27" customHeight="1" thickBot="1" x14ac:dyDescent="0.25">
      <c r="A146" s="62"/>
      <c r="B146" s="62"/>
      <c r="C146" s="62"/>
      <c r="D146" s="62"/>
      <c r="E146" s="62"/>
      <c r="F146" s="62"/>
      <c r="G146" s="62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</row>
    <row r="147" spans="1:19" s="2" customFormat="1" ht="27" customHeight="1" thickBot="1" x14ac:dyDescent="0.25">
      <c r="A147" s="221" t="s">
        <v>504</v>
      </c>
      <c r="B147" s="222"/>
      <c r="C147" s="222"/>
      <c r="D147" s="22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</row>
    <row r="148" spans="1:19" s="2" customFormat="1" ht="27" customHeight="1" x14ac:dyDescent="0.2">
      <c r="A148" s="96">
        <f>+A144+1</f>
        <v>54</v>
      </c>
      <c r="B148" s="24" t="s">
        <v>502</v>
      </c>
      <c r="C148" s="12" t="s">
        <v>420</v>
      </c>
      <c r="D148" s="115" t="s">
        <v>503</v>
      </c>
      <c r="E148" s="115" t="s">
        <v>213</v>
      </c>
      <c r="F148" s="183" t="s">
        <v>617</v>
      </c>
      <c r="G148" s="183" t="s">
        <v>705</v>
      </c>
      <c r="H148" s="8">
        <v>190000</v>
      </c>
      <c r="I148" s="100">
        <f>H148*2.87%</f>
        <v>5453</v>
      </c>
      <c r="J148" s="5">
        <f>187020*3.04%</f>
        <v>5685.4080000000004</v>
      </c>
      <c r="K148" s="5"/>
      <c r="L148" s="8">
        <f>+J148+I148+K148</f>
        <v>11138.407999999999</v>
      </c>
      <c r="M148" s="8">
        <f>+H148-L148</f>
        <v>178861.592</v>
      </c>
      <c r="N148" s="8">
        <f>+IF(M148*12&lt;=416220.01,0,IF(M148*12&lt;=624329.01,(((M148*12-416220.01)*0.15)/12),IF((M148*12&lt;=867123.01),(31216+0.2*(M148*12-624329.01))/12,((79776+0.25*(M148*12-867123.01))/12))))-O148</f>
        <v>33298.33529166667</v>
      </c>
      <c r="O148" s="8"/>
      <c r="P148" s="99">
        <v>1025</v>
      </c>
      <c r="Q148" s="8">
        <f>+P148+N148+L148</f>
        <v>45461.743291666673</v>
      </c>
      <c r="R148" s="99">
        <f>+H148-Q148</f>
        <v>144538.25670833333</v>
      </c>
    </row>
    <row r="149" spans="1:19" s="2" customFormat="1" ht="27" customHeight="1" x14ac:dyDescent="0.2">
      <c r="A149" s="119">
        <f>+A148+1</f>
        <v>55</v>
      </c>
      <c r="B149" s="120" t="s">
        <v>525</v>
      </c>
      <c r="C149" s="119" t="s">
        <v>421</v>
      </c>
      <c r="D149" s="118" t="s">
        <v>131</v>
      </c>
      <c r="E149" s="115" t="s">
        <v>213</v>
      </c>
      <c r="F149" s="183" t="s">
        <v>605</v>
      </c>
      <c r="G149" s="183" t="s">
        <v>700</v>
      </c>
      <c r="H149" s="5">
        <v>50000</v>
      </c>
      <c r="I149" s="5">
        <f>H149*2.87%</f>
        <v>1435</v>
      </c>
      <c r="J149" s="5">
        <f>+H149*3.04%</f>
        <v>1520</v>
      </c>
      <c r="K149" s="5"/>
      <c r="L149" s="8">
        <f>+J149+I149+K149</f>
        <v>2955</v>
      </c>
      <c r="M149" s="8">
        <f>+H149-L149</f>
        <v>47045</v>
      </c>
      <c r="N149" s="8">
        <f>+IF(M149*12&lt;=416220.01,0,IF(M149*12&lt;=624329.01,(((M149*12-416220.01)*0.15)/12),IF((M149*12&lt;=867123.01),(31216+0.2*(M149*12-624329.01))/12,((79776+0.25*(M149*12-867123.01))/12))))-O149</f>
        <v>-1.2500000025283953E-4</v>
      </c>
      <c r="O149" s="8">
        <v>1854</v>
      </c>
      <c r="P149" s="67">
        <v>1165</v>
      </c>
      <c r="Q149" s="8">
        <f>+P149+N149+L149</f>
        <v>4119.9998749999995</v>
      </c>
      <c r="R149" s="99">
        <f>+H149-Q149</f>
        <v>45880.000124999999</v>
      </c>
    </row>
    <row r="150" spans="1:19" s="2" customFormat="1" ht="27" customHeight="1" thickBot="1" x14ac:dyDescent="0.25">
      <c r="A150" s="300" t="s">
        <v>125</v>
      </c>
      <c r="B150" s="301"/>
      <c r="C150" s="224"/>
      <c r="D150" s="224"/>
      <c r="E150" s="224"/>
      <c r="F150" s="224"/>
      <c r="G150" s="228"/>
      <c r="H150" s="72">
        <f>SUM(H148:H149)</f>
        <v>240000</v>
      </c>
      <c r="I150" s="72">
        <f t="shared" ref="I150:R150" si="44">SUM(I148:I149)</f>
        <v>6888</v>
      </c>
      <c r="J150" s="72">
        <f t="shared" si="44"/>
        <v>7205.4080000000004</v>
      </c>
      <c r="K150" s="72">
        <f t="shared" si="44"/>
        <v>0</v>
      </c>
      <c r="L150" s="72">
        <f t="shared" si="44"/>
        <v>14093.407999999999</v>
      </c>
      <c r="M150" s="72">
        <f t="shared" si="44"/>
        <v>225906.592</v>
      </c>
      <c r="N150" s="72">
        <f t="shared" si="44"/>
        <v>33298.335166666671</v>
      </c>
      <c r="O150" s="72">
        <f t="shared" si="44"/>
        <v>1854</v>
      </c>
      <c r="P150" s="72">
        <f t="shared" si="44"/>
        <v>2190</v>
      </c>
      <c r="Q150" s="72">
        <f t="shared" si="44"/>
        <v>49581.743166666674</v>
      </c>
      <c r="R150" s="72">
        <f t="shared" si="44"/>
        <v>190418.25683333332</v>
      </c>
    </row>
    <row r="151" spans="1:19" s="2" customFormat="1" ht="24.95" customHeight="1" thickBot="1" x14ac:dyDescent="0.25">
      <c r="C151" s="146"/>
    </row>
    <row r="152" spans="1:19" s="68" customFormat="1" ht="27.75" customHeight="1" thickBot="1" x14ac:dyDescent="0.25">
      <c r="A152" s="221" t="s">
        <v>628</v>
      </c>
      <c r="B152" s="222"/>
      <c r="C152" s="222"/>
      <c r="D152" s="22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"/>
    </row>
    <row r="153" spans="1:19" s="26" customFormat="1" ht="25.5" customHeight="1" x14ac:dyDescent="0.2">
      <c r="A153" s="66">
        <f>+A149+1</f>
        <v>56</v>
      </c>
      <c r="B153" s="117" t="s">
        <v>626</v>
      </c>
      <c r="C153" s="119" t="s">
        <v>421</v>
      </c>
      <c r="D153" s="116" t="s">
        <v>627</v>
      </c>
      <c r="E153" s="115" t="s">
        <v>213</v>
      </c>
      <c r="F153" s="24" t="s">
        <v>551</v>
      </c>
      <c r="G153" s="24" t="s">
        <v>614</v>
      </c>
      <c r="H153" s="163">
        <v>70000</v>
      </c>
      <c r="I153" s="100">
        <f>H153*2.87%</f>
        <v>2009</v>
      </c>
      <c r="J153" s="100">
        <f>+H153*3.04%</f>
        <v>2128</v>
      </c>
      <c r="K153" s="100">
        <v>1597.31</v>
      </c>
      <c r="L153" s="8">
        <f>+J153+I153+K153</f>
        <v>5734.3099999999995</v>
      </c>
      <c r="M153" s="8">
        <f>+H153-L153</f>
        <v>64265.69</v>
      </c>
      <c r="N153" s="8">
        <f>+IF(M153*12&lt;=416220.01,0,IF(M153*12&lt;=624329.01,(((M153*12-416220.01)*0.15)/12),IF((M153*12&lt;=867123.01),(31216+0.2*(M153*12-624329.01))/12,((79776+0.25*(M153*12-867123.01))/12))))-O153</f>
        <v>5048.9878333333336</v>
      </c>
      <c r="O153" s="8">
        <v>0</v>
      </c>
      <c r="P153" s="99">
        <v>25</v>
      </c>
      <c r="Q153" s="8">
        <f>+P153+N153+L153</f>
        <v>10808.297833333334</v>
      </c>
      <c r="R153" s="99">
        <f>+H153-Q153</f>
        <v>59191.70216666667</v>
      </c>
    </row>
    <row r="154" spans="1:19" s="26" customFormat="1" ht="25.5" customHeight="1" x14ac:dyDescent="0.2">
      <c r="A154" s="66">
        <f>+A153+1</f>
        <v>57</v>
      </c>
      <c r="B154" s="117" t="s">
        <v>637</v>
      </c>
      <c r="C154" s="119" t="s">
        <v>421</v>
      </c>
      <c r="D154" s="116" t="s">
        <v>638</v>
      </c>
      <c r="E154" s="115" t="s">
        <v>213</v>
      </c>
      <c r="F154" s="24" t="s">
        <v>556</v>
      </c>
      <c r="G154" s="24" t="s">
        <v>611</v>
      </c>
      <c r="H154" s="163">
        <v>80000</v>
      </c>
      <c r="I154" s="100">
        <f>H154*2.87%</f>
        <v>2296</v>
      </c>
      <c r="J154" s="100">
        <f>+H154*3.04%</f>
        <v>2432</v>
      </c>
      <c r="K154" s="100"/>
      <c r="L154" s="8">
        <f>+J154+I154+K154</f>
        <v>4728</v>
      </c>
      <c r="M154" s="8">
        <f>+H154-L154</f>
        <v>75272</v>
      </c>
      <c r="N154" s="8">
        <f>+IF(M154*12&lt;=416220.01,0,IF(M154*12&lt;=624329.01,(((M154*12-416220.01)*0.15)/12),IF((M154*12&lt;=867123.01),(31216+0.2*(M154*12-624329.01))/12,((79776+0.25*(M154*12-867123.01))/12))))-O154</f>
        <v>7400.9372916666662</v>
      </c>
      <c r="O154" s="8"/>
      <c r="P154" s="99">
        <v>65</v>
      </c>
      <c r="Q154" s="8">
        <f>+P154+N154+L154</f>
        <v>12193.937291666665</v>
      </c>
      <c r="R154" s="99">
        <f>+H154-Q154</f>
        <v>67806.062708333338</v>
      </c>
    </row>
    <row r="155" spans="1:19" s="26" customFormat="1" ht="22.15" customHeight="1" x14ac:dyDescent="0.2">
      <c r="A155" s="300" t="s">
        <v>125</v>
      </c>
      <c r="B155" s="301"/>
      <c r="C155" s="223"/>
      <c r="D155" s="223"/>
      <c r="E155" s="223"/>
      <c r="F155" s="223"/>
      <c r="G155" s="223"/>
      <c r="H155" s="14">
        <f>SUM(H153:H154)</f>
        <v>150000</v>
      </c>
      <c r="I155" s="14">
        <f t="shared" ref="I155:R155" si="45">SUM(I153:I154)</f>
        <v>4305</v>
      </c>
      <c r="J155" s="14">
        <f t="shared" si="45"/>
        <v>4560</v>
      </c>
      <c r="K155" s="14">
        <f t="shared" si="45"/>
        <v>1597.31</v>
      </c>
      <c r="L155" s="14">
        <f t="shared" si="45"/>
        <v>10462.31</v>
      </c>
      <c r="M155" s="14">
        <f t="shared" si="45"/>
        <v>139537.69</v>
      </c>
      <c r="N155" s="14">
        <f t="shared" si="45"/>
        <v>12449.925125</v>
      </c>
      <c r="O155" s="14">
        <f t="shared" si="45"/>
        <v>0</v>
      </c>
      <c r="P155" s="14">
        <f t="shared" si="45"/>
        <v>90</v>
      </c>
      <c r="Q155" s="14">
        <f t="shared" si="45"/>
        <v>23002.235124999999</v>
      </c>
      <c r="R155" s="14">
        <f t="shared" si="45"/>
        <v>126997.76487500001</v>
      </c>
    </row>
    <row r="156" spans="1:19" s="26" customFormat="1" ht="22.15" customHeight="1" thickBot="1" x14ac:dyDescent="0.25">
      <c r="A156" s="62"/>
      <c r="B156" s="62"/>
      <c r="C156" s="233"/>
      <c r="D156" s="233"/>
      <c r="E156" s="233"/>
      <c r="F156" s="233"/>
      <c r="G156" s="233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</row>
    <row r="157" spans="1:19" s="68" customFormat="1" ht="27.75" customHeight="1" thickBot="1" x14ac:dyDescent="0.25">
      <c r="A157" s="221" t="s">
        <v>382</v>
      </c>
      <c r="B157" s="222"/>
      <c r="C157" s="222"/>
      <c r="D157" s="22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"/>
    </row>
    <row r="158" spans="1:19" s="26" customFormat="1" ht="25.5" customHeight="1" x14ac:dyDescent="0.2">
      <c r="A158" s="242">
        <f>+A154+1</f>
        <v>58</v>
      </c>
      <c r="B158" s="183" t="s">
        <v>680</v>
      </c>
      <c r="C158" s="66" t="s">
        <v>421</v>
      </c>
      <c r="D158" s="271" t="s">
        <v>681</v>
      </c>
      <c r="E158" s="115" t="s">
        <v>213</v>
      </c>
      <c r="F158" s="24" t="s">
        <v>608</v>
      </c>
      <c r="G158" s="24" t="s">
        <v>682</v>
      </c>
      <c r="H158" s="163">
        <v>45000</v>
      </c>
      <c r="I158" s="100">
        <f>H158*2.87%</f>
        <v>1291.5</v>
      </c>
      <c r="J158" s="100">
        <f>+H158*3.04%</f>
        <v>1368</v>
      </c>
      <c r="K158" s="5">
        <v>0</v>
      </c>
      <c r="L158" s="8">
        <f>+J158+I158+K158</f>
        <v>2659.5</v>
      </c>
      <c r="M158" s="8">
        <f>+H158-L158</f>
        <v>42340.5</v>
      </c>
      <c r="N158" s="8">
        <v>1148.32</v>
      </c>
      <c r="O158" s="8">
        <f t="shared" ref="O158" si="46">+IF(N158*12&lt;=416220.01,0,IF(N158*12&lt;=624329.01,(((N158*12-416220.01)*0.15)/12),IF((N158*12&lt;=867123.01),(31216+0.2*(N158*12-624329.01))/12,((79776+0.25*(N158*12-867123.01))/12))))-P158</f>
        <v>-26225</v>
      </c>
      <c r="P158" s="99">
        <v>26225</v>
      </c>
      <c r="Q158" s="8">
        <f>+L158+N158+P158</f>
        <v>30032.82</v>
      </c>
      <c r="R158" s="8">
        <f>+H158-Q158</f>
        <v>14967.18</v>
      </c>
    </row>
    <row r="159" spans="1:19" s="26" customFormat="1" ht="22.15" customHeight="1" x14ac:dyDescent="0.2">
      <c r="A159" s="300" t="s">
        <v>125</v>
      </c>
      <c r="B159" s="301"/>
      <c r="C159" s="223"/>
      <c r="D159" s="223"/>
      <c r="E159" s="223"/>
      <c r="F159" s="223"/>
      <c r="G159" s="223"/>
      <c r="H159" s="14">
        <f t="shared" ref="H159:R159" si="47">SUM(H158:H158)</f>
        <v>45000</v>
      </c>
      <c r="I159" s="14">
        <f t="shared" si="47"/>
        <v>1291.5</v>
      </c>
      <c r="J159" s="14">
        <f t="shared" si="47"/>
        <v>1368</v>
      </c>
      <c r="K159" s="14">
        <f t="shared" si="47"/>
        <v>0</v>
      </c>
      <c r="L159" s="14">
        <f t="shared" si="47"/>
        <v>2659.5</v>
      </c>
      <c r="M159" s="14">
        <f t="shared" si="47"/>
        <v>42340.5</v>
      </c>
      <c r="N159" s="14">
        <f t="shared" si="47"/>
        <v>1148.32</v>
      </c>
      <c r="O159" s="14">
        <f t="shared" si="47"/>
        <v>-26225</v>
      </c>
      <c r="P159" s="14">
        <f t="shared" si="47"/>
        <v>26225</v>
      </c>
      <c r="Q159" s="14">
        <f t="shared" si="47"/>
        <v>30032.82</v>
      </c>
      <c r="R159" s="14">
        <f t="shared" si="47"/>
        <v>14967.18</v>
      </c>
    </row>
    <row r="160" spans="1:19" s="2" customFormat="1" ht="24.95" customHeight="1" thickBot="1" x14ac:dyDescent="0.25">
      <c r="A160" s="62"/>
      <c r="B160" s="62"/>
      <c r="C160" s="62"/>
      <c r="D160" s="62"/>
      <c r="E160" s="62"/>
      <c r="F160" s="62"/>
      <c r="G160" s="62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</row>
    <row r="161" spans="1:19" s="73" customFormat="1" ht="23.25" customHeight="1" thickBot="1" x14ac:dyDescent="0.25">
      <c r="A161" s="221" t="s">
        <v>218</v>
      </c>
      <c r="B161" s="222"/>
      <c r="C161" s="22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6"/>
    </row>
    <row r="162" spans="1:19" s="26" customFormat="1" ht="25.5" customHeight="1" x14ac:dyDescent="0.2">
      <c r="A162" s="66">
        <f>+A158+1</f>
        <v>59</v>
      </c>
      <c r="B162" s="5" t="s">
        <v>384</v>
      </c>
      <c r="C162" s="144" t="s">
        <v>421</v>
      </c>
      <c r="D162" s="120" t="s">
        <v>217</v>
      </c>
      <c r="E162" s="115" t="s">
        <v>213</v>
      </c>
      <c r="F162" s="24" t="s">
        <v>552</v>
      </c>
      <c r="G162" s="24" t="s">
        <v>610</v>
      </c>
      <c r="H162" s="114">
        <v>70000</v>
      </c>
      <c r="I162" s="8">
        <f>H162*2.87%</f>
        <v>2009</v>
      </c>
      <c r="J162" s="100">
        <f>+H162*3.04%</f>
        <v>2128</v>
      </c>
      <c r="K162" s="100">
        <v>1597.31</v>
      </c>
      <c r="L162" s="8">
        <f>+J162+I162+K162</f>
        <v>5734.3099999999995</v>
      </c>
      <c r="M162" s="8">
        <f>+H162-L162</f>
        <v>64265.69</v>
      </c>
      <c r="N162" s="8">
        <f>+IF(M162*12&lt;=416220.01,0,IF(M162*12&lt;=624329.01,(((M162*12-416220.01)*0.15)/12),IF((M162*12&lt;=867123.01),(31216+0.2*(M162*12-624329.01))/12,((79776+0.25*(M162*12-867123.01))/12))))-O162</f>
        <v>5048.9878333333336</v>
      </c>
      <c r="O162" s="8"/>
      <c r="P162" s="99">
        <v>25</v>
      </c>
      <c r="Q162" s="8">
        <f>+P162+N162+L162</f>
        <v>10808.297833333334</v>
      </c>
      <c r="R162" s="99">
        <f>+H162-Q162</f>
        <v>59191.70216666667</v>
      </c>
    </row>
    <row r="163" spans="1:19" s="26" customFormat="1" ht="25.5" customHeight="1" x14ac:dyDescent="0.2">
      <c r="A163" s="66">
        <f>+A162+1</f>
        <v>60</v>
      </c>
      <c r="B163" s="183" t="s">
        <v>517</v>
      </c>
      <c r="C163" s="66" t="s">
        <v>420</v>
      </c>
      <c r="D163" s="271" t="s">
        <v>710</v>
      </c>
      <c r="E163" s="97" t="s">
        <v>213</v>
      </c>
      <c r="F163" s="24" t="s">
        <v>556</v>
      </c>
      <c r="G163" s="24" t="s">
        <v>611</v>
      </c>
      <c r="H163" s="10">
        <v>80000</v>
      </c>
      <c r="I163" s="5">
        <f>H163*2.87%</f>
        <v>2296</v>
      </c>
      <c r="J163" s="5">
        <f>+H163*3.04%</f>
        <v>2432</v>
      </c>
      <c r="K163" s="5"/>
      <c r="L163" s="8">
        <f>+J163+I163+K163</f>
        <v>4728</v>
      </c>
      <c r="M163" s="8">
        <f>+H163-L163</f>
        <v>75272</v>
      </c>
      <c r="N163" s="8">
        <v>7400.94</v>
      </c>
      <c r="O163" s="8">
        <v>855.8</v>
      </c>
      <c r="P163" s="99">
        <f>100+25</f>
        <v>125</v>
      </c>
      <c r="Q163" s="8">
        <f>+P163+N163+L163</f>
        <v>12253.939999999999</v>
      </c>
      <c r="R163" s="99">
        <f>H163-Q163</f>
        <v>67746.06</v>
      </c>
    </row>
    <row r="164" spans="1:19" s="68" customFormat="1" ht="23.25" customHeight="1" x14ac:dyDescent="0.2">
      <c r="A164" s="300" t="s">
        <v>125</v>
      </c>
      <c r="B164" s="308"/>
      <c r="C164" s="226"/>
      <c r="D164" s="226"/>
      <c r="E164" s="226"/>
      <c r="F164" s="226"/>
      <c r="G164" s="227"/>
      <c r="H164" s="14">
        <f>SUM(H162:H163)</f>
        <v>150000</v>
      </c>
      <c r="I164" s="14">
        <f t="shared" ref="I164:R164" si="48">SUM(I162:I163)</f>
        <v>4305</v>
      </c>
      <c r="J164" s="14">
        <f t="shared" si="48"/>
        <v>4560</v>
      </c>
      <c r="K164" s="14">
        <f t="shared" si="48"/>
        <v>1597.31</v>
      </c>
      <c r="L164" s="14">
        <f t="shared" si="48"/>
        <v>10462.31</v>
      </c>
      <c r="M164" s="14">
        <f t="shared" si="48"/>
        <v>139537.69</v>
      </c>
      <c r="N164" s="14">
        <f t="shared" si="48"/>
        <v>12449.927833333333</v>
      </c>
      <c r="O164" s="14">
        <f t="shared" si="48"/>
        <v>855.8</v>
      </c>
      <c r="P164" s="14">
        <f t="shared" si="48"/>
        <v>150</v>
      </c>
      <c r="Q164" s="14">
        <f t="shared" si="48"/>
        <v>23062.237833333333</v>
      </c>
      <c r="R164" s="14">
        <f t="shared" si="48"/>
        <v>126937.76216666667</v>
      </c>
      <c r="S164" s="2"/>
    </row>
    <row r="165" spans="1:19" s="2" customFormat="1" ht="24.95" customHeight="1" thickBot="1" x14ac:dyDescent="0.25">
      <c r="A165" s="128"/>
      <c r="B165" s="1"/>
      <c r="C165" s="4"/>
      <c r="D165" s="129"/>
      <c r="E165" s="130"/>
      <c r="F165" s="23"/>
      <c r="G165" s="23"/>
      <c r="H165" s="131"/>
      <c r="I165" s="68"/>
      <c r="J165" s="68"/>
      <c r="K165" s="68"/>
      <c r="L165" s="68"/>
      <c r="M165" s="68"/>
      <c r="N165" s="68"/>
      <c r="O165" s="68"/>
      <c r="P165" s="68"/>
      <c r="Q165" s="68"/>
      <c r="R165" s="68"/>
    </row>
    <row r="166" spans="1:19" s="2" customFormat="1" ht="24.95" customHeight="1" thickBot="1" x14ac:dyDescent="0.25">
      <c r="A166" s="221" t="s">
        <v>205</v>
      </c>
      <c r="B166" s="222"/>
      <c r="C166" s="222"/>
      <c r="D166" s="222"/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</row>
    <row r="167" spans="1:19" s="74" customFormat="1" ht="24.95" customHeight="1" x14ac:dyDescent="0.2">
      <c r="A167" s="119">
        <f>+A163+1</f>
        <v>61</v>
      </c>
      <c r="B167" s="117" t="s">
        <v>385</v>
      </c>
      <c r="C167" s="119" t="s">
        <v>421</v>
      </c>
      <c r="D167" s="118" t="s">
        <v>219</v>
      </c>
      <c r="E167" s="115" t="s">
        <v>213</v>
      </c>
      <c r="F167" s="183" t="s">
        <v>605</v>
      </c>
      <c r="G167" s="183" t="s">
        <v>700</v>
      </c>
      <c r="H167" s="163">
        <v>135000</v>
      </c>
      <c r="I167" s="8">
        <f>H167*2.87%</f>
        <v>3874.5</v>
      </c>
      <c r="J167" s="8">
        <f>+H167*3.04%</f>
        <v>4104</v>
      </c>
      <c r="K167" s="8"/>
      <c r="L167" s="8">
        <f t="shared" ref="L167:L173" si="49">+J167+I167+K167</f>
        <v>7978.5</v>
      </c>
      <c r="M167" s="8">
        <f t="shared" ref="M167:M173" si="50">+H167-L167</f>
        <v>127021.5</v>
      </c>
      <c r="N167" s="8">
        <f>+IF(M167*12&lt;=416220.01,0,IF(M167*12&lt;=624329.01,(((M167*12-416220.01)*0.15)/12),IF((M167*12&lt;=867123.01),(31216+0.2*(M167*12-624329.01))/12,((79776+0.25*(M167*12-867123.01))/12))))-O167</f>
        <v>20338.312291666665</v>
      </c>
      <c r="O167" s="8"/>
      <c r="P167" s="99">
        <v>3025</v>
      </c>
      <c r="Q167" s="8">
        <f t="shared" ref="Q167:Q173" si="51">+P167+N167+L167</f>
        <v>31341.812291666665</v>
      </c>
      <c r="R167" s="9">
        <f t="shared" ref="R167:R173" si="52">+H167-Q167</f>
        <v>103658.18770833334</v>
      </c>
      <c r="S167" s="6"/>
    </row>
    <row r="168" spans="1:19" s="74" customFormat="1" ht="24.95" customHeight="1" x14ac:dyDescent="0.2">
      <c r="A168" s="96">
        <f>+A167+1</f>
        <v>62</v>
      </c>
      <c r="B168" s="183" t="s">
        <v>381</v>
      </c>
      <c r="C168" s="66" t="s">
        <v>420</v>
      </c>
      <c r="D168" s="183" t="s">
        <v>522</v>
      </c>
      <c r="E168" s="97" t="s">
        <v>213</v>
      </c>
      <c r="F168" s="98" t="s">
        <v>552</v>
      </c>
      <c r="G168" s="98" t="s">
        <v>610</v>
      </c>
      <c r="H168" s="99">
        <v>80000</v>
      </c>
      <c r="I168" s="100">
        <f>H168*2.87%</f>
        <v>2296</v>
      </c>
      <c r="J168" s="100">
        <f>+H168*3.04%</f>
        <v>2432</v>
      </c>
      <c r="K168" s="100"/>
      <c r="L168" s="8">
        <f t="shared" si="49"/>
        <v>4728</v>
      </c>
      <c r="M168" s="8">
        <f t="shared" si="50"/>
        <v>75272</v>
      </c>
      <c r="N168" s="8">
        <f t="shared" ref="N168:N173" si="53">+IF(M168*12&lt;=416220.01,0,IF(M168*12&lt;=624329.01,(((M168*12-416220.01)*0.15)/12),IF((M168*12&lt;=867123.01),(31216+0.2*(M168*12-624329.01))/12,((79776+0.25*(M168*12-867123.01))/12))))-O168</f>
        <v>7400.9372916666662</v>
      </c>
      <c r="O168" s="8"/>
      <c r="P168" s="99">
        <v>1025</v>
      </c>
      <c r="Q168" s="8">
        <f t="shared" si="51"/>
        <v>13153.937291666665</v>
      </c>
      <c r="R168" s="99">
        <f t="shared" si="52"/>
        <v>66846.062708333338</v>
      </c>
      <c r="S168" s="6"/>
    </row>
    <row r="169" spans="1:19" s="74" customFormat="1" ht="24.95" customHeight="1" x14ac:dyDescent="0.2">
      <c r="A169" s="119">
        <f>+A168+1</f>
        <v>63</v>
      </c>
      <c r="B169" s="117" t="s">
        <v>103</v>
      </c>
      <c r="C169" s="119" t="s">
        <v>421</v>
      </c>
      <c r="D169" s="120" t="s">
        <v>523</v>
      </c>
      <c r="E169" s="115" t="s">
        <v>213</v>
      </c>
      <c r="F169" s="98" t="s">
        <v>618</v>
      </c>
      <c r="G169" s="98" t="s">
        <v>706</v>
      </c>
      <c r="H169" s="181">
        <v>70000</v>
      </c>
      <c r="I169" s="5">
        <f>H169*2.87%</f>
        <v>2009</v>
      </c>
      <c r="J169" s="5">
        <f>+H169*3.04%</f>
        <v>2128</v>
      </c>
      <c r="K169" s="8">
        <v>1597.31</v>
      </c>
      <c r="L169" s="8">
        <f t="shared" si="49"/>
        <v>5734.3099999999995</v>
      </c>
      <c r="M169" s="8">
        <f t="shared" si="50"/>
        <v>64265.69</v>
      </c>
      <c r="N169" s="8">
        <f t="shared" si="53"/>
        <v>5048.9878333333336</v>
      </c>
      <c r="O169" s="8"/>
      <c r="P169" s="61">
        <v>2460.35</v>
      </c>
      <c r="Q169" s="8">
        <f t="shared" si="51"/>
        <v>13243.647833333333</v>
      </c>
      <c r="R169" s="9">
        <f t="shared" si="52"/>
        <v>56756.352166666664</v>
      </c>
      <c r="S169" s="6"/>
    </row>
    <row r="170" spans="1:19" s="68" customFormat="1" ht="24.95" customHeight="1" x14ac:dyDescent="0.2">
      <c r="A170" s="119">
        <f>+A169+1</f>
        <v>64</v>
      </c>
      <c r="B170" s="117" t="s">
        <v>383</v>
      </c>
      <c r="C170" s="144" t="s">
        <v>421</v>
      </c>
      <c r="D170" s="120" t="s">
        <v>227</v>
      </c>
      <c r="E170" s="115" t="s">
        <v>213</v>
      </c>
      <c r="F170" s="98" t="s">
        <v>607</v>
      </c>
      <c r="G170" s="98" t="s">
        <v>689</v>
      </c>
      <c r="H170" s="8">
        <v>70000</v>
      </c>
      <c r="I170" s="8">
        <f>H170*2.87%</f>
        <v>2009</v>
      </c>
      <c r="J170" s="8">
        <f>+H170*3.04%</f>
        <v>2128</v>
      </c>
      <c r="K170" s="8"/>
      <c r="L170" s="8">
        <f t="shared" si="49"/>
        <v>4137</v>
      </c>
      <c r="M170" s="8">
        <f t="shared" si="50"/>
        <v>65863</v>
      </c>
      <c r="N170" s="8">
        <f t="shared" si="53"/>
        <v>5368.4498333333331</v>
      </c>
      <c r="O170" s="8"/>
      <c r="P170" s="99">
        <v>25</v>
      </c>
      <c r="Q170" s="8">
        <f t="shared" si="51"/>
        <v>9530.4498333333322</v>
      </c>
      <c r="R170" s="9">
        <f t="shared" si="52"/>
        <v>60469.550166666668</v>
      </c>
      <c r="S170" s="2"/>
    </row>
    <row r="171" spans="1:19" s="68" customFormat="1" ht="24.95" customHeight="1" x14ac:dyDescent="0.2">
      <c r="A171" s="96">
        <f t="shared" ref="A171:A172" si="54">+A170+1</f>
        <v>65</v>
      </c>
      <c r="B171" s="117" t="s">
        <v>387</v>
      </c>
      <c r="C171" s="144" t="s">
        <v>421</v>
      </c>
      <c r="D171" s="120" t="s">
        <v>148</v>
      </c>
      <c r="E171" s="115" t="s">
        <v>213</v>
      </c>
      <c r="F171" s="24" t="s">
        <v>603</v>
      </c>
      <c r="G171" s="24" t="s">
        <v>716</v>
      </c>
      <c r="H171" s="114">
        <v>60000</v>
      </c>
      <c r="I171" s="5">
        <f>H171*2.87%</f>
        <v>1722</v>
      </c>
      <c r="J171" s="5">
        <f>+H171*3.04%</f>
        <v>1824</v>
      </c>
      <c r="K171" s="5"/>
      <c r="L171" s="8">
        <f t="shared" si="49"/>
        <v>3546</v>
      </c>
      <c r="M171" s="8">
        <f t="shared" si="50"/>
        <v>56454</v>
      </c>
      <c r="N171" s="8">
        <f t="shared" si="53"/>
        <v>3486.6498333333329</v>
      </c>
      <c r="O171" s="8"/>
      <c r="P171" s="99">
        <v>10788.22</v>
      </c>
      <c r="Q171" s="8">
        <f t="shared" si="51"/>
        <v>17820.86983333333</v>
      </c>
      <c r="R171" s="9">
        <f t="shared" si="52"/>
        <v>42179.13016666667</v>
      </c>
      <c r="S171" s="2"/>
    </row>
    <row r="172" spans="1:19" s="6" customFormat="1" ht="24.95" customHeight="1" x14ac:dyDescent="0.2">
      <c r="A172" s="119">
        <f t="shared" si="54"/>
        <v>66</v>
      </c>
      <c r="B172" s="183" t="s">
        <v>388</v>
      </c>
      <c r="C172" s="144" t="s">
        <v>421</v>
      </c>
      <c r="D172" s="120" t="s">
        <v>227</v>
      </c>
      <c r="E172" s="115" t="s">
        <v>213</v>
      </c>
      <c r="F172" s="120" t="s">
        <v>603</v>
      </c>
      <c r="G172" s="24" t="s">
        <v>716</v>
      </c>
      <c r="H172" s="114">
        <v>70000</v>
      </c>
      <c r="I172" s="5">
        <f t="shared" ref="I172:I173" si="55">H172*2.87%</f>
        <v>2009</v>
      </c>
      <c r="J172" s="5">
        <f t="shared" ref="J172:J173" si="56">+H172*3.04%</f>
        <v>2128</v>
      </c>
      <c r="K172" s="5"/>
      <c r="L172" s="8">
        <f t="shared" si="49"/>
        <v>4137</v>
      </c>
      <c r="M172" s="8">
        <f t="shared" si="50"/>
        <v>65863</v>
      </c>
      <c r="N172" s="8">
        <f t="shared" si="53"/>
        <v>5368.4498333333331</v>
      </c>
      <c r="O172" s="8"/>
      <c r="P172" s="99">
        <v>2125</v>
      </c>
      <c r="Q172" s="8">
        <f t="shared" si="51"/>
        <v>11630.449833333332</v>
      </c>
      <c r="R172" s="9">
        <f t="shared" si="52"/>
        <v>58369.550166666668</v>
      </c>
    </row>
    <row r="173" spans="1:19" s="6" customFormat="1" ht="24.95" customHeight="1" x14ac:dyDescent="0.2">
      <c r="A173" s="119">
        <f>+A172+1</f>
        <v>67</v>
      </c>
      <c r="B173" s="117" t="s">
        <v>639</v>
      </c>
      <c r="C173" s="144" t="s">
        <v>421</v>
      </c>
      <c r="D173" s="120" t="s">
        <v>389</v>
      </c>
      <c r="E173" s="115" t="s">
        <v>213</v>
      </c>
      <c r="F173" s="24" t="s">
        <v>556</v>
      </c>
      <c r="G173" s="24" t="s">
        <v>611</v>
      </c>
      <c r="H173" s="114">
        <v>45000</v>
      </c>
      <c r="I173" s="5">
        <f t="shared" si="55"/>
        <v>1291.5</v>
      </c>
      <c r="J173" s="5">
        <f t="shared" si="56"/>
        <v>1368</v>
      </c>
      <c r="K173" s="5"/>
      <c r="L173" s="8">
        <f t="shared" si="49"/>
        <v>2659.5</v>
      </c>
      <c r="M173" s="8">
        <f t="shared" si="50"/>
        <v>42340.5</v>
      </c>
      <c r="N173" s="8">
        <f t="shared" si="53"/>
        <v>1148.3248749999998</v>
      </c>
      <c r="O173" s="8"/>
      <c r="P173" s="99">
        <v>1025</v>
      </c>
      <c r="Q173" s="8">
        <f t="shared" si="51"/>
        <v>4832.8248750000002</v>
      </c>
      <c r="R173" s="9">
        <f t="shared" si="52"/>
        <v>40167.175125000002</v>
      </c>
    </row>
    <row r="174" spans="1:19" s="6" customFormat="1" ht="24.95" customHeight="1" x14ac:dyDescent="0.2">
      <c r="A174" s="300" t="s">
        <v>125</v>
      </c>
      <c r="B174" s="301"/>
      <c r="C174" s="223"/>
      <c r="D174" s="223"/>
      <c r="E174" s="223"/>
      <c r="F174" s="223"/>
      <c r="G174" s="223"/>
      <c r="H174" s="14">
        <f>SUM(H167:H173)</f>
        <v>530000</v>
      </c>
      <c r="I174" s="14">
        <f t="shared" ref="I174:R174" si="57">SUM(I167:I173)</f>
        <v>15211</v>
      </c>
      <c r="J174" s="14">
        <f t="shared" si="57"/>
        <v>16112</v>
      </c>
      <c r="K174" s="14">
        <f t="shared" si="57"/>
        <v>1597.31</v>
      </c>
      <c r="L174" s="14">
        <f t="shared" si="57"/>
        <v>32920.31</v>
      </c>
      <c r="M174" s="14">
        <f t="shared" si="57"/>
        <v>497079.69</v>
      </c>
      <c r="N174" s="14">
        <f t="shared" si="57"/>
        <v>48160.111791666663</v>
      </c>
      <c r="O174" s="14">
        <f t="shared" si="57"/>
        <v>0</v>
      </c>
      <c r="P174" s="14">
        <f t="shared" si="57"/>
        <v>20473.57</v>
      </c>
      <c r="Q174" s="14">
        <f t="shared" si="57"/>
        <v>101553.99179166666</v>
      </c>
      <c r="R174" s="14">
        <f t="shared" si="57"/>
        <v>428446.0082083334</v>
      </c>
    </row>
    <row r="175" spans="1:19" s="6" customFormat="1" ht="24.95" customHeight="1" thickBot="1" x14ac:dyDescent="0.25">
      <c r="A175" s="62"/>
      <c r="B175" s="62"/>
      <c r="C175" s="62"/>
      <c r="D175" s="62"/>
      <c r="E175" s="62"/>
      <c r="F175" s="62"/>
      <c r="G175" s="62"/>
    </row>
    <row r="176" spans="1:19" s="6" customFormat="1" ht="24.95" customHeight="1" thickBot="1" x14ac:dyDescent="0.25">
      <c r="A176" s="221" t="s">
        <v>465</v>
      </c>
      <c r="B176" s="222"/>
      <c r="C176" s="222"/>
      <c r="D176" s="222"/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</row>
    <row r="177" spans="1:19" s="6" customFormat="1" ht="24.95" customHeight="1" x14ac:dyDescent="0.2">
      <c r="A177" s="66">
        <f>+A173+1</f>
        <v>68</v>
      </c>
      <c r="B177" s="120" t="s">
        <v>220</v>
      </c>
      <c r="C177" s="119" t="s">
        <v>421</v>
      </c>
      <c r="D177" s="118" t="s">
        <v>466</v>
      </c>
      <c r="E177" s="115" t="s">
        <v>213</v>
      </c>
      <c r="F177" s="183" t="s">
        <v>605</v>
      </c>
      <c r="G177" s="183" t="s">
        <v>700</v>
      </c>
      <c r="H177" s="181">
        <v>170000</v>
      </c>
      <c r="I177" s="61">
        <f>H177*2.87%</f>
        <v>4879</v>
      </c>
      <c r="J177" s="100">
        <f>+H177*3.04%</f>
        <v>5168</v>
      </c>
      <c r="K177" s="100"/>
      <c r="L177" s="8">
        <f>+J177+I177+K177</f>
        <v>10047</v>
      </c>
      <c r="M177" s="8">
        <f>+H177-L177</f>
        <v>159953</v>
      </c>
      <c r="N177" s="8">
        <f>+IF(M177*12&lt;=416220.01,0,IF(M177*12&lt;=624329.01,(((M177*12-416220.01)*0.15)/12),IF((M177*12&lt;=867123.01),(31216+0.2*(M177*12-624329.01))/12,((79776+0.25*(M177*12-867123.01))/12))))</f>
        <v>28571.187291666665</v>
      </c>
      <c r="O177" s="8"/>
      <c r="P177" s="67">
        <v>5025</v>
      </c>
      <c r="Q177" s="8">
        <f>+P177+N177+L177</f>
        <v>43643.187291666662</v>
      </c>
      <c r="R177" s="67">
        <f>+H177-Q177</f>
        <v>126356.81270833334</v>
      </c>
    </row>
    <row r="178" spans="1:19" s="6" customFormat="1" ht="24.95" customHeight="1" x14ac:dyDescent="0.2">
      <c r="A178" s="300" t="s">
        <v>125</v>
      </c>
      <c r="B178" s="301"/>
      <c r="C178" s="223"/>
      <c r="D178" s="223"/>
      <c r="E178" s="223"/>
      <c r="F178" s="223"/>
      <c r="G178" s="223"/>
      <c r="H178" s="14">
        <f t="shared" ref="H178:R178" si="58">SUM(H177:H177)</f>
        <v>170000</v>
      </c>
      <c r="I178" s="14">
        <f t="shared" si="58"/>
        <v>4879</v>
      </c>
      <c r="J178" s="14">
        <f t="shared" si="58"/>
        <v>5168</v>
      </c>
      <c r="K178" s="14">
        <f t="shared" si="58"/>
        <v>0</v>
      </c>
      <c r="L178" s="14">
        <f t="shared" si="58"/>
        <v>10047</v>
      </c>
      <c r="M178" s="14">
        <f t="shared" si="58"/>
        <v>159953</v>
      </c>
      <c r="N178" s="14">
        <f t="shared" si="58"/>
        <v>28571.187291666665</v>
      </c>
      <c r="O178" s="14">
        <f t="shared" si="58"/>
        <v>0</v>
      </c>
      <c r="P178" s="14">
        <f t="shared" si="58"/>
        <v>5025</v>
      </c>
      <c r="Q178" s="14">
        <f t="shared" si="58"/>
        <v>43643.187291666662</v>
      </c>
      <c r="R178" s="14">
        <f t="shared" si="58"/>
        <v>126356.81270833334</v>
      </c>
    </row>
    <row r="179" spans="1:19" s="26" customFormat="1" ht="27" customHeight="1" thickBot="1" x14ac:dyDescent="0.25">
      <c r="A179" s="62"/>
      <c r="B179" s="62"/>
      <c r="C179" s="62"/>
      <c r="D179" s="62"/>
      <c r="E179" s="62"/>
      <c r="F179" s="62"/>
      <c r="G179" s="62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</row>
    <row r="180" spans="1:19" s="73" customFormat="1" ht="24.95" customHeight="1" thickBot="1" x14ac:dyDescent="0.25">
      <c r="A180" s="221" t="s">
        <v>175</v>
      </c>
      <c r="B180" s="222"/>
      <c r="C180" s="222"/>
      <c r="D180" s="222"/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6"/>
    </row>
    <row r="181" spans="1:19" s="73" customFormat="1" ht="27.6" customHeight="1" x14ac:dyDescent="0.2">
      <c r="A181" s="96">
        <f>+A177+1</f>
        <v>69</v>
      </c>
      <c r="B181" s="133" t="s">
        <v>491</v>
      </c>
      <c r="C181" s="12" t="s">
        <v>421</v>
      </c>
      <c r="D181" s="115" t="s">
        <v>492</v>
      </c>
      <c r="E181" s="115" t="s">
        <v>213</v>
      </c>
      <c r="F181" s="98" t="s">
        <v>608</v>
      </c>
      <c r="G181" s="98" t="s">
        <v>682</v>
      </c>
      <c r="H181" s="163">
        <v>135000</v>
      </c>
      <c r="I181" s="100">
        <f>H181*2.87%</f>
        <v>3874.5</v>
      </c>
      <c r="J181" s="100">
        <f>+H181*3.04%</f>
        <v>4104</v>
      </c>
      <c r="K181" s="100"/>
      <c r="L181" s="8">
        <f>+J181+I181+K181</f>
        <v>7978.5</v>
      </c>
      <c r="M181" s="8">
        <f>+H181-L181</f>
        <v>127021.5</v>
      </c>
      <c r="N181" s="8">
        <f>+IF(M181*12&lt;=416220.01,0,IF(M181*12&lt;=624329.01,(((M181*12-416220.01)*0.15)/12),IF((M181*12&lt;=867123.01),(31216+0.2*(M181*12-624329.01))/12,((79776+0.25*(M181*12-867123.01))/12))))-O181</f>
        <v>20338.312291666665</v>
      </c>
      <c r="O181" s="8"/>
      <c r="P181" s="99">
        <v>3025</v>
      </c>
      <c r="Q181" s="8">
        <f>+P181+N181+L181</f>
        <v>31341.812291666665</v>
      </c>
      <c r="R181" s="99">
        <f>+H181-Q181</f>
        <v>103658.18770833334</v>
      </c>
      <c r="S181" s="26"/>
    </row>
    <row r="182" spans="1:19" s="26" customFormat="1" ht="26.25" customHeight="1" x14ac:dyDescent="0.2">
      <c r="A182" s="66">
        <f>+A181+1</f>
        <v>70</v>
      </c>
      <c r="B182" s="120" t="s">
        <v>363</v>
      </c>
      <c r="C182" s="119" t="s">
        <v>421</v>
      </c>
      <c r="D182" s="118" t="s">
        <v>390</v>
      </c>
      <c r="E182" s="115" t="s">
        <v>213</v>
      </c>
      <c r="F182" s="120" t="s">
        <v>603</v>
      </c>
      <c r="G182" s="120" t="s">
        <v>716</v>
      </c>
      <c r="H182" s="181">
        <v>60000</v>
      </c>
      <c r="I182" s="61">
        <f>H182*2.87%</f>
        <v>1722</v>
      </c>
      <c r="J182" s="100">
        <f t="shared" ref="J182" si="59">+H182*3.04%</f>
        <v>1824</v>
      </c>
      <c r="K182" s="100"/>
      <c r="L182" s="8">
        <f>+J182+I182+K182</f>
        <v>3546</v>
      </c>
      <c r="M182" s="8">
        <f>+H182-L182</f>
        <v>56454</v>
      </c>
      <c r="N182" s="8">
        <f t="shared" ref="N182:N183" si="60">+IF(M182*12&lt;=416220.01,0,IF(M182*12&lt;=624329.01,(((M182*12-416220.01)*0.15)/12),IF((M182*12&lt;=867123.01),(31216+0.2*(M182*12-624329.01))/12,((79776+0.25*(M182*12-867123.01))/12))))-O182</f>
        <v>3486.6498333333329</v>
      </c>
      <c r="O182" s="8"/>
      <c r="P182" s="67">
        <v>7525</v>
      </c>
      <c r="Q182" s="8">
        <f t="shared" ref="Q182:Q183" si="61">+P182+N182+L182</f>
        <v>14557.649833333333</v>
      </c>
      <c r="R182" s="67">
        <f>+H182-Q182</f>
        <v>45442.350166666671</v>
      </c>
    </row>
    <row r="183" spans="1:19" s="26" customFormat="1" ht="26.25" customHeight="1" x14ac:dyDescent="0.2">
      <c r="A183" s="66">
        <f>+A182+1</f>
        <v>71</v>
      </c>
      <c r="B183" s="120" t="s">
        <v>546</v>
      </c>
      <c r="C183" s="119" t="s">
        <v>421</v>
      </c>
      <c r="D183" s="118" t="s">
        <v>547</v>
      </c>
      <c r="E183" s="115" t="s">
        <v>213</v>
      </c>
      <c r="F183" s="120" t="s">
        <v>606</v>
      </c>
      <c r="G183" s="120" t="s">
        <v>722</v>
      </c>
      <c r="H183" s="181">
        <v>50000</v>
      </c>
      <c r="I183" s="61">
        <f>H183*2.87%</f>
        <v>1435</v>
      </c>
      <c r="J183" s="100">
        <f t="shared" ref="J183" si="62">+H183*3.04%</f>
        <v>1520</v>
      </c>
      <c r="K183" s="100"/>
      <c r="L183" s="8">
        <f>+J183+I183+K183</f>
        <v>2955</v>
      </c>
      <c r="M183" s="8">
        <f>+H183-L183</f>
        <v>47045</v>
      </c>
      <c r="N183" s="8">
        <f t="shared" si="60"/>
        <v>-1.2500000025283953E-4</v>
      </c>
      <c r="O183" s="8">
        <v>1854</v>
      </c>
      <c r="P183" s="67">
        <v>25</v>
      </c>
      <c r="Q183" s="8">
        <f t="shared" si="61"/>
        <v>2979.9998749999995</v>
      </c>
      <c r="R183" s="67">
        <f>+H183-Q183</f>
        <v>47020.000124999999</v>
      </c>
    </row>
    <row r="184" spans="1:19" s="26" customFormat="1" ht="22.5" customHeight="1" x14ac:dyDescent="0.2">
      <c r="A184" s="300" t="s">
        <v>125</v>
      </c>
      <c r="B184" s="301"/>
      <c r="C184" s="223"/>
      <c r="D184" s="223"/>
      <c r="E184" s="223"/>
      <c r="F184" s="223"/>
      <c r="G184" s="223"/>
      <c r="H184" s="14">
        <f>SUM(H181:H183)</f>
        <v>245000</v>
      </c>
      <c r="I184" s="14">
        <f t="shared" ref="I184:R184" si="63">SUM(I181:I183)</f>
        <v>7031.5</v>
      </c>
      <c r="J184" s="14">
        <f t="shared" si="63"/>
        <v>7448</v>
      </c>
      <c r="K184" s="14">
        <f t="shared" si="63"/>
        <v>0</v>
      </c>
      <c r="L184" s="14">
        <f t="shared" si="63"/>
        <v>14479.5</v>
      </c>
      <c r="M184" s="14">
        <f t="shared" si="63"/>
        <v>230520.5</v>
      </c>
      <c r="N184" s="14">
        <f t="shared" si="63"/>
        <v>23824.962</v>
      </c>
      <c r="O184" s="14">
        <f t="shared" si="63"/>
        <v>1854</v>
      </c>
      <c r="P184" s="14">
        <f t="shared" si="63"/>
        <v>10575</v>
      </c>
      <c r="Q184" s="14">
        <f t="shared" si="63"/>
        <v>48879.462</v>
      </c>
      <c r="R184" s="14">
        <f t="shared" si="63"/>
        <v>196120.538</v>
      </c>
    </row>
    <row r="185" spans="1:19" s="26" customFormat="1" ht="15" customHeight="1" thickBot="1" x14ac:dyDescent="0.25">
      <c r="A185" s="62"/>
      <c r="B185" s="62"/>
      <c r="C185" s="62"/>
      <c r="D185" s="62"/>
      <c r="E185" s="62"/>
      <c r="F185" s="62"/>
      <c r="G185" s="62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</row>
    <row r="186" spans="1:19" s="26" customFormat="1" ht="22.5" customHeight="1" thickBot="1" x14ac:dyDescent="0.25">
      <c r="A186" s="221" t="s">
        <v>176</v>
      </c>
      <c r="B186" s="222"/>
      <c r="C186" s="222"/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</row>
    <row r="187" spans="1:19" s="73" customFormat="1" ht="24.95" customHeight="1" x14ac:dyDescent="0.2">
      <c r="A187" s="96">
        <f>+A183+1</f>
        <v>72</v>
      </c>
      <c r="B187" s="24" t="s">
        <v>444</v>
      </c>
      <c r="C187" s="12" t="s">
        <v>420</v>
      </c>
      <c r="D187" s="24" t="s">
        <v>436</v>
      </c>
      <c r="E187" s="115" t="s">
        <v>213</v>
      </c>
      <c r="F187" s="24" t="s">
        <v>551</v>
      </c>
      <c r="G187" s="24" t="s">
        <v>614</v>
      </c>
      <c r="H187" s="9">
        <v>70000</v>
      </c>
      <c r="I187" s="100">
        <f t="shared" ref="I187" si="64">H187*2.87%</f>
        <v>2009</v>
      </c>
      <c r="J187" s="100">
        <f>+H187*3.04%</f>
        <v>2128</v>
      </c>
      <c r="K187" s="100"/>
      <c r="L187" s="8">
        <f>+J187+I187+K187</f>
        <v>4137</v>
      </c>
      <c r="M187" s="8">
        <f>+H187-L187</f>
        <v>65863</v>
      </c>
      <c r="N187" s="8">
        <f>+IF(M187*12&lt;=416220.01,0,IF(M187*12&lt;=624329.01,(((M187*12-416220.01)*0.15)/12),IF((M187*12&lt;=867123.01),(31216+0.2*(M187*12-624329.01))/12,((79776+0.25*(M187*12-867123.01))/12))))-O187</f>
        <v>5368.4498333333331</v>
      </c>
      <c r="O187" s="8"/>
      <c r="P187" s="99">
        <v>25</v>
      </c>
      <c r="Q187" s="8">
        <f>+P187+N187+L187</f>
        <v>9530.4498333333322</v>
      </c>
      <c r="R187" s="99">
        <f>+H187-Q187</f>
        <v>60469.550166666668</v>
      </c>
      <c r="S187" s="26"/>
    </row>
    <row r="188" spans="1:19" s="26" customFormat="1" ht="22.5" customHeight="1" x14ac:dyDescent="0.2">
      <c r="A188" s="96">
        <f>+A187+1</f>
        <v>73</v>
      </c>
      <c r="B188" s="24" t="s">
        <v>222</v>
      </c>
      <c r="C188" s="12" t="s">
        <v>420</v>
      </c>
      <c r="D188" s="24" t="s">
        <v>221</v>
      </c>
      <c r="E188" s="115" t="s">
        <v>213</v>
      </c>
      <c r="F188" s="183" t="s">
        <v>605</v>
      </c>
      <c r="G188" s="183" t="s">
        <v>700</v>
      </c>
      <c r="H188" s="9">
        <v>60000</v>
      </c>
      <c r="I188" s="100">
        <f t="shared" ref="I188" si="65">H188*2.87%</f>
        <v>1722</v>
      </c>
      <c r="J188" s="100">
        <f t="shared" ref="J188" si="66">+H188*3.04%</f>
        <v>1824</v>
      </c>
      <c r="K188" s="100"/>
      <c r="L188" s="8">
        <f>+J188+I188+K188</f>
        <v>3546</v>
      </c>
      <c r="M188" s="8">
        <f>+H188-L188</f>
        <v>56454</v>
      </c>
      <c r="N188" s="8">
        <f>+IF(M188*12&lt;=416220.01,0,IF(M188*12&lt;=624329.01,(((M188*12-416220.01)*0.15)/12),IF((M188*12&lt;=867123.01),(31216+0.2*(M188*12-624329.01))/12,((79776+0.25*(M188*12-867123.01))/12))))-O188</f>
        <v>3486.6498333333329</v>
      </c>
      <c r="O188" s="8"/>
      <c r="P188" s="99">
        <v>25</v>
      </c>
      <c r="Q188" s="8">
        <f>+P188+N188+L188</f>
        <v>7057.6498333333329</v>
      </c>
      <c r="R188" s="99">
        <f>+H188-Q188</f>
        <v>52942.350166666671</v>
      </c>
    </row>
    <row r="189" spans="1:19" s="2" customFormat="1" ht="22.5" customHeight="1" x14ac:dyDescent="0.2">
      <c r="A189" s="300" t="s">
        <v>125</v>
      </c>
      <c r="B189" s="301"/>
      <c r="C189" s="223"/>
      <c r="D189" s="223"/>
      <c r="E189" s="223"/>
      <c r="F189" s="223"/>
      <c r="G189" s="223"/>
      <c r="H189" s="14">
        <f>SUM(H187:H188)</f>
        <v>130000</v>
      </c>
      <c r="I189" s="14">
        <f t="shared" ref="I189:R189" si="67">SUM(I187:I188)</f>
        <v>3731</v>
      </c>
      <c r="J189" s="14">
        <f t="shared" si="67"/>
        <v>3952</v>
      </c>
      <c r="K189" s="14">
        <f t="shared" si="67"/>
        <v>0</v>
      </c>
      <c r="L189" s="14">
        <f t="shared" si="67"/>
        <v>7683</v>
      </c>
      <c r="M189" s="14">
        <f t="shared" si="67"/>
        <v>122317</v>
      </c>
      <c r="N189" s="14">
        <f t="shared" si="67"/>
        <v>8855.0996666666651</v>
      </c>
      <c r="O189" s="14">
        <f t="shared" si="67"/>
        <v>0</v>
      </c>
      <c r="P189" s="14">
        <f t="shared" si="67"/>
        <v>50</v>
      </c>
      <c r="Q189" s="14">
        <f t="shared" si="67"/>
        <v>16588.099666666665</v>
      </c>
      <c r="R189" s="14">
        <f t="shared" si="67"/>
        <v>113411.90033333334</v>
      </c>
    </row>
    <row r="190" spans="1:19" s="68" customFormat="1" ht="20.100000000000001" customHeight="1" thickBot="1" x14ac:dyDescent="0.25">
      <c r="A190" s="4"/>
      <c r="B190" s="23"/>
      <c r="C190" s="4"/>
      <c r="D190" s="25"/>
      <c r="E190" s="25"/>
      <c r="F190" s="25"/>
      <c r="G190" s="25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</row>
    <row r="191" spans="1:19" s="68" customFormat="1" ht="24.95" customHeight="1" thickBot="1" x14ac:dyDescent="0.25">
      <c r="A191" s="221" t="s">
        <v>306</v>
      </c>
      <c r="B191" s="222"/>
      <c r="C191" s="222"/>
      <c r="D191" s="222"/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"/>
    </row>
    <row r="192" spans="1:19" s="2" customFormat="1" ht="24.95" customHeight="1" x14ac:dyDescent="0.2">
      <c r="A192" s="96">
        <f>+A188+1</f>
        <v>74</v>
      </c>
      <c r="B192" s="24" t="s">
        <v>391</v>
      </c>
      <c r="C192" s="12" t="s">
        <v>420</v>
      </c>
      <c r="D192" s="115" t="s">
        <v>392</v>
      </c>
      <c r="E192" s="115" t="s">
        <v>213</v>
      </c>
      <c r="F192" s="98" t="s">
        <v>619</v>
      </c>
      <c r="G192" s="98" t="s">
        <v>707</v>
      </c>
      <c r="H192" s="8">
        <v>190000</v>
      </c>
      <c r="I192" s="100">
        <f>H192*2.87%</f>
        <v>5453</v>
      </c>
      <c r="J192" s="5">
        <f>187020*3.04%</f>
        <v>5685.4080000000004</v>
      </c>
      <c r="K192" s="5"/>
      <c r="L192" s="8">
        <f>+J192+I192+K192</f>
        <v>11138.407999999999</v>
      </c>
      <c r="M192" s="8">
        <f>+H192-L192</f>
        <v>178861.592</v>
      </c>
      <c r="N192" s="8">
        <f>+IF(M192*12&lt;=416220.01,0,IF(M192*12&lt;=624329.01,(((M192*12-416220.01)*0.15)/12),IF((M192*12&lt;=867123.01),(31216+0.2*(M192*12-624329.01))/12,((79776+0.25*(M192*12-867123.01))/12))))</f>
        <v>33298.33529166667</v>
      </c>
      <c r="O192" s="8"/>
      <c r="P192" s="99">
        <v>225</v>
      </c>
      <c r="Q192" s="8">
        <f>+P192+N192+L192</f>
        <v>44661.743291666673</v>
      </c>
      <c r="R192" s="99">
        <f>+H192-Q192</f>
        <v>145338.25670833333</v>
      </c>
    </row>
    <row r="193" spans="1:19" s="68" customFormat="1" ht="24.75" customHeight="1" thickBot="1" x14ac:dyDescent="0.25">
      <c r="A193" s="300" t="s">
        <v>125</v>
      </c>
      <c r="B193" s="301"/>
      <c r="C193" s="223"/>
      <c r="D193" s="223"/>
      <c r="E193" s="224"/>
      <c r="F193" s="224"/>
      <c r="G193" s="228"/>
      <c r="H193" s="72">
        <f>SUM(H192:H192)</f>
        <v>190000</v>
      </c>
      <c r="I193" s="72">
        <f t="shared" ref="I193:R193" si="68">SUM(I192:I192)</f>
        <v>5453</v>
      </c>
      <c r="J193" s="72">
        <f t="shared" si="68"/>
        <v>5685.4080000000004</v>
      </c>
      <c r="K193" s="72">
        <f t="shared" si="68"/>
        <v>0</v>
      </c>
      <c r="L193" s="72">
        <f t="shared" si="68"/>
        <v>11138.407999999999</v>
      </c>
      <c r="M193" s="72">
        <f t="shared" si="68"/>
        <v>178861.592</v>
      </c>
      <c r="N193" s="72">
        <f t="shared" si="68"/>
        <v>33298.33529166667</v>
      </c>
      <c r="O193" s="72">
        <f t="shared" si="68"/>
        <v>0</v>
      </c>
      <c r="P193" s="72">
        <f t="shared" si="68"/>
        <v>225</v>
      </c>
      <c r="Q193" s="72">
        <f t="shared" si="68"/>
        <v>44661.743291666673</v>
      </c>
      <c r="R193" s="72">
        <f t="shared" si="68"/>
        <v>145338.25670833333</v>
      </c>
      <c r="S193" s="2"/>
    </row>
    <row r="194" spans="1:19" s="68" customFormat="1" ht="12" customHeight="1" thickBot="1" x14ac:dyDescent="0.25">
      <c r="A194" s="195"/>
      <c r="B194" s="195"/>
      <c r="C194" s="195"/>
      <c r="D194" s="195"/>
      <c r="E194" s="195"/>
      <c r="F194" s="195"/>
      <c r="G194" s="195"/>
      <c r="H194" s="196"/>
      <c r="I194" s="196"/>
      <c r="J194" s="196"/>
      <c r="K194" s="196"/>
      <c r="L194" s="196"/>
      <c r="M194" s="196"/>
      <c r="N194" s="196"/>
      <c r="O194" s="196"/>
      <c r="P194" s="196"/>
      <c r="Q194" s="196"/>
      <c r="R194" s="196"/>
      <c r="S194" s="2"/>
    </row>
    <row r="195" spans="1:19" s="68" customFormat="1" ht="24.75" customHeight="1" thickBot="1" x14ac:dyDescent="0.25">
      <c r="A195" s="221" t="s">
        <v>393</v>
      </c>
      <c r="B195" s="222"/>
      <c r="C195" s="222"/>
      <c r="D195" s="222"/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"/>
    </row>
    <row r="196" spans="1:19" s="26" customFormat="1" ht="24.95" customHeight="1" x14ac:dyDescent="0.2">
      <c r="A196" s="66">
        <f>+A192+1</f>
        <v>75</v>
      </c>
      <c r="B196" s="120" t="s">
        <v>87</v>
      </c>
      <c r="C196" s="119" t="s">
        <v>420</v>
      </c>
      <c r="D196" s="120" t="s">
        <v>100</v>
      </c>
      <c r="E196" s="115" t="s">
        <v>213</v>
      </c>
      <c r="F196" s="24" t="s">
        <v>551</v>
      </c>
      <c r="G196" s="24" t="s">
        <v>614</v>
      </c>
      <c r="H196" s="61">
        <v>90000</v>
      </c>
      <c r="I196" s="61">
        <f t="shared" ref="I196" si="69">H196*2.87%</f>
        <v>2583</v>
      </c>
      <c r="J196" s="61">
        <f t="shared" ref="J196" si="70">+H196*3.04%</f>
        <v>2736</v>
      </c>
      <c r="K196" s="61"/>
      <c r="L196" s="8">
        <f t="shared" ref="L196:L201" si="71">+J196+I196+K196</f>
        <v>5319</v>
      </c>
      <c r="M196" s="8">
        <f t="shared" ref="M196:M201" si="72">+H196-L196</f>
        <v>84681</v>
      </c>
      <c r="N196" s="8">
        <f>+IF(M196*12&lt;=416220.01,0,IF(M196*12&lt;=624329.01,(((M196*12-416220.01)*0.15)/12),IF((M196*12&lt;=867123.01),(31216+0.2*(M196*12-624329.01))/12,((79776+0.25*(M196*12-867123.01))/12))))-O196</f>
        <v>9753.1872916666671</v>
      </c>
      <c r="O196" s="8"/>
      <c r="P196" s="99">
        <v>925</v>
      </c>
      <c r="Q196" s="8">
        <f>+P196+N196+L196</f>
        <v>15997.187291666667</v>
      </c>
      <c r="R196" s="99">
        <f t="shared" ref="R196:R201" si="73">+H196-Q196</f>
        <v>74002.812708333338</v>
      </c>
    </row>
    <row r="197" spans="1:19" s="26" customFormat="1" ht="24.95" customHeight="1" x14ac:dyDescent="0.2">
      <c r="A197" s="66">
        <f>+A196+1</f>
        <v>76</v>
      </c>
      <c r="B197" s="120" t="s">
        <v>548</v>
      </c>
      <c r="C197" s="119" t="s">
        <v>420</v>
      </c>
      <c r="D197" s="120" t="s">
        <v>83</v>
      </c>
      <c r="E197" s="115" t="s">
        <v>213</v>
      </c>
      <c r="F197" s="24" t="s">
        <v>606</v>
      </c>
      <c r="G197" s="24" t="s">
        <v>722</v>
      </c>
      <c r="H197" s="61">
        <v>70000</v>
      </c>
      <c r="I197" s="61">
        <f t="shared" ref="I197" si="74">H197*2.87%</f>
        <v>2009</v>
      </c>
      <c r="J197" s="61">
        <f t="shared" ref="J197" si="75">+H197*3.04%</f>
        <v>2128</v>
      </c>
      <c r="K197" s="61">
        <v>3194.62</v>
      </c>
      <c r="L197" s="8">
        <f t="shared" si="71"/>
        <v>7331.62</v>
      </c>
      <c r="M197" s="8">
        <f t="shared" si="72"/>
        <v>62668.38</v>
      </c>
      <c r="N197" s="8">
        <v>3267.99</v>
      </c>
      <c r="O197" s="8">
        <v>4737.47</v>
      </c>
      <c r="P197" s="99">
        <v>25</v>
      </c>
      <c r="Q197" s="8">
        <f>+P197+N197+L197</f>
        <v>10624.61</v>
      </c>
      <c r="R197" s="99">
        <f t="shared" si="73"/>
        <v>59375.39</v>
      </c>
    </row>
    <row r="198" spans="1:19" s="73" customFormat="1" ht="25.5" customHeight="1" x14ac:dyDescent="0.2">
      <c r="A198" s="96">
        <f>+A197+1</f>
        <v>77</v>
      </c>
      <c r="B198" s="24" t="s">
        <v>505</v>
      </c>
      <c r="C198" s="12" t="s">
        <v>420</v>
      </c>
      <c r="D198" s="115" t="s">
        <v>506</v>
      </c>
      <c r="E198" s="115" t="s">
        <v>213</v>
      </c>
      <c r="F198" s="98" t="s">
        <v>708</v>
      </c>
      <c r="G198" s="98" t="s">
        <v>726</v>
      </c>
      <c r="H198" s="100">
        <v>110000</v>
      </c>
      <c r="I198" s="100">
        <f>H198*2.87%</f>
        <v>3157</v>
      </c>
      <c r="J198" s="100">
        <f>+H198*3.04%</f>
        <v>3344</v>
      </c>
      <c r="K198" s="100">
        <v>1597.31</v>
      </c>
      <c r="L198" s="8">
        <f t="shared" si="71"/>
        <v>8098.3099999999995</v>
      </c>
      <c r="M198" s="8">
        <f t="shared" si="72"/>
        <v>101901.69</v>
      </c>
      <c r="N198" s="8">
        <f>+IF(M198*12&lt;=416220.01,0,IF(M198*12&lt;=624329.01,(((M198*12-416220.01)*0.15)/12),IF((M198*12&lt;=867123.01),(31216+0.2*(M198*12-624329.01))/12,((79776+0.25*(M198*12-867123.01))/12))))-O198</f>
        <v>14058.359791666668</v>
      </c>
      <c r="O198" s="8"/>
      <c r="P198" s="99">
        <v>25</v>
      </c>
      <c r="Q198" s="8">
        <f>+P198+N198+L198</f>
        <v>22181.669791666667</v>
      </c>
      <c r="R198" s="99">
        <f t="shared" si="73"/>
        <v>87818.330208333326</v>
      </c>
      <c r="S198" s="26"/>
    </row>
    <row r="199" spans="1:19" s="2" customFormat="1" ht="24.95" customHeight="1" x14ac:dyDescent="0.2">
      <c r="A199" s="96">
        <f>+A198+1</f>
        <v>78</v>
      </c>
      <c r="B199" s="120" t="s">
        <v>437</v>
      </c>
      <c r="C199" s="119" t="s">
        <v>420</v>
      </c>
      <c r="D199" s="184" t="s">
        <v>709</v>
      </c>
      <c r="E199" s="118" t="s">
        <v>213</v>
      </c>
      <c r="F199" s="24" t="s">
        <v>556</v>
      </c>
      <c r="G199" s="24" t="s">
        <v>611</v>
      </c>
      <c r="H199" s="104">
        <v>70000</v>
      </c>
      <c r="I199" s="61">
        <f>H199*2.87%</f>
        <v>2009</v>
      </c>
      <c r="J199" s="61">
        <f>+H199*3.04%</f>
        <v>2128</v>
      </c>
      <c r="K199" s="61">
        <v>1597.31</v>
      </c>
      <c r="L199" s="8">
        <f t="shared" si="71"/>
        <v>5734.3099999999995</v>
      </c>
      <c r="M199" s="8">
        <f t="shared" si="72"/>
        <v>64265.69</v>
      </c>
      <c r="N199" s="8">
        <f>+IF(M199*12&lt;=416220.01,0,IF(M199*12&lt;=624329.01,(((M199*12-416220.01)*0.15)/12),IF((M199*12&lt;=867123.01),(31216+0.2*(M199*12-624329.01))/12,((79776+0.25*(M199*12-867123.01))/12))))-O199</f>
        <v>5048.9878333333336</v>
      </c>
      <c r="O199" s="8">
        <v>0</v>
      </c>
      <c r="P199" s="67">
        <v>25</v>
      </c>
      <c r="Q199" s="8">
        <f>+P199+N199+L199</f>
        <v>10808.297833333334</v>
      </c>
      <c r="R199" s="67">
        <f t="shared" si="73"/>
        <v>59191.70216666667</v>
      </c>
    </row>
    <row r="200" spans="1:19" s="2" customFormat="1" ht="24.95" customHeight="1" x14ac:dyDescent="0.2">
      <c r="A200" s="96">
        <f>+A199+1</f>
        <v>79</v>
      </c>
      <c r="B200" s="120" t="s">
        <v>671</v>
      </c>
      <c r="C200" s="119" t="s">
        <v>420</v>
      </c>
      <c r="D200" s="118" t="s">
        <v>673</v>
      </c>
      <c r="E200" s="118" t="s">
        <v>213</v>
      </c>
      <c r="F200" s="24" t="s">
        <v>674</v>
      </c>
      <c r="G200" s="24" t="s">
        <v>661</v>
      </c>
      <c r="H200" s="104">
        <v>135000</v>
      </c>
      <c r="I200" s="61">
        <f>H200*2.87%</f>
        <v>3874.5</v>
      </c>
      <c r="J200" s="61">
        <f>+H200*3.04%</f>
        <v>4104</v>
      </c>
      <c r="K200" s="61"/>
      <c r="L200" s="8">
        <f t="shared" si="71"/>
        <v>7978.5</v>
      </c>
      <c r="M200" s="8">
        <f t="shared" si="72"/>
        <v>127021.5</v>
      </c>
      <c r="N200" s="8">
        <f t="shared" ref="N200:N201" si="76">+IF(M200*12&lt;=416220.01,0,IF(M200*12&lt;=624329.01,(((M200*12-416220.01)*0.15)/12),IF((M200*12&lt;=867123.01),(31216+0.2*(M200*12-624329.01))/12,((79776+0.25*(M200*12-867123.01))/12))))-O200</f>
        <v>20338.312291666665</v>
      </c>
      <c r="O200" s="8"/>
      <c r="P200" s="67">
        <v>5241.96</v>
      </c>
      <c r="Q200" s="8">
        <f t="shared" ref="Q200:Q201" si="77">+P200+N200+L200</f>
        <v>33558.772291666668</v>
      </c>
      <c r="R200" s="67">
        <f t="shared" si="73"/>
        <v>101441.22770833333</v>
      </c>
    </row>
    <row r="201" spans="1:19" s="2" customFormat="1" ht="24.95" customHeight="1" thickBot="1" x14ac:dyDescent="0.25">
      <c r="A201" s="96">
        <f>+A200+1</f>
        <v>80</v>
      </c>
      <c r="B201" s="120" t="s">
        <v>672</v>
      </c>
      <c r="C201" s="119" t="s">
        <v>420</v>
      </c>
      <c r="D201" s="120" t="s">
        <v>83</v>
      </c>
      <c r="E201" s="118" t="s">
        <v>213</v>
      </c>
      <c r="F201" s="24" t="s">
        <v>674</v>
      </c>
      <c r="G201" s="24" t="s">
        <v>661</v>
      </c>
      <c r="H201" s="104">
        <v>80000</v>
      </c>
      <c r="I201" s="61">
        <f>H201*2.87%</f>
        <v>2296</v>
      </c>
      <c r="J201" s="61">
        <f>+H201*3.04%</f>
        <v>2432</v>
      </c>
      <c r="K201" s="61"/>
      <c r="L201" s="8">
        <f t="shared" si="71"/>
        <v>4728</v>
      </c>
      <c r="M201" s="8">
        <f t="shared" si="72"/>
        <v>75272</v>
      </c>
      <c r="N201" s="8">
        <f t="shared" si="76"/>
        <v>7400.9372916666662</v>
      </c>
      <c r="O201" s="8"/>
      <c r="P201" s="67">
        <v>25</v>
      </c>
      <c r="Q201" s="8">
        <f t="shared" si="77"/>
        <v>12153.937291666665</v>
      </c>
      <c r="R201" s="67">
        <f t="shared" si="73"/>
        <v>67846.062708333338</v>
      </c>
    </row>
    <row r="202" spans="1:19" s="2" customFormat="1" ht="21.75" customHeight="1" thickBot="1" x14ac:dyDescent="0.25">
      <c r="A202" s="300" t="s">
        <v>125</v>
      </c>
      <c r="B202" s="301"/>
      <c r="C202" s="223"/>
      <c r="D202" s="223"/>
      <c r="E202" s="223"/>
      <c r="F202" s="223"/>
      <c r="G202" s="225"/>
      <c r="H202" s="63">
        <f>SUM(H196:H201)</f>
        <v>555000</v>
      </c>
      <c r="I202" s="63">
        <f t="shared" ref="I202:R202" si="78">SUM(I196:I201)</f>
        <v>15928.5</v>
      </c>
      <c r="J202" s="63">
        <f t="shared" si="78"/>
        <v>16872</v>
      </c>
      <c r="K202" s="63">
        <f t="shared" si="78"/>
        <v>6389.24</v>
      </c>
      <c r="L202" s="63">
        <f t="shared" si="78"/>
        <v>39189.74</v>
      </c>
      <c r="M202" s="63">
        <f t="shared" si="78"/>
        <v>515810.26</v>
      </c>
      <c r="N202" s="63">
        <f t="shared" si="78"/>
        <v>59867.774500000007</v>
      </c>
      <c r="O202" s="63">
        <f t="shared" si="78"/>
        <v>4737.47</v>
      </c>
      <c r="P202" s="63">
        <f t="shared" si="78"/>
        <v>6266.96</v>
      </c>
      <c r="Q202" s="63">
        <f t="shared" si="78"/>
        <v>105324.4745</v>
      </c>
      <c r="R202" s="63">
        <f t="shared" si="78"/>
        <v>449675.52549999999</v>
      </c>
    </row>
    <row r="203" spans="1:19" s="68" customFormat="1" ht="13.5" customHeight="1" thickBot="1" x14ac:dyDescent="0.25">
      <c r="A203" s="62"/>
      <c r="B203" s="62"/>
      <c r="C203" s="62"/>
      <c r="D203" s="62"/>
      <c r="E203" s="62"/>
      <c r="F203" s="62"/>
      <c r="G203" s="62"/>
      <c r="H203"/>
      <c r="I203"/>
      <c r="J203"/>
      <c r="K203"/>
      <c r="L203"/>
      <c r="M203"/>
      <c r="N203"/>
      <c r="O203"/>
      <c r="P203"/>
      <c r="Q203"/>
      <c r="R203"/>
      <c r="S203" s="2"/>
    </row>
    <row r="204" spans="1:19" s="68" customFormat="1" ht="24.95" customHeight="1" thickBot="1" x14ac:dyDescent="0.25">
      <c r="A204" s="221" t="s">
        <v>311</v>
      </c>
      <c r="B204" s="222"/>
      <c r="C204" s="222"/>
      <c r="D204" s="222"/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"/>
    </row>
    <row r="205" spans="1:19" s="73" customFormat="1" ht="27" customHeight="1" x14ac:dyDescent="0.2">
      <c r="A205" s="96">
        <f>+A201+1</f>
        <v>81</v>
      </c>
      <c r="B205" s="24" t="s">
        <v>453</v>
      </c>
      <c r="C205" s="12" t="s">
        <v>420</v>
      </c>
      <c r="D205" s="115" t="s">
        <v>454</v>
      </c>
      <c r="E205" s="115" t="s">
        <v>213</v>
      </c>
      <c r="F205" s="24" t="s">
        <v>550</v>
      </c>
      <c r="G205" s="24" t="s">
        <v>612</v>
      </c>
      <c r="H205" s="100">
        <v>135000</v>
      </c>
      <c r="I205" s="100">
        <f>H205*2.87%</f>
        <v>3874.5</v>
      </c>
      <c r="J205" s="100">
        <f>+H205*3.04%</f>
        <v>4104</v>
      </c>
      <c r="K205" s="100"/>
      <c r="L205" s="8">
        <f>+J205+I205+K205</f>
        <v>7978.5</v>
      </c>
      <c r="M205" s="8">
        <f>+H205-L205</f>
        <v>127021.5</v>
      </c>
      <c r="N205" s="8">
        <f>+IF(M205*12&lt;=416220.01,0,IF(M205*12&lt;=624329.01,(((M205*12-416220.01)*0.15)/12),IF((M205*12&lt;=867123.01),(31216+0.2*(M205*12-624329.01))/12,((79776+0.25*(M205*12-867123.01))/12))))-O205</f>
        <v>20338.312291666665</v>
      </c>
      <c r="O205" s="8"/>
      <c r="P205" s="99">
        <v>125</v>
      </c>
      <c r="Q205" s="8">
        <f t="shared" ref="Q205:Q208" si="79">+P205+N205+L205</f>
        <v>28441.812291666665</v>
      </c>
      <c r="R205" s="99">
        <f>+H205-Q205</f>
        <v>106558.18770833334</v>
      </c>
      <c r="S205" s="26"/>
    </row>
    <row r="206" spans="1:19" s="73" customFormat="1" ht="25.5" customHeight="1" x14ac:dyDescent="0.2">
      <c r="A206" s="96">
        <f>+A205+1</f>
        <v>82</v>
      </c>
      <c r="B206" s="98" t="s">
        <v>512</v>
      </c>
      <c r="C206" s="96" t="s">
        <v>420</v>
      </c>
      <c r="D206" s="97" t="s">
        <v>506</v>
      </c>
      <c r="E206" s="97" t="s">
        <v>213</v>
      </c>
      <c r="F206" s="98" t="s">
        <v>551</v>
      </c>
      <c r="G206" s="98" t="s">
        <v>614</v>
      </c>
      <c r="H206" s="100">
        <v>100000</v>
      </c>
      <c r="I206" s="100">
        <f>H206*2.87%</f>
        <v>2870</v>
      </c>
      <c r="J206" s="100">
        <f>+H206*3.04%</f>
        <v>3040</v>
      </c>
      <c r="K206" s="100">
        <v>4791.93</v>
      </c>
      <c r="L206" s="8">
        <f>+J206+I206+K206</f>
        <v>10701.93</v>
      </c>
      <c r="M206" s="8">
        <f>+H206-L206</f>
        <v>89298.07</v>
      </c>
      <c r="N206" s="8">
        <f t="shared" ref="N206:N208" si="80">+IF(M206*12&lt;=416220.01,0,IF(M206*12&lt;=624329.01,(((M206*12-416220.01)*0.15)/12),IF((M206*12&lt;=867123.01),(31216+0.2*(M206*12-624329.01))/12,((79776+0.25*(M206*12-867123.01))/12))))-O206</f>
        <v>10907.454791666669</v>
      </c>
      <c r="O206" s="8"/>
      <c r="P206" s="99">
        <v>2733.48</v>
      </c>
      <c r="Q206" s="8">
        <f t="shared" si="79"/>
        <v>24342.864791666667</v>
      </c>
      <c r="R206" s="99">
        <f>+H206-Q206</f>
        <v>75657.135208333333</v>
      </c>
      <c r="S206" s="26"/>
    </row>
    <row r="207" spans="1:19" s="2" customFormat="1" ht="24.95" customHeight="1" x14ac:dyDescent="0.2">
      <c r="A207" s="12">
        <f>+A206+1</f>
        <v>83</v>
      </c>
      <c r="B207" s="120" t="s">
        <v>224</v>
      </c>
      <c r="C207" s="119" t="s">
        <v>420</v>
      </c>
      <c r="D207" s="120" t="s">
        <v>394</v>
      </c>
      <c r="E207" s="118" t="s">
        <v>213</v>
      </c>
      <c r="F207" s="117" t="s">
        <v>605</v>
      </c>
      <c r="G207" s="117" t="s">
        <v>700</v>
      </c>
      <c r="H207" s="10">
        <v>60000</v>
      </c>
      <c r="I207" s="5">
        <f t="shared" ref="I207" si="81">H207*2.87%</f>
        <v>1722</v>
      </c>
      <c r="J207" s="5">
        <f t="shared" ref="J207" si="82">+H207*3.04%</f>
        <v>1824</v>
      </c>
      <c r="K207" s="5"/>
      <c r="L207" s="8">
        <f>+J207+I207+K207</f>
        <v>3546</v>
      </c>
      <c r="M207" s="8">
        <f>+H207-L207</f>
        <v>56454</v>
      </c>
      <c r="N207" s="8">
        <f t="shared" si="80"/>
        <v>3486.6498333333329</v>
      </c>
      <c r="O207" s="8"/>
      <c r="P207" s="114">
        <v>2270.33</v>
      </c>
      <c r="Q207" s="8">
        <f t="shared" si="79"/>
        <v>9302.9798333333329</v>
      </c>
      <c r="R207" s="114">
        <f>+H207-Q207</f>
        <v>50697.020166666669</v>
      </c>
    </row>
    <row r="208" spans="1:19" s="2" customFormat="1" ht="24.95" customHeight="1" x14ac:dyDescent="0.2">
      <c r="A208" s="96">
        <f>+A207+1</f>
        <v>84</v>
      </c>
      <c r="B208" s="120" t="s">
        <v>640</v>
      </c>
      <c r="C208" s="119" t="s">
        <v>420</v>
      </c>
      <c r="D208" s="120" t="s">
        <v>641</v>
      </c>
      <c r="E208" s="118" t="s">
        <v>213</v>
      </c>
      <c r="F208" s="24" t="s">
        <v>556</v>
      </c>
      <c r="G208" s="24" t="s">
        <v>611</v>
      </c>
      <c r="H208" s="104">
        <v>110000</v>
      </c>
      <c r="I208" s="61">
        <f t="shared" ref="I208" si="83">H208*2.87%</f>
        <v>3157</v>
      </c>
      <c r="J208" s="61">
        <f t="shared" ref="J208" si="84">+H208*3.04%</f>
        <v>3344</v>
      </c>
      <c r="K208" s="61"/>
      <c r="L208" s="8">
        <f>+J208+I208+K208</f>
        <v>6501</v>
      </c>
      <c r="M208" s="8">
        <f>+H208-L208</f>
        <v>103499</v>
      </c>
      <c r="N208" s="8">
        <f t="shared" si="80"/>
        <v>14457.687291666667</v>
      </c>
      <c r="O208" s="8"/>
      <c r="P208" s="67">
        <v>25</v>
      </c>
      <c r="Q208" s="8">
        <f t="shared" si="79"/>
        <v>20983.687291666669</v>
      </c>
      <c r="R208" s="67">
        <f>+H208-Q208</f>
        <v>89016.312708333338</v>
      </c>
    </row>
    <row r="209" spans="1:19" s="2" customFormat="1" ht="26.25" customHeight="1" thickBot="1" x14ac:dyDescent="0.25">
      <c r="A209" s="300" t="s">
        <v>125</v>
      </c>
      <c r="B209" s="301"/>
      <c r="C209" s="224"/>
      <c r="D209" s="224"/>
      <c r="E209" s="224"/>
      <c r="F209" s="224"/>
      <c r="G209" s="224"/>
      <c r="H209" s="148">
        <f>SUM(H205:H208)</f>
        <v>405000</v>
      </c>
      <c r="I209" s="148">
        <f t="shared" ref="I209:R209" si="85">SUM(I205:I208)</f>
        <v>11623.5</v>
      </c>
      <c r="J209" s="148">
        <f t="shared" si="85"/>
        <v>12312</v>
      </c>
      <c r="K209" s="148">
        <f t="shared" si="85"/>
        <v>4791.93</v>
      </c>
      <c r="L209" s="148">
        <f t="shared" si="85"/>
        <v>28727.43</v>
      </c>
      <c r="M209" s="148">
        <f t="shared" si="85"/>
        <v>376272.57</v>
      </c>
      <c r="N209" s="148">
        <f t="shared" si="85"/>
        <v>49190.104208333338</v>
      </c>
      <c r="O209" s="148">
        <f t="shared" si="85"/>
        <v>0</v>
      </c>
      <c r="P209" s="148">
        <f t="shared" si="85"/>
        <v>5153.8099999999995</v>
      </c>
      <c r="Q209" s="148">
        <f t="shared" si="85"/>
        <v>83071.344208333321</v>
      </c>
      <c r="R209" s="148">
        <f t="shared" si="85"/>
        <v>321928.65579166671</v>
      </c>
    </row>
    <row r="210" spans="1:19" s="2" customFormat="1" ht="20.100000000000001" customHeight="1" thickBot="1" x14ac:dyDescent="0.25">
      <c r="A210" s="62"/>
      <c r="B210" s="62"/>
      <c r="C210" s="62"/>
      <c r="D210" s="62"/>
      <c r="E210" s="62"/>
      <c r="F210" s="62"/>
      <c r="G210" s="62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</row>
    <row r="211" spans="1:19" s="2" customFormat="1" ht="24.95" customHeight="1" thickBot="1" x14ac:dyDescent="0.25">
      <c r="A211" s="221" t="s">
        <v>229</v>
      </c>
      <c r="B211" s="222"/>
      <c r="C211" s="222"/>
      <c r="D211" s="222"/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</row>
    <row r="212" spans="1:19" s="2" customFormat="1" ht="24.95" customHeight="1" x14ac:dyDescent="0.2">
      <c r="A212" s="96">
        <f>+A208+1</f>
        <v>85</v>
      </c>
      <c r="B212" s="24" t="s">
        <v>629</v>
      </c>
      <c r="C212" s="12" t="s">
        <v>420</v>
      </c>
      <c r="D212" s="24" t="s">
        <v>394</v>
      </c>
      <c r="E212" s="115" t="s">
        <v>213</v>
      </c>
      <c r="F212" s="24" t="s">
        <v>551</v>
      </c>
      <c r="G212" s="24" t="s">
        <v>614</v>
      </c>
      <c r="H212" s="104">
        <v>50000</v>
      </c>
      <c r="I212" s="5">
        <f>H212*2.87%</f>
        <v>1435</v>
      </c>
      <c r="J212" s="5">
        <f>+H212*3.04%</f>
        <v>1520</v>
      </c>
      <c r="K212" s="5"/>
      <c r="L212" s="8">
        <f>+J212+I212+K212</f>
        <v>2955</v>
      </c>
      <c r="M212" s="8">
        <f>+H212-L212</f>
        <v>47045</v>
      </c>
      <c r="N212" s="8">
        <f>+IF(M212*12&lt;=416220.01,0,IF(M212*12&lt;=624329.01,(((M212*12-416220.01)*0.15)/12),IF((M212*12&lt;=867123.01),(31216+0.2*(M212*12-624329.01))/12,((79776+0.25*(M212*12-867123.01))/12))))-O212</f>
        <v>1853.9998749999997</v>
      </c>
      <c r="O212" s="8"/>
      <c r="P212" s="61">
        <v>25</v>
      </c>
      <c r="Q212" s="8">
        <f>+P212+N212+L212</f>
        <v>4833.9998749999995</v>
      </c>
      <c r="R212" s="67">
        <f>H212-Q212</f>
        <v>45166.000124999999</v>
      </c>
    </row>
    <row r="213" spans="1:19" s="2" customFormat="1" ht="24.95" customHeight="1" thickBot="1" x14ac:dyDescent="0.25">
      <c r="A213" s="300" t="s">
        <v>125</v>
      </c>
      <c r="B213" s="301"/>
      <c r="C213" s="224"/>
      <c r="D213" s="5"/>
      <c r="E213" s="224"/>
      <c r="F213" s="224"/>
      <c r="G213" s="228"/>
      <c r="H213" s="72">
        <f>SUM(H212:H212)</f>
        <v>50000</v>
      </c>
      <c r="I213" s="72">
        <f t="shared" ref="I213:R213" si="86">SUM(I212:I212)</f>
        <v>1435</v>
      </c>
      <c r="J213" s="72">
        <f t="shared" si="86"/>
        <v>1520</v>
      </c>
      <c r="K213" s="72">
        <f t="shared" si="86"/>
        <v>0</v>
      </c>
      <c r="L213" s="72">
        <f t="shared" si="86"/>
        <v>2955</v>
      </c>
      <c r="M213" s="72">
        <f t="shared" si="86"/>
        <v>47045</v>
      </c>
      <c r="N213" s="72">
        <f t="shared" si="86"/>
        <v>1853.9998749999997</v>
      </c>
      <c r="O213" s="72">
        <f t="shared" si="86"/>
        <v>0</v>
      </c>
      <c r="P213" s="72">
        <f t="shared" si="86"/>
        <v>25</v>
      </c>
      <c r="Q213" s="72">
        <f t="shared" si="86"/>
        <v>4833.9998749999995</v>
      </c>
      <c r="R213" s="72">
        <f t="shared" si="86"/>
        <v>45166.000124999999</v>
      </c>
    </row>
    <row r="214" spans="1:19" s="2" customFormat="1" ht="13.5" customHeight="1" thickBot="1" x14ac:dyDescent="0.25">
      <c r="A214" s="62"/>
      <c r="B214" s="62"/>
      <c r="C214" s="62"/>
      <c r="D214" s="62"/>
      <c r="E214" s="62"/>
      <c r="F214" s="62"/>
      <c r="G214" s="62"/>
      <c r="H214" s="132"/>
      <c r="I214" s="132"/>
      <c r="J214" s="132"/>
      <c r="K214" s="132"/>
      <c r="L214" s="132"/>
      <c r="M214" s="132"/>
      <c r="N214" s="132"/>
      <c r="O214" s="132"/>
      <c r="P214" s="132"/>
      <c r="Q214" s="132"/>
      <c r="R214" s="132"/>
    </row>
    <row r="215" spans="1:19" s="2" customFormat="1" ht="24.95" customHeight="1" thickBot="1" x14ac:dyDescent="0.25">
      <c r="A215" s="221" t="s">
        <v>223</v>
      </c>
      <c r="B215" s="222"/>
      <c r="C215" s="222"/>
      <c r="D215" s="222"/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</row>
    <row r="216" spans="1:19" s="2" customFormat="1" ht="24.95" customHeight="1" x14ac:dyDescent="0.2">
      <c r="A216" s="96">
        <f>+A212+1</f>
        <v>86</v>
      </c>
      <c r="B216" s="24" t="s">
        <v>455</v>
      </c>
      <c r="C216" s="12" t="s">
        <v>420</v>
      </c>
      <c r="D216" s="115" t="s">
        <v>456</v>
      </c>
      <c r="E216" s="115" t="s">
        <v>213</v>
      </c>
      <c r="F216" s="24" t="s">
        <v>550</v>
      </c>
      <c r="G216" s="24" t="s">
        <v>612</v>
      </c>
      <c r="H216" s="100">
        <v>135000</v>
      </c>
      <c r="I216" s="100">
        <f>H216*2.87%</f>
        <v>3874.5</v>
      </c>
      <c r="J216" s="100">
        <f>+H216*3.04%</f>
        <v>4104</v>
      </c>
      <c r="K216" s="100"/>
      <c r="L216" s="8">
        <f>+J216+I216+K216</f>
        <v>7978.5</v>
      </c>
      <c r="M216" s="8">
        <f>+H216-L216</f>
        <v>127021.5</v>
      </c>
      <c r="N216" s="8">
        <f>+IF(M216*12&lt;=416220.01,0,IF(M216*12&lt;=624329.01,(((M216*12-416220.01)*0.15)/12),IF((M216*12&lt;=867123.01),(31216+0.2*(M216*12-624329.01))/12,((79776+0.25*(M216*12-867123.01))/12))))</f>
        <v>20338.312291666665</v>
      </c>
      <c r="O216" s="8"/>
      <c r="P216" s="99">
        <v>5125</v>
      </c>
      <c r="Q216" s="8">
        <f>+P216+N216+L216</f>
        <v>33441.812291666662</v>
      </c>
      <c r="R216" s="99">
        <f>+H216-Q216</f>
        <v>101558.18770833334</v>
      </c>
    </row>
    <row r="217" spans="1:19" s="2" customFormat="1" ht="24.95" customHeight="1" x14ac:dyDescent="0.2">
      <c r="A217" s="66">
        <f>+A216+1</f>
        <v>87</v>
      </c>
      <c r="B217" s="120" t="s">
        <v>438</v>
      </c>
      <c r="C217" s="119" t="s">
        <v>420</v>
      </c>
      <c r="D217" s="118" t="s">
        <v>439</v>
      </c>
      <c r="E217" s="115" t="s">
        <v>213</v>
      </c>
      <c r="F217" s="24" t="s">
        <v>603</v>
      </c>
      <c r="G217" s="24" t="s">
        <v>716</v>
      </c>
      <c r="H217" s="61">
        <v>90000</v>
      </c>
      <c r="I217" s="61">
        <f>H217*2.87%</f>
        <v>2583</v>
      </c>
      <c r="J217" s="61">
        <f>+H217*3.04%</f>
        <v>2736</v>
      </c>
      <c r="K217" s="61"/>
      <c r="L217" s="8">
        <f>+J217+I217+K217</f>
        <v>5319</v>
      </c>
      <c r="M217" s="8">
        <f>+H217-L217</f>
        <v>84681</v>
      </c>
      <c r="N217" s="8">
        <f>+IF(M217*12&lt;=416220.01,0,IF(M217*12&lt;=624329.01,(((M217*12-416220.01)*0.15)/12),IF((M217*12&lt;=867123.01),(31216+0.2*(M217*12-624329.01))/12,((79776+0.25*(M217*12-867123.01))/12))))</f>
        <v>9753.1872916666671</v>
      </c>
      <c r="O217" s="8"/>
      <c r="P217" s="99">
        <v>5125</v>
      </c>
      <c r="Q217" s="8">
        <f>+P217+N217+L217</f>
        <v>20197.187291666669</v>
      </c>
      <c r="R217" s="67">
        <f>+H217-Q217</f>
        <v>69802.812708333338</v>
      </c>
    </row>
    <row r="218" spans="1:19" s="2" customFormat="1" ht="24.95" customHeight="1" x14ac:dyDescent="0.2">
      <c r="A218" s="96">
        <f>+A217+1</f>
        <v>88</v>
      </c>
      <c r="B218" s="24" t="s">
        <v>518</v>
      </c>
      <c r="C218" s="12" t="s">
        <v>420</v>
      </c>
      <c r="D218" s="98" t="s">
        <v>439</v>
      </c>
      <c r="E218" s="115" t="s">
        <v>213</v>
      </c>
      <c r="F218" s="24" t="s">
        <v>556</v>
      </c>
      <c r="G218" s="24" t="s">
        <v>611</v>
      </c>
      <c r="H218" s="104">
        <v>70000</v>
      </c>
      <c r="I218" s="5">
        <f>H218*2.87%</f>
        <v>2009</v>
      </c>
      <c r="J218" s="5">
        <f>+H218*3.04%</f>
        <v>2128</v>
      </c>
      <c r="K218" s="5"/>
      <c r="L218" s="8">
        <f>+J218+I218+K218</f>
        <v>4137</v>
      </c>
      <c r="M218" s="8">
        <f>+H218-L218</f>
        <v>65863</v>
      </c>
      <c r="N218" s="8">
        <v>5368.45</v>
      </c>
      <c r="O218" s="8">
        <v>5368.45</v>
      </c>
      <c r="P218" s="61">
        <v>25</v>
      </c>
      <c r="Q218" s="8">
        <f>+P218+N218+L218</f>
        <v>9530.4500000000007</v>
      </c>
      <c r="R218" s="67">
        <f>H218-Q218</f>
        <v>60469.55</v>
      </c>
    </row>
    <row r="219" spans="1:19" s="2" customFormat="1" ht="24.95" customHeight="1" thickBot="1" x14ac:dyDescent="0.25">
      <c r="A219" s="300" t="s">
        <v>125</v>
      </c>
      <c r="B219" s="301"/>
      <c r="C219" s="224"/>
      <c r="D219" s="224"/>
      <c r="E219" s="224"/>
      <c r="F219" s="224"/>
      <c r="G219" s="228"/>
      <c r="H219" s="72">
        <f>SUM(H216:H218)</f>
        <v>295000</v>
      </c>
      <c r="I219" s="72">
        <f t="shared" ref="I219:R219" si="87">SUM(I216:I218)</f>
        <v>8466.5</v>
      </c>
      <c r="J219" s="72">
        <f t="shared" si="87"/>
        <v>8968</v>
      </c>
      <c r="K219" s="72">
        <f t="shared" si="87"/>
        <v>0</v>
      </c>
      <c r="L219" s="72">
        <f t="shared" si="87"/>
        <v>17434.5</v>
      </c>
      <c r="M219" s="72">
        <f t="shared" si="87"/>
        <v>277565.5</v>
      </c>
      <c r="N219" s="72">
        <f t="shared" si="87"/>
        <v>35459.949583333328</v>
      </c>
      <c r="O219" s="72">
        <f t="shared" si="87"/>
        <v>5368.45</v>
      </c>
      <c r="P219" s="72">
        <f t="shared" si="87"/>
        <v>10275</v>
      </c>
      <c r="Q219" s="72">
        <f t="shared" si="87"/>
        <v>63169.449583333335</v>
      </c>
      <c r="R219" s="72">
        <f t="shared" si="87"/>
        <v>231830.55041666667</v>
      </c>
    </row>
    <row r="220" spans="1:19" s="2" customFormat="1" ht="11.25" customHeight="1" thickBot="1" x14ac:dyDescent="0.25">
      <c r="A220" s="189"/>
      <c r="B220" s="189"/>
      <c r="C220" s="189"/>
      <c r="D220" s="189"/>
      <c r="E220" s="189"/>
      <c r="F220" s="189"/>
      <c r="G220" s="189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</row>
    <row r="221" spans="1:19" s="68" customFormat="1" ht="26.25" customHeight="1" thickBot="1" x14ac:dyDescent="0.25">
      <c r="A221" s="221" t="s">
        <v>21</v>
      </c>
      <c r="B221" s="222"/>
      <c r="C221" s="222"/>
      <c r="D221" s="222"/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"/>
    </row>
    <row r="222" spans="1:19" s="68" customFormat="1" ht="29.25" customHeight="1" x14ac:dyDescent="0.2">
      <c r="A222" s="149">
        <f>+A218+1</f>
        <v>89</v>
      </c>
      <c r="B222" s="150" t="s">
        <v>578</v>
      </c>
      <c r="C222" s="151" t="s">
        <v>420</v>
      </c>
      <c r="D222" s="150" t="s">
        <v>579</v>
      </c>
      <c r="E222" s="97" t="s">
        <v>213</v>
      </c>
      <c r="F222" s="98" t="s">
        <v>580</v>
      </c>
      <c r="G222" s="98" t="s">
        <v>660</v>
      </c>
      <c r="H222" s="100">
        <v>170000</v>
      </c>
      <c r="I222" s="100">
        <f>H222*2.87%</f>
        <v>4879</v>
      </c>
      <c r="J222" s="100">
        <f>+H222*3.04%</f>
        <v>5168</v>
      </c>
      <c r="K222" s="100">
        <v>1597.31</v>
      </c>
      <c r="L222" s="8">
        <f>+J222+I222+K222</f>
        <v>11644.31</v>
      </c>
      <c r="M222" s="8">
        <f>+H222-L222</f>
        <v>158355.69</v>
      </c>
      <c r="N222" s="8">
        <f>+IF(M222*12&lt;=416220.01,0,IF(M222*12&lt;=624329.01,(((M222*12-416220.01)*0.15)/12),IF((M222*12&lt;=867123.01),(31216+0.2*(M222*12-624329.01))/12,((79776+0.25*(M222*12-867123.01))/12))))</f>
        <v>28171.859791666666</v>
      </c>
      <c r="O222" s="8"/>
      <c r="P222" s="99">
        <v>25</v>
      </c>
      <c r="Q222" s="8">
        <f>+P222+N222+L222</f>
        <v>39841.169791666667</v>
      </c>
      <c r="R222" s="99">
        <f>+H222-Q222</f>
        <v>130158.83020833333</v>
      </c>
      <c r="S222" s="2"/>
    </row>
    <row r="223" spans="1:19" ht="18" customHeight="1" x14ac:dyDescent="0.2">
      <c r="A223" s="300" t="s">
        <v>125</v>
      </c>
      <c r="B223" s="301"/>
      <c r="C223" s="224"/>
      <c r="D223" s="224"/>
      <c r="E223" s="224"/>
      <c r="F223" s="224"/>
      <c r="G223" s="223"/>
      <c r="H223" s="14">
        <f>SUM(H222:H222)</f>
        <v>170000</v>
      </c>
      <c r="I223" s="14">
        <f t="shared" ref="I223:R223" si="88">SUM(I222:I222)</f>
        <v>4879</v>
      </c>
      <c r="J223" s="14">
        <f t="shared" si="88"/>
        <v>5168</v>
      </c>
      <c r="K223" s="14">
        <f t="shared" si="88"/>
        <v>1597.31</v>
      </c>
      <c r="L223" s="14">
        <f t="shared" si="88"/>
        <v>11644.31</v>
      </c>
      <c r="M223" s="14">
        <f t="shared" si="88"/>
        <v>158355.69</v>
      </c>
      <c r="N223" s="14">
        <f t="shared" si="88"/>
        <v>28171.859791666666</v>
      </c>
      <c r="O223" s="14">
        <f t="shared" si="88"/>
        <v>0</v>
      </c>
      <c r="P223" s="14">
        <f t="shared" si="88"/>
        <v>25</v>
      </c>
      <c r="Q223" s="14">
        <f t="shared" si="88"/>
        <v>39841.169791666667</v>
      </c>
      <c r="R223" s="14">
        <f t="shared" si="88"/>
        <v>130158.83020833333</v>
      </c>
    </row>
    <row r="224" spans="1:19" s="68" customFormat="1" ht="26.25" customHeight="1" thickBot="1" x14ac:dyDescent="0.25">
      <c r="A224" s="62"/>
      <c r="B224" s="62"/>
      <c r="C224" s="62"/>
      <c r="D224" s="62"/>
      <c r="E224" s="62"/>
      <c r="F224" s="62"/>
      <c r="G224" s="62"/>
      <c r="H224"/>
      <c r="I224"/>
      <c r="J224"/>
      <c r="K224"/>
      <c r="L224"/>
      <c r="M224"/>
      <c r="N224"/>
      <c r="O224"/>
      <c r="P224"/>
      <c r="Q224"/>
      <c r="R224"/>
      <c r="S224" s="2"/>
    </row>
    <row r="225" spans="1:19" s="68" customFormat="1" ht="26.25" customHeight="1" thickBot="1" x14ac:dyDescent="0.25">
      <c r="A225" s="221" t="s">
        <v>395</v>
      </c>
      <c r="B225" s="222"/>
      <c r="C225" s="222"/>
      <c r="D225" s="222"/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"/>
    </row>
    <row r="226" spans="1:19" s="68" customFormat="1" ht="29.25" customHeight="1" x14ac:dyDescent="0.2">
      <c r="A226" s="149">
        <f>+A222+1</f>
        <v>90</v>
      </c>
      <c r="B226" s="150" t="s">
        <v>396</v>
      </c>
      <c r="C226" s="151" t="s">
        <v>420</v>
      </c>
      <c r="D226" s="150" t="s">
        <v>151</v>
      </c>
      <c r="E226" s="97" t="s">
        <v>213</v>
      </c>
      <c r="F226" s="98" t="s">
        <v>620</v>
      </c>
      <c r="G226" s="98" t="s">
        <v>727</v>
      </c>
      <c r="H226" s="100">
        <v>155000</v>
      </c>
      <c r="I226" s="100">
        <f>H226*2.87%</f>
        <v>4448.5</v>
      </c>
      <c r="J226" s="100">
        <f>+H226*3.04%</f>
        <v>4712</v>
      </c>
      <c r="K226" s="100">
        <v>1597.31</v>
      </c>
      <c r="L226" s="8">
        <f>+J226+I226+K226</f>
        <v>10757.81</v>
      </c>
      <c r="M226" s="8">
        <f>+H226-L226</f>
        <v>144242.19</v>
      </c>
      <c r="N226" s="8">
        <f>+IF(M226*12&lt;=416220.01,0,IF(M226*12&lt;=624329.01,(((M226*12-416220.01)*0.15)/12),IF((M226*12&lt;=867123.01),(31216+0.2*(M226*12-624329.01))/12,((79776+0.25*(M226*12-867123.01))/12))))</f>
        <v>24643.484791666666</v>
      </c>
      <c r="O226" s="8"/>
      <c r="P226" s="99">
        <v>7025</v>
      </c>
      <c r="Q226" s="8">
        <f>+P226+N226+L226</f>
        <v>42426.294791666667</v>
      </c>
      <c r="R226" s="99">
        <f>+H226-Q226</f>
        <v>112573.70520833333</v>
      </c>
      <c r="S226" s="2"/>
    </row>
    <row r="227" spans="1:19" ht="18" customHeight="1" x14ac:dyDescent="0.2">
      <c r="A227" s="300" t="s">
        <v>125</v>
      </c>
      <c r="B227" s="301"/>
      <c r="C227" s="224"/>
      <c r="D227" s="224"/>
      <c r="E227" s="224"/>
      <c r="F227" s="224"/>
      <c r="G227" s="223"/>
      <c r="H227" s="14">
        <f>SUM(H226:H226)</f>
        <v>155000</v>
      </c>
      <c r="I227" s="14">
        <f t="shared" ref="I227:R227" si="89">SUM(I226:I226)</f>
        <v>4448.5</v>
      </c>
      <c r="J227" s="14">
        <f t="shared" si="89"/>
        <v>4712</v>
      </c>
      <c r="K227" s="14">
        <f t="shared" si="89"/>
        <v>1597.31</v>
      </c>
      <c r="L227" s="14">
        <f t="shared" si="89"/>
        <v>10757.81</v>
      </c>
      <c r="M227" s="14">
        <f t="shared" si="89"/>
        <v>144242.19</v>
      </c>
      <c r="N227" s="14">
        <f t="shared" si="89"/>
        <v>24643.484791666666</v>
      </c>
      <c r="O227" s="14">
        <f t="shared" si="89"/>
        <v>0</v>
      </c>
      <c r="P227" s="14">
        <f t="shared" si="89"/>
        <v>7025</v>
      </c>
      <c r="Q227" s="14">
        <f t="shared" si="89"/>
        <v>42426.294791666667</v>
      </c>
      <c r="R227" s="14">
        <f t="shared" si="89"/>
        <v>112573.70520833333</v>
      </c>
    </row>
    <row r="228" spans="1:19" s="68" customFormat="1" ht="26.25" customHeight="1" thickBot="1" x14ac:dyDescent="0.25">
      <c r="A228" s="62"/>
      <c r="B228" s="62"/>
      <c r="C228" s="62"/>
      <c r="D228" s="62"/>
      <c r="E228" s="62"/>
      <c r="F228" s="62"/>
      <c r="G228" s="62"/>
      <c r="H228"/>
      <c r="I228"/>
      <c r="J228"/>
      <c r="K228"/>
      <c r="L228"/>
      <c r="M228"/>
      <c r="N228"/>
      <c r="O228"/>
      <c r="P228"/>
      <c r="Q228"/>
      <c r="R228"/>
      <c r="S228" s="2"/>
    </row>
    <row r="229" spans="1:19" s="2" customFormat="1" ht="27.75" customHeight="1" thickBot="1" x14ac:dyDescent="0.25">
      <c r="A229" s="201" t="s">
        <v>445</v>
      </c>
      <c r="B229" s="202"/>
      <c r="C229" s="202"/>
      <c r="D229" s="202"/>
      <c r="E229" s="202"/>
      <c r="F229" s="202"/>
      <c r="G229" s="202"/>
      <c r="H229" s="202"/>
      <c r="I229" s="202"/>
      <c r="J229" s="202"/>
      <c r="K229" s="202"/>
      <c r="L229" s="202"/>
      <c r="M229" s="202"/>
      <c r="N229" s="202"/>
      <c r="O229" s="202"/>
      <c r="P229" s="202"/>
      <c r="Q229" s="202"/>
      <c r="R229" s="202"/>
    </row>
    <row r="230" spans="1:19" s="2" customFormat="1" ht="24.95" customHeight="1" x14ac:dyDescent="0.2">
      <c r="A230" s="12">
        <f>+A226+1</f>
        <v>91</v>
      </c>
      <c r="B230" s="59" t="s">
        <v>440</v>
      </c>
      <c r="C230" s="145" t="s">
        <v>420</v>
      </c>
      <c r="D230" s="116" t="s">
        <v>441</v>
      </c>
      <c r="E230" s="115" t="s">
        <v>213</v>
      </c>
      <c r="F230" s="24" t="s">
        <v>603</v>
      </c>
      <c r="G230" s="24" t="s">
        <v>716</v>
      </c>
      <c r="H230" s="61">
        <v>70000</v>
      </c>
      <c r="I230" s="100">
        <f>H230*2.87%</f>
        <v>2009</v>
      </c>
      <c r="J230" s="100">
        <f>+H230*3.04%</f>
        <v>2128</v>
      </c>
      <c r="K230" s="100"/>
      <c r="L230" s="8">
        <f>+J230+I230+K230</f>
        <v>4137</v>
      </c>
      <c r="M230" s="8">
        <f>+H230-L230</f>
        <v>65863</v>
      </c>
      <c r="N230" s="8">
        <f>+IF(M230*12&lt;=416220.01,0,IF(M230*12&lt;=624329.01,(((M230*12-416220.01)*0.15)/12),IF((M230*12&lt;=867123.01),(31216+0.2*(M230*12-624329.01))/12,((79776+0.25*(M230*12-867123.01))/12))))-O230</f>
        <v>5368.4498333333331</v>
      </c>
      <c r="O230" s="8">
        <v>0</v>
      </c>
      <c r="P230" s="99">
        <v>2025</v>
      </c>
      <c r="Q230" s="8">
        <f>+P230+N230+L230</f>
        <v>11530.449833333332</v>
      </c>
      <c r="R230" s="99">
        <f>+H230-Q230</f>
        <v>58469.550166666668</v>
      </c>
    </row>
    <row r="231" spans="1:19" s="102" customFormat="1" ht="24.95" customHeight="1" x14ac:dyDescent="0.2">
      <c r="A231" s="300" t="s">
        <v>125</v>
      </c>
      <c r="B231" s="301"/>
      <c r="C231" s="223"/>
      <c r="D231" s="223"/>
      <c r="E231" s="223"/>
      <c r="F231" s="223"/>
      <c r="G231" s="223"/>
      <c r="H231" s="14">
        <f>SUM(H230:H230)</f>
        <v>70000</v>
      </c>
      <c r="I231" s="14">
        <f t="shared" ref="I231:R231" si="90">SUM(I230:I230)</f>
        <v>2009</v>
      </c>
      <c r="J231" s="14">
        <f t="shared" si="90"/>
        <v>2128</v>
      </c>
      <c r="K231" s="14">
        <f t="shared" si="90"/>
        <v>0</v>
      </c>
      <c r="L231" s="14">
        <f t="shared" si="90"/>
        <v>4137</v>
      </c>
      <c r="M231" s="14">
        <f t="shared" si="90"/>
        <v>65863</v>
      </c>
      <c r="N231" s="14">
        <f t="shared" si="90"/>
        <v>5368.4498333333331</v>
      </c>
      <c r="O231" s="14">
        <f t="shared" si="90"/>
        <v>0</v>
      </c>
      <c r="P231" s="14">
        <f t="shared" si="90"/>
        <v>2025</v>
      </c>
      <c r="Q231" s="14">
        <f t="shared" si="90"/>
        <v>11530.449833333332</v>
      </c>
      <c r="R231" s="14">
        <f t="shared" si="90"/>
        <v>58469.550166666668</v>
      </c>
      <c r="S231" s="1"/>
    </row>
    <row r="232" spans="1:19" s="102" customFormat="1" ht="24.95" customHeight="1" thickBot="1" x14ac:dyDescent="0.25">
      <c r="A232" s="195"/>
      <c r="B232" s="195"/>
      <c r="C232" s="195"/>
      <c r="D232" s="195"/>
      <c r="E232" s="195"/>
      <c r="F232" s="195"/>
      <c r="G232" s="195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1"/>
    </row>
    <row r="233" spans="1:19" s="2" customFormat="1" ht="24.95" customHeight="1" thickBot="1" x14ac:dyDescent="0.25">
      <c r="A233" s="221" t="s">
        <v>446</v>
      </c>
      <c r="B233" s="222"/>
      <c r="C233" s="222"/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</row>
    <row r="234" spans="1:19" s="2" customFormat="1" ht="24.95" customHeight="1" x14ac:dyDescent="0.2">
      <c r="A234" s="12">
        <f>+A230+1</f>
        <v>92</v>
      </c>
      <c r="B234" s="59" t="s">
        <v>675</v>
      </c>
      <c r="C234" s="145" t="s">
        <v>421</v>
      </c>
      <c r="D234" s="116" t="s">
        <v>225</v>
      </c>
      <c r="E234" s="115" t="s">
        <v>213</v>
      </c>
      <c r="F234" s="24" t="s">
        <v>605</v>
      </c>
      <c r="G234" s="115" t="s">
        <v>658</v>
      </c>
      <c r="H234" s="100">
        <v>70000</v>
      </c>
      <c r="I234" s="100">
        <f>H234*2.87%</f>
        <v>2009</v>
      </c>
      <c r="J234" s="100">
        <f>+H234*3.04%</f>
        <v>2128</v>
      </c>
      <c r="K234" s="100"/>
      <c r="L234" s="8">
        <f>+J234+I234+K234</f>
        <v>4137</v>
      </c>
      <c r="M234" s="8">
        <f>+H234-L234</f>
        <v>65863</v>
      </c>
      <c r="N234" s="8">
        <f>+IF(M234*12&lt;=416220.01,0,IF(M234*12&lt;=624329.01,(((M234*12-416220.01)*0.15)/12),IF((M234*12&lt;=867123.01),(31216+0.2*(M234*12-624329.01))/12,((79776+0.25*(M234*12-867123.01))/12))))</f>
        <v>5368.4498333333331</v>
      </c>
      <c r="O234" s="8"/>
      <c r="P234" s="99">
        <v>25</v>
      </c>
      <c r="Q234" s="8">
        <f>+P234+N234+L234</f>
        <v>9530.4498333333322</v>
      </c>
      <c r="R234" s="99">
        <f>+H234-Q234</f>
        <v>60469.550166666668</v>
      </c>
    </row>
    <row r="235" spans="1:19" s="2" customFormat="1" ht="24.95" customHeight="1" x14ac:dyDescent="0.2">
      <c r="A235" s="96">
        <f>+A234+1</f>
        <v>93</v>
      </c>
      <c r="B235" s="59" t="s">
        <v>543</v>
      </c>
      <c r="C235" s="145" t="s">
        <v>420</v>
      </c>
      <c r="D235" s="116" t="s">
        <v>225</v>
      </c>
      <c r="E235" s="115" t="s">
        <v>213</v>
      </c>
      <c r="F235" s="103" t="s">
        <v>608</v>
      </c>
      <c r="G235" s="103" t="s">
        <v>682</v>
      </c>
      <c r="H235" s="100">
        <v>70000</v>
      </c>
      <c r="I235" s="100">
        <f>H235*2.87%</f>
        <v>2009</v>
      </c>
      <c r="J235" s="100">
        <f>+H235*3.04%</f>
        <v>2128</v>
      </c>
      <c r="K235" s="100"/>
      <c r="L235" s="8">
        <f>+J235+I235+K235</f>
        <v>4137</v>
      </c>
      <c r="M235" s="8">
        <f>+H235-L235</f>
        <v>65863</v>
      </c>
      <c r="N235" s="8">
        <f>+IF(M235*12&lt;=416220.01,0,IF(M235*12&lt;=624329.01,(((M235*12-416220.01)*0.15)/12),IF((M235*12&lt;=867123.01),(31216+0.2*(M235*12-624329.01))/12,((79776+0.25*(M235*12-867123.01))/12))))</f>
        <v>5368.4498333333331</v>
      </c>
      <c r="O235" s="8"/>
      <c r="P235" s="99">
        <v>25</v>
      </c>
      <c r="Q235" s="8">
        <f>+P235+N235+L235</f>
        <v>9530.4498333333322</v>
      </c>
      <c r="R235" s="99">
        <f>H235-Q235</f>
        <v>60469.550166666668</v>
      </c>
    </row>
    <row r="236" spans="1:19" s="2" customFormat="1" ht="26.25" customHeight="1" x14ac:dyDescent="0.2">
      <c r="A236" s="300" t="s">
        <v>125</v>
      </c>
      <c r="B236" s="301"/>
      <c r="C236" s="223"/>
      <c r="D236" s="223"/>
      <c r="E236" s="223"/>
      <c r="F236" s="223"/>
      <c r="G236" s="223"/>
      <c r="H236" s="14">
        <f>SUM(H234:H235)</f>
        <v>140000</v>
      </c>
      <c r="I236" s="14">
        <f t="shared" ref="I236:R236" si="91">SUM(I234:I235)</f>
        <v>4018</v>
      </c>
      <c r="J236" s="14">
        <f t="shared" si="91"/>
        <v>4256</v>
      </c>
      <c r="K236" s="14">
        <f t="shared" si="91"/>
        <v>0</v>
      </c>
      <c r="L236" s="14">
        <f t="shared" si="91"/>
        <v>8274</v>
      </c>
      <c r="M236" s="14">
        <f t="shared" si="91"/>
        <v>131726</v>
      </c>
      <c r="N236" s="14">
        <f t="shared" si="91"/>
        <v>10736.899666666666</v>
      </c>
      <c r="O236" s="14">
        <f t="shared" si="91"/>
        <v>0</v>
      </c>
      <c r="P236" s="14">
        <f t="shared" si="91"/>
        <v>50</v>
      </c>
      <c r="Q236" s="14">
        <f t="shared" si="91"/>
        <v>19060.899666666664</v>
      </c>
      <c r="R236" s="14">
        <f t="shared" si="91"/>
        <v>120939.10033333334</v>
      </c>
    </row>
    <row r="237" spans="1:19" s="2" customFormat="1" ht="20.25" customHeight="1" thickBot="1" x14ac:dyDescent="0.25">
      <c r="A237" s="62"/>
      <c r="B237" s="62"/>
      <c r="C237" s="62"/>
      <c r="D237" s="62"/>
      <c r="E237" s="62"/>
      <c r="F237" s="62"/>
      <c r="G237" s="62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</row>
    <row r="238" spans="1:19" s="2" customFormat="1" ht="23.25" customHeight="1" thickBot="1" x14ac:dyDescent="0.25">
      <c r="A238" s="201" t="s">
        <v>338</v>
      </c>
      <c r="B238" s="202"/>
      <c r="C238" s="202"/>
      <c r="D238" s="202"/>
      <c r="E238" s="202"/>
      <c r="F238" s="202"/>
      <c r="G238" s="202"/>
      <c r="H238" s="202"/>
      <c r="I238" s="202"/>
      <c r="J238" s="202"/>
      <c r="K238" s="202"/>
      <c r="L238" s="202"/>
      <c r="M238" s="202"/>
      <c r="N238" s="202"/>
      <c r="O238" s="202"/>
      <c r="P238" s="202"/>
      <c r="Q238" s="202"/>
      <c r="R238" s="202"/>
    </row>
    <row r="239" spans="1:19" s="2" customFormat="1" ht="24.95" customHeight="1" x14ac:dyDescent="0.2">
      <c r="A239" s="96">
        <f>A235+1</f>
        <v>94</v>
      </c>
      <c r="B239" s="59" t="s">
        <v>402</v>
      </c>
      <c r="C239" s="145" t="s">
        <v>420</v>
      </c>
      <c r="D239" s="116" t="s">
        <v>365</v>
      </c>
      <c r="E239" s="115" t="s">
        <v>213</v>
      </c>
      <c r="F239" s="98" t="s">
        <v>603</v>
      </c>
      <c r="G239" s="98" t="s">
        <v>716</v>
      </c>
      <c r="H239" s="61">
        <v>70000</v>
      </c>
      <c r="I239" s="100">
        <f>H239*2.87%</f>
        <v>2009</v>
      </c>
      <c r="J239" s="100">
        <f>+H239*3.04%</f>
        <v>2128</v>
      </c>
      <c r="K239" s="100"/>
      <c r="L239" s="8">
        <f>+J239+I239+K239</f>
        <v>4137</v>
      </c>
      <c r="M239" s="8">
        <f>+H239-L239</f>
        <v>65863</v>
      </c>
      <c r="N239" s="8">
        <f>+IF(M239*12&lt;=416220.01,0,IF(M239*12&lt;=624329.01,(((M239*12-416220.01)*0.15)/12),IF((M239*12&lt;=867123.01),(31216+0.2*(M239*12-624329.01))/12,((79776+0.25*(M239*12-867123.01))/12))))-O239</f>
        <v>5368.4498333333331</v>
      </c>
      <c r="O239" s="8"/>
      <c r="P239" s="99">
        <v>125</v>
      </c>
      <c r="Q239" s="8">
        <f>+P239+N239+L239</f>
        <v>9630.4498333333322</v>
      </c>
      <c r="R239" s="99">
        <f>+H239-Q239</f>
        <v>60369.550166666668</v>
      </c>
    </row>
    <row r="240" spans="1:19" ht="25.15" customHeight="1" x14ac:dyDescent="0.2">
      <c r="A240" s="96">
        <f>+A239+1</f>
        <v>95</v>
      </c>
      <c r="B240" s="59" t="s">
        <v>406</v>
      </c>
      <c r="C240" s="145" t="s">
        <v>421</v>
      </c>
      <c r="D240" s="116" t="s">
        <v>365</v>
      </c>
      <c r="E240" s="115" t="s">
        <v>213</v>
      </c>
      <c r="F240" s="24" t="s">
        <v>556</v>
      </c>
      <c r="G240" s="24" t="s">
        <v>611</v>
      </c>
      <c r="H240" s="100">
        <v>70000</v>
      </c>
      <c r="I240" s="100">
        <f>H240*2.87%</f>
        <v>2009</v>
      </c>
      <c r="J240" s="100">
        <f>+H240*3.04%</f>
        <v>2128</v>
      </c>
      <c r="K240" s="100">
        <v>1597.31</v>
      </c>
      <c r="L240" s="8">
        <f>+J240+I240+K240</f>
        <v>5734.3099999999995</v>
      </c>
      <c r="M240" s="8">
        <f>+H240-L240</f>
        <v>64265.69</v>
      </c>
      <c r="N240" s="8">
        <f>+IF(M240*12&lt;=416220.01,0,IF(M240*12&lt;=624329.01,(((M240*12-416220.01)*0.15)/12),IF((M240*12&lt;=867123.01),(31216+0.2*(M240*12-624329.01))/12,((79776+0.25*(M240*12-867123.01))/12))))-O240</f>
        <v>5048.9878333333336</v>
      </c>
      <c r="O240" s="8">
        <v>0</v>
      </c>
      <c r="P240" s="99">
        <v>125</v>
      </c>
      <c r="Q240" s="8">
        <f>+P240+N240+L240</f>
        <v>10908.297833333334</v>
      </c>
      <c r="R240" s="99">
        <f>+H240-Q240</f>
        <v>59091.70216666667</v>
      </c>
    </row>
    <row r="241" spans="1:19" s="2" customFormat="1" ht="24" customHeight="1" x14ac:dyDescent="0.2">
      <c r="A241" s="300" t="s">
        <v>125</v>
      </c>
      <c r="B241" s="301"/>
      <c r="C241" s="223"/>
      <c r="D241" s="223"/>
      <c r="E241" s="223"/>
      <c r="F241" s="223"/>
      <c r="G241" s="223"/>
      <c r="H241" s="14">
        <f>SUM(H239:H240)</f>
        <v>140000</v>
      </c>
      <c r="I241" s="14">
        <f t="shared" ref="I241:R241" si="92">SUM(I239:I240)</f>
        <v>4018</v>
      </c>
      <c r="J241" s="14">
        <f t="shared" si="92"/>
        <v>4256</v>
      </c>
      <c r="K241" s="14">
        <f t="shared" si="92"/>
        <v>1597.31</v>
      </c>
      <c r="L241" s="14">
        <f t="shared" si="92"/>
        <v>9871.31</v>
      </c>
      <c r="M241" s="14">
        <f t="shared" si="92"/>
        <v>130128.69</v>
      </c>
      <c r="N241" s="14">
        <f t="shared" si="92"/>
        <v>10417.437666666667</v>
      </c>
      <c r="O241" s="14">
        <f t="shared" si="92"/>
        <v>0</v>
      </c>
      <c r="P241" s="14">
        <f t="shared" si="92"/>
        <v>250</v>
      </c>
      <c r="Q241" s="14">
        <f t="shared" si="92"/>
        <v>20538.747666666666</v>
      </c>
      <c r="R241" s="14">
        <f t="shared" si="92"/>
        <v>119461.25233333334</v>
      </c>
    </row>
    <row r="242" spans="1:19" s="2" customFormat="1" ht="24.75" customHeight="1" thickBot="1" x14ac:dyDescent="0.25">
      <c r="A242" s="62"/>
      <c r="B242" s="62"/>
      <c r="C242" s="62"/>
      <c r="D242" s="62"/>
      <c r="E242" s="62"/>
      <c r="F242" s="62"/>
      <c r="G242" s="62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</row>
    <row r="243" spans="1:19" s="2" customFormat="1" ht="23.25" customHeight="1" thickBot="1" x14ac:dyDescent="0.25">
      <c r="A243" s="201" t="s">
        <v>364</v>
      </c>
      <c r="B243" s="202"/>
      <c r="C243" s="202"/>
      <c r="D243" s="202"/>
      <c r="E243" s="202"/>
      <c r="F243" s="202"/>
      <c r="G243" s="202"/>
      <c r="H243" s="202"/>
      <c r="I243" s="202"/>
      <c r="J243" s="202"/>
      <c r="K243" s="202"/>
      <c r="L243" s="202"/>
      <c r="M243" s="202"/>
      <c r="N243" s="202"/>
      <c r="O243" s="202"/>
      <c r="P243" s="202"/>
      <c r="Q243" s="202"/>
      <c r="R243" s="202"/>
    </row>
    <row r="244" spans="1:19" s="2" customFormat="1" ht="33" customHeight="1" x14ac:dyDescent="0.2">
      <c r="A244" s="96">
        <f>+A240+1</f>
        <v>96</v>
      </c>
      <c r="B244" s="59" t="s">
        <v>403</v>
      </c>
      <c r="C244" s="145" t="s">
        <v>420</v>
      </c>
      <c r="D244" s="116" t="s">
        <v>366</v>
      </c>
      <c r="E244" s="115" t="s">
        <v>213</v>
      </c>
      <c r="F244" s="98" t="s">
        <v>603</v>
      </c>
      <c r="G244" s="98" t="s">
        <v>716</v>
      </c>
      <c r="H244" s="61">
        <v>90000</v>
      </c>
      <c r="I244" s="100">
        <f>H244*2.87%</f>
        <v>2583</v>
      </c>
      <c r="J244" s="100">
        <f>+H244*3.04%</f>
        <v>2736</v>
      </c>
      <c r="K244" s="100"/>
      <c r="L244" s="8">
        <f>+J244+I244+K244</f>
        <v>5319</v>
      </c>
      <c r="M244" s="8">
        <f>+H244-L244</f>
        <v>84681</v>
      </c>
      <c r="N244" s="8">
        <f>+IF(M244*12&lt;=416220.01,0,IF(M244*12&lt;=624329.01,(((M244*12-416220.01)*0.15)/12),IF((M244*12&lt;=867123.01),(31216+0.2*(M244*12-624329.01))/12,((79776+0.25*(M244*12-867123.01))/12))))</f>
        <v>9753.1872916666671</v>
      </c>
      <c r="O244" s="8"/>
      <c r="P244" s="99">
        <v>125</v>
      </c>
      <c r="Q244" s="8">
        <f>+P244+N244+L244</f>
        <v>15197.187291666667</v>
      </c>
      <c r="R244" s="99">
        <f>+H244-Q244</f>
        <v>74802.812708333338</v>
      </c>
    </row>
    <row r="245" spans="1:19" s="2" customFormat="1" ht="33" customHeight="1" x14ac:dyDescent="0.2">
      <c r="A245" s="96">
        <f>+A244+1</f>
        <v>97</v>
      </c>
      <c r="B245" s="59" t="s">
        <v>676</v>
      </c>
      <c r="C245" s="145" t="s">
        <v>421</v>
      </c>
      <c r="D245" s="116" t="s">
        <v>686</v>
      </c>
      <c r="E245" s="115" t="s">
        <v>213</v>
      </c>
      <c r="F245" s="24" t="s">
        <v>605</v>
      </c>
      <c r="G245" s="115" t="s">
        <v>658</v>
      </c>
      <c r="H245" s="61">
        <v>45000</v>
      </c>
      <c r="I245" s="100">
        <f>H245*2.87%</f>
        <v>1291.5</v>
      </c>
      <c r="J245" s="100">
        <f>+H245*3.04%</f>
        <v>1368</v>
      </c>
      <c r="K245" s="100"/>
      <c r="L245" s="8">
        <f>+J245+I245+K245</f>
        <v>2659.5</v>
      </c>
      <c r="M245" s="8">
        <f>+H245-L245</f>
        <v>42340.5</v>
      </c>
      <c r="N245" s="8">
        <f>+IF(M245*12&lt;=416220.01,0,IF(M245*12&lt;=624329.01,(((M245*12-416220.01)*0.15)/12),IF((M245*12&lt;=867123.01),(31216+0.2*(M245*12-624329.01))/12,((79776+0.25*(M245*12-867123.01))/12))))</f>
        <v>1148.3248749999998</v>
      </c>
      <c r="O245" s="8"/>
      <c r="P245" s="99">
        <v>25</v>
      </c>
      <c r="Q245" s="8">
        <f>+P245+N245+L245</f>
        <v>3832.8248749999998</v>
      </c>
      <c r="R245" s="99">
        <f>+H245-Q245</f>
        <v>41167.175125000002</v>
      </c>
    </row>
    <row r="246" spans="1:19" s="2" customFormat="1" ht="23.25" customHeight="1" x14ac:dyDescent="0.2">
      <c r="A246" s="300" t="s">
        <v>125</v>
      </c>
      <c r="B246" s="301"/>
      <c r="C246" s="223"/>
      <c r="D246" s="223"/>
      <c r="E246" s="223"/>
      <c r="F246" s="223"/>
      <c r="G246" s="223"/>
      <c r="H246" s="14">
        <f>SUM(H244:H245)</f>
        <v>135000</v>
      </c>
      <c r="I246" s="14">
        <f t="shared" ref="I246:R246" si="93">SUM(I244:I245)</f>
        <v>3874.5</v>
      </c>
      <c r="J246" s="14">
        <f t="shared" si="93"/>
        <v>4104</v>
      </c>
      <c r="K246" s="14">
        <f t="shared" si="93"/>
        <v>0</v>
      </c>
      <c r="L246" s="14">
        <f t="shared" si="93"/>
        <v>7978.5</v>
      </c>
      <c r="M246" s="14">
        <f t="shared" si="93"/>
        <v>127021.5</v>
      </c>
      <c r="N246" s="14">
        <f t="shared" si="93"/>
        <v>10901.512166666667</v>
      </c>
      <c r="O246" s="14">
        <f t="shared" si="93"/>
        <v>0</v>
      </c>
      <c r="P246" s="14">
        <f t="shared" si="93"/>
        <v>150</v>
      </c>
      <c r="Q246" s="14">
        <f t="shared" si="93"/>
        <v>19030.012166666667</v>
      </c>
      <c r="R246" s="14">
        <f t="shared" si="93"/>
        <v>115969.98783333335</v>
      </c>
    </row>
    <row r="247" spans="1:19" s="68" customFormat="1" ht="24.95" customHeight="1" thickBot="1" x14ac:dyDescent="0.25">
      <c r="A247" s="62"/>
      <c r="B247" s="62"/>
      <c r="C247" s="62"/>
      <c r="D247" s="62"/>
      <c r="E247" s="62"/>
      <c r="F247" s="62"/>
      <c r="G247" s="62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2"/>
    </row>
    <row r="248" spans="1:19" s="102" customFormat="1" ht="32.25" customHeight="1" thickBot="1" x14ac:dyDescent="0.25">
      <c r="A248" s="221" t="s">
        <v>226</v>
      </c>
      <c r="B248" s="222"/>
      <c r="C248" s="222"/>
      <c r="D248" s="222"/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1"/>
    </row>
    <row r="249" spans="1:19" s="102" customFormat="1" ht="32.25" customHeight="1" x14ac:dyDescent="0.2">
      <c r="A249" s="96">
        <f>+A245+1</f>
        <v>98</v>
      </c>
      <c r="B249" s="59" t="s">
        <v>404</v>
      </c>
      <c r="C249" s="145" t="s">
        <v>421</v>
      </c>
      <c r="D249" s="59" t="s">
        <v>405</v>
      </c>
      <c r="E249" s="115" t="s">
        <v>213</v>
      </c>
      <c r="F249" s="24" t="s">
        <v>556</v>
      </c>
      <c r="G249" s="24" t="s">
        <v>611</v>
      </c>
      <c r="H249" s="100">
        <v>55000</v>
      </c>
      <c r="I249" s="100">
        <f t="shared" ref="I249" si="94">H249*2.87%</f>
        <v>1578.5</v>
      </c>
      <c r="J249" s="100">
        <f t="shared" ref="J249" si="95">+H249*3.04%</f>
        <v>1672</v>
      </c>
      <c r="K249" s="100">
        <v>1597.31</v>
      </c>
      <c r="L249" s="8">
        <f>+J249+I249+K249</f>
        <v>4847.8099999999995</v>
      </c>
      <c r="M249" s="8">
        <f>+H249-L249</f>
        <v>50152.19</v>
      </c>
      <c r="N249" s="8">
        <f>+IF(M249*12&lt;=416220.01,0,IF(M249*12&lt;=624329.01,(((M249*12-416220.01)*0.15)/12),IF((M249*12&lt;=867123.01),(31216+0.2*(M249*12-624329.01))/12,((79776+0.25*(M249*12-867123.01))/12))))-O249</f>
        <v>2320.0783750000001</v>
      </c>
      <c r="O249" s="8">
        <v>0</v>
      </c>
      <c r="P249" s="99">
        <v>125</v>
      </c>
      <c r="Q249" s="8">
        <f>+P249+N249+L249</f>
        <v>7292.8883749999995</v>
      </c>
      <c r="R249" s="99">
        <f>+H249-Q249</f>
        <v>47707.111624999998</v>
      </c>
      <c r="S249" s="1"/>
    </row>
    <row r="250" spans="1:19" ht="25.15" customHeight="1" x14ac:dyDescent="0.2">
      <c r="A250" s="96">
        <f>+A249+1</f>
        <v>99</v>
      </c>
      <c r="B250" s="59" t="s">
        <v>630</v>
      </c>
      <c r="C250" s="145" t="s">
        <v>421</v>
      </c>
      <c r="D250" s="59" t="s">
        <v>405</v>
      </c>
      <c r="E250" s="115" t="s">
        <v>213</v>
      </c>
      <c r="F250" s="24" t="s">
        <v>551</v>
      </c>
      <c r="G250" s="24" t="s">
        <v>614</v>
      </c>
      <c r="H250" s="100">
        <v>45000</v>
      </c>
      <c r="I250" s="100">
        <f t="shared" ref="I250" si="96">H250*2.87%</f>
        <v>1291.5</v>
      </c>
      <c r="J250" s="100">
        <f t="shared" ref="J250" si="97">+H250*3.04%</f>
        <v>1368</v>
      </c>
      <c r="K250" s="100"/>
      <c r="L250" s="8">
        <f>+J250+I250+K250</f>
        <v>2659.5</v>
      </c>
      <c r="M250" s="8">
        <f>+H250-L250</f>
        <v>42340.5</v>
      </c>
      <c r="N250" s="8">
        <f>+IF(M250*12&lt;=416220.01,0,IF(M250*12&lt;=624329.01,(((M250*12-416220.01)*0.15)/12),IF((M250*12&lt;=867123.01),(31216+0.2*(M250*12-624329.01))/12,((79776+0.25*(M250*12-867123.01))/12))))-O250</f>
        <v>1148.3248749999998</v>
      </c>
      <c r="O250" s="8"/>
      <c r="P250" s="99">
        <v>1025</v>
      </c>
      <c r="Q250" s="8">
        <f>+P250+N250+L250</f>
        <v>4832.8248750000002</v>
      </c>
      <c r="R250" s="99">
        <f>+H250-Q250</f>
        <v>40167.175125000002</v>
      </c>
    </row>
    <row r="251" spans="1:19" ht="24.75" customHeight="1" x14ac:dyDescent="0.2">
      <c r="A251" s="300" t="s">
        <v>125</v>
      </c>
      <c r="B251" s="301"/>
      <c r="C251" s="223"/>
      <c r="D251" s="223"/>
      <c r="E251" s="223"/>
      <c r="F251" s="223"/>
      <c r="G251" s="223"/>
      <c r="H251" s="14">
        <f>SUM(H249:H250)</f>
        <v>100000</v>
      </c>
      <c r="I251" s="14">
        <f t="shared" ref="I251:R251" si="98">SUM(I249:I250)</f>
        <v>2870</v>
      </c>
      <c r="J251" s="14">
        <f t="shared" si="98"/>
        <v>3040</v>
      </c>
      <c r="K251" s="14">
        <f t="shared" si="98"/>
        <v>1597.31</v>
      </c>
      <c r="L251" s="14">
        <f t="shared" si="98"/>
        <v>7507.3099999999995</v>
      </c>
      <c r="M251" s="14">
        <f t="shared" si="98"/>
        <v>92492.69</v>
      </c>
      <c r="N251" s="14">
        <f t="shared" si="98"/>
        <v>3468.4032499999998</v>
      </c>
      <c r="O251" s="14">
        <f t="shared" si="98"/>
        <v>0</v>
      </c>
      <c r="P251" s="14">
        <f t="shared" si="98"/>
        <v>1150</v>
      </c>
      <c r="Q251" s="14">
        <f t="shared" si="98"/>
        <v>12125.713250000001</v>
      </c>
      <c r="R251" s="14">
        <f t="shared" si="98"/>
        <v>87874.286749999999</v>
      </c>
    </row>
    <row r="252" spans="1:19" s="68" customFormat="1" ht="24.95" customHeight="1" thickBot="1" x14ac:dyDescent="0.25">
      <c r="A252" s="62"/>
      <c r="B252" s="62"/>
      <c r="C252" s="62"/>
      <c r="D252" s="62"/>
      <c r="E252" s="62"/>
      <c r="F252" s="62"/>
      <c r="G252" s="62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2"/>
    </row>
    <row r="253" spans="1:19" ht="24.75" customHeight="1" thickBot="1" x14ac:dyDescent="0.25">
      <c r="A253" s="221" t="s">
        <v>642</v>
      </c>
      <c r="B253" s="222"/>
      <c r="C253" s="222"/>
      <c r="D253" s="222"/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</row>
    <row r="254" spans="1:19" ht="29.25" customHeight="1" x14ac:dyDescent="0.2">
      <c r="A254" s="96">
        <f>+A250+1</f>
        <v>100</v>
      </c>
      <c r="B254" s="103" t="s">
        <v>643</v>
      </c>
      <c r="C254" s="105" t="s">
        <v>420</v>
      </c>
      <c r="D254" s="103" t="s">
        <v>644</v>
      </c>
      <c r="E254" s="97" t="s">
        <v>213</v>
      </c>
      <c r="F254" s="24" t="s">
        <v>551</v>
      </c>
      <c r="G254" s="24" t="s">
        <v>614</v>
      </c>
      <c r="H254" s="100">
        <v>135000</v>
      </c>
      <c r="I254" s="100">
        <f>H254*2.87%</f>
        <v>3874.5</v>
      </c>
      <c r="J254" s="100">
        <f>+H254*3.04%</f>
        <v>4104</v>
      </c>
      <c r="K254" s="100"/>
      <c r="L254" s="8">
        <f>+J254+I254+K254</f>
        <v>7978.5</v>
      </c>
      <c r="M254" s="8">
        <f>+H254-L254</f>
        <v>127021.5</v>
      </c>
      <c r="N254" s="8">
        <f>+IF(M254*12&lt;=416220.01,0,IF(M254*12&lt;=624329.01,(((M254*12-416220.01)*0.15)/12),IF((M254*12&lt;=867123.01),(31216+0.2*(M254*12-624329.01))/12,((79776+0.25*(M254*12-867123.01))/12))))-O254</f>
        <v>20338.312291666665</v>
      </c>
      <c r="O254" s="8"/>
      <c r="P254" s="99">
        <v>25</v>
      </c>
      <c r="Q254" s="8">
        <f>+P254+N254+L254</f>
        <v>28341.812291666665</v>
      </c>
      <c r="R254" s="99">
        <f>+H254-Q254</f>
        <v>106658.18770833334</v>
      </c>
    </row>
    <row r="255" spans="1:19" ht="26.25" customHeight="1" x14ac:dyDescent="0.2">
      <c r="A255" s="300" t="s">
        <v>125</v>
      </c>
      <c r="B255" s="301"/>
      <c r="C255" s="223"/>
      <c r="D255" s="223"/>
      <c r="E255" s="223"/>
      <c r="F255" s="223"/>
      <c r="G255" s="223"/>
      <c r="H255" s="14">
        <f>SUM(H254:H254)</f>
        <v>135000</v>
      </c>
      <c r="I255" s="14">
        <f t="shared" ref="I255:R255" si="99">SUM(I254:I254)</f>
        <v>3874.5</v>
      </c>
      <c r="J255" s="14">
        <f t="shared" si="99"/>
        <v>4104</v>
      </c>
      <c r="K255" s="14">
        <f t="shared" si="99"/>
        <v>0</v>
      </c>
      <c r="L255" s="14">
        <f t="shared" si="99"/>
        <v>7978.5</v>
      </c>
      <c r="M255" s="14">
        <f t="shared" si="99"/>
        <v>127021.5</v>
      </c>
      <c r="N255" s="14">
        <f t="shared" si="99"/>
        <v>20338.312291666665</v>
      </c>
      <c r="O255" s="14">
        <f t="shared" si="99"/>
        <v>0</v>
      </c>
      <c r="P255" s="14">
        <f t="shared" si="99"/>
        <v>25</v>
      </c>
      <c r="Q255" s="14">
        <f t="shared" si="99"/>
        <v>28341.812291666665</v>
      </c>
      <c r="R255" s="14">
        <f t="shared" si="99"/>
        <v>106658.18770833334</v>
      </c>
    </row>
    <row r="256" spans="1:19" ht="25.5" customHeight="1" thickBot="1" x14ac:dyDescent="0.25">
      <c r="A256" s="62"/>
      <c r="B256" s="62"/>
      <c r="C256" s="62"/>
      <c r="D256" s="62"/>
      <c r="E256" s="62"/>
      <c r="F256" s="62"/>
      <c r="G256" s="62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</row>
    <row r="257" spans="1:19" ht="24.75" customHeight="1" thickBot="1" x14ac:dyDescent="0.25">
      <c r="A257" s="221" t="s">
        <v>447</v>
      </c>
      <c r="B257" s="222"/>
      <c r="C257" s="222"/>
      <c r="D257" s="222"/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</row>
    <row r="258" spans="1:19" ht="29.25" customHeight="1" x14ac:dyDescent="0.2">
      <c r="A258" s="96">
        <f>+A254+1</f>
        <v>101</v>
      </c>
      <c r="B258" s="103" t="s">
        <v>144</v>
      </c>
      <c r="C258" s="105" t="s">
        <v>421</v>
      </c>
      <c r="D258" s="103" t="s">
        <v>407</v>
      </c>
      <c r="E258" s="97" t="s">
        <v>213</v>
      </c>
      <c r="F258" s="24" t="s">
        <v>571</v>
      </c>
      <c r="G258" s="24" t="s">
        <v>659</v>
      </c>
      <c r="H258" s="100">
        <v>60000</v>
      </c>
      <c r="I258" s="100">
        <f>H258*2.87%</f>
        <v>1722</v>
      </c>
      <c r="J258" s="100">
        <f>+H258*3.04%</f>
        <v>1824</v>
      </c>
      <c r="K258" s="100">
        <v>1597.31</v>
      </c>
      <c r="L258" s="8">
        <f>+J258+I258+K258</f>
        <v>5143.3099999999995</v>
      </c>
      <c r="M258" s="8">
        <f>+H258-L258</f>
        <v>54856.69</v>
      </c>
      <c r="N258" s="8">
        <f>+IF(M258*12&lt;=416220.01,0,IF(M258*12&lt;=624329.01,(((M258*12-416220.01)*0.15)/12),IF((M258*12&lt;=867123.01),(31216+0.2*(M258*12-624329.01))/12,((79776+0.25*(M258*12-867123.01))/12))))-O258</f>
        <v>3167.1878333333334</v>
      </c>
      <c r="O258" s="8"/>
      <c r="P258" s="99">
        <v>125</v>
      </c>
      <c r="Q258" s="8">
        <f>+P258+N258+L258</f>
        <v>8435.4978333333329</v>
      </c>
      <c r="R258" s="99">
        <f>+H258-Q258</f>
        <v>51564.502166666665</v>
      </c>
    </row>
    <row r="259" spans="1:19" ht="26.25" customHeight="1" x14ac:dyDescent="0.2">
      <c r="A259" s="300" t="s">
        <v>125</v>
      </c>
      <c r="B259" s="301"/>
      <c r="C259" s="223"/>
      <c r="D259" s="223"/>
      <c r="E259" s="223"/>
      <c r="F259" s="223"/>
      <c r="G259" s="223"/>
      <c r="H259" s="14">
        <f>SUM(H258:H258)</f>
        <v>60000</v>
      </c>
      <c r="I259" s="14">
        <f t="shared" ref="I259:R259" si="100">SUM(I258:I258)</f>
        <v>1722</v>
      </c>
      <c r="J259" s="14">
        <f t="shared" si="100"/>
        <v>1824</v>
      </c>
      <c r="K259" s="14">
        <f t="shared" si="100"/>
        <v>1597.31</v>
      </c>
      <c r="L259" s="14">
        <f t="shared" si="100"/>
        <v>5143.3099999999995</v>
      </c>
      <c r="M259" s="14">
        <f t="shared" si="100"/>
        <v>54856.69</v>
      </c>
      <c r="N259" s="14">
        <f t="shared" si="100"/>
        <v>3167.1878333333334</v>
      </c>
      <c r="O259" s="14">
        <f t="shared" si="100"/>
        <v>0</v>
      </c>
      <c r="P259" s="14">
        <f t="shared" si="100"/>
        <v>125</v>
      </c>
      <c r="Q259" s="14">
        <f t="shared" si="100"/>
        <v>8435.4978333333329</v>
      </c>
      <c r="R259" s="14">
        <f t="shared" si="100"/>
        <v>51564.502166666665</v>
      </c>
    </row>
    <row r="260" spans="1:19" s="68" customFormat="1" ht="26.25" customHeight="1" thickBot="1" x14ac:dyDescent="0.25">
      <c r="A260" s="62"/>
      <c r="B260" s="62"/>
      <c r="C260" s="62"/>
      <c r="D260" s="62"/>
      <c r="E260" s="62"/>
      <c r="F260" s="62"/>
      <c r="G260" s="62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2"/>
    </row>
    <row r="261" spans="1:19" ht="24.75" customHeight="1" thickBot="1" x14ac:dyDescent="0.25">
      <c r="A261" s="221" t="s">
        <v>645</v>
      </c>
      <c r="B261" s="222"/>
      <c r="C261" s="222"/>
      <c r="D261" s="222"/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</row>
    <row r="262" spans="1:19" ht="29.25" customHeight="1" x14ac:dyDescent="0.2">
      <c r="A262" s="96">
        <f>+A258+1</f>
        <v>102</v>
      </c>
      <c r="B262" s="103" t="s">
        <v>516</v>
      </c>
      <c r="C262" s="105" t="s">
        <v>421</v>
      </c>
      <c r="D262" s="103" t="s">
        <v>687</v>
      </c>
      <c r="E262" s="97" t="s">
        <v>213</v>
      </c>
      <c r="F262" s="24" t="s">
        <v>720</v>
      </c>
      <c r="G262" s="24" t="s">
        <v>611</v>
      </c>
      <c r="H262" s="100">
        <v>80000</v>
      </c>
      <c r="I262" s="100">
        <f>H262*2.87%</f>
        <v>2296</v>
      </c>
      <c r="J262" s="100">
        <f>+H262*3.04%</f>
        <v>2432</v>
      </c>
      <c r="K262" s="100"/>
      <c r="L262" s="8">
        <f>+J262+I262+K262</f>
        <v>4728</v>
      </c>
      <c r="M262" s="8">
        <f>+H262-L262</f>
        <v>75272</v>
      </c>
      <c r="N262" s="8">
        <f>+IF(M262*12&lt;=416220.01,0,IF(M262*12&lt;=624329.01,(((M262*12-416220.01)*0.15)/12),IF((M262*12&lt;=867123.01),(31216+0.2*(M262*12-624329.01))/12,((79776+0.25*(M262*12-867123.01))/12))))-O262</f>
        <v>7400.9372916666662</v>
      </c>
      <c r="O262" s="8"/>
      <c r="P262" s="99">
        <v>10025</v>
      </c>
      <c r="Q262" s="8">
        <f>+P262+N262+L262</f>
        <v>22153.937291666665</v>
      </c>
      <c r="R262" s="99">
        <f>+H262-Q262</f>
        <v>57846.062708333338</v>
      </c>
    </row>
    <row r="263" spans="1:19" ht="29.25" customHeight="1" x14ac:dyDescent="0.2">
      <c r="A263" s="119">
        <f>+A262+1</f>
        <v>103</v>
      </c>
      <c r="B263" s="291" t="s">
        <v>718</v>
      </c>
      <c r="C263" s="246" t="s">
        <v>421</v>
      </c>
      <c r="D263" s="118" t="s">
        <v>719</v>
      </c>
      <c r="E263" s="115" t="s">
        <v>213</v>
      </c>
      <c r="F263" s="24" t="s">
        <v>603</v>
      </c>
      <c r="G263" s="24" t="s">
        <v>716</v>
      </c>
      <c r="H263" s="8">
        <v>25000</v>
      </c>
      <c r="I263" s="8">
        <f>H263*2.87%</f>
        <v>717.5</v>
      </c>
      <c r="J263" s="8">
        <f>+H263*3.04%</f>
        <v>760</v>
      </c>
      <c r="K263" s="8"/>
      <c r="L263" s="8">
        <f>+J263+I263+K263</f>
        <v>1477.5</v>
      </c>
      <c r="M263" s="8">
        <f>+H263-L263</f>
        <v>23522.5</v>
      </c>
      <c r="N263" s="8">
        <v>0</v>
      </c>
      <c r="O263" s="8">
        <f t="shared" ref="O263" si="101">N263*2.87%</f>
        <v>0</v>
      </c>
      <c r="P263" s="8">
        <v>25</v>
      </c>
      <c r="Q263" s="8">
        <f>+P263+N263+L263</f>
        <v>1502.5</v>
      </c>
      <c r="R263" s="9">
        <f>+H263-Q263</f>
        <v>23497.5</v>
      </c>
    </row>
    <row r="264" spans="1:19" ht="26.25" customHeight="1" x14ac:dyDescent="0.2">
      <c r="A264" s="300" t="s">
        <v>125</v>
      </c>
      <c r="B264" s="301"/>
      <c r="C264" s="223"/>
      <c r="D264" s="223"/>
      <c r="E264" s="223"/>
      <c r="F264" s="223"/>
      <c r="G264" s="223"/>
      <c r="H264" s="14">
        <f>SUM(H262:H263)</f>
        <v>105000</v>
      </c>
      <c r="I264" s="14">
        <f t="shared" ref="I264:R264" si="102">SUM(I262:I263)</f>
        <v>3013.5</v>
      </c>
      <c r="J264" s="14">
        <f t="shared" si="102"/>
        <v>3192</v>
      </c>
      <c r="K264" s="14">
        <f t="shared" si="102"/>
        <v>0</v>
      </c>
      <c r="L264" s="14">
        <f t="shared" si="102"/>
        <v>6205.5</v>
      </c>
      <c r="M264" s="14">
        <f t="shared" si="102"/>
        <v>98794.5</v>
      </c>
      <c r="N264" s="14">
        <f t="shared" si="102"/>
        <v>7400.9372916666662</v>
      </c>
      <c r="O264" s="14">
        <f t="shared" si="102"/>
        <v>0</v>
      </c>
      <c r="P264" s="14">
        <f t="shared" si="102"/>
        <v>10050</v>
      </c>
      <c r="Q264" s="14">
        <f t="shared" si="102"/>
        <v>23656.437291666665</v>
      </c>
      <c r="R264" s="14">
        <f t="shared" si="102"/>
        <v>81343.562708333338</v>
      </c>
    </row>
    <row r="265" spans="1:19" s="68" customFormat="1" ht="26.25" customHeight="1" thickBot="1" x14ac:dyDescent="0.25">
      <c r="A265" s="62"/>
      <c r="B265" s="62"/>
      <c r="C265" s="62"/>
      <c r="D265" s="62"/>
      <c r="E265" s="62"/>
      <c r="F265" s="62"/>
      <c r="G265" s="62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2"/>
    </row>
    <row r="266" spans="1:19" ht="24.75" customHeight="1" thickBot="1" x14ac:dyDescent="0.25">
      <c r="A266" s="221" t="s">
        <v>204</v>
      </c>
      <c r="B266" s="222"/>
      <c r="C266" s="222"/>
      <c r="D266" s="222"/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</row>
    <row r="267" spans="1:19" ht="29.25" customHeight="1" x14ac:dyDescent="0.2">
      <c r="A267" s="96">
        <f>+A263+1</f>
        <v>104</v>
      </c>
      <c r="B267" s="103" t="s">
        <v>631</v>
      </c>
      <c r="C267" s="105" t="s">
        <v>420</v>
      </c>
      <c r="D267" s="103" t="s">
        <v>688</v>
      </c>
      <c r="E267" s="97" t="s">
        <v>213</v>
      </c>
      <c r="F267" s="24" t="s">
        <v>551</v>
      </c>
      <c r="G267" s="24" t="s">
        <v>614</v>
      </c>
      <c r="H267" s="100">
        <v>100000</v>
      </c>
      <c r="I267" s="100">
        <f>H267*2.87%</f>
        <v>2870</v>
      </c>
      <c r="J267" s="100">
        <f>+H267*3.04%</f>
        <v>3040</v>
      </c>
      <c r="K267" s="100">
        <v>0</v>
      </c>
      <c r="L267" s="8">
        <f>+J267+I267+K267</f>
        <v>5910</v>
      </c>
      <c r="M267" s="8">
        <f>+H267-L267</f>
        <v>94090</v>
      </c>
      <c r="N267" s="8">
        <f>+IF(M267*12&lt;=416220.01,0,IF(M267*12&lt;=624329.01,(((M267*12-416220.01)*0.15)/12),IF((M267*12&lt;=867123.01),(31216+0.2*(M267*12-624329.01))/12,((79776+0.25*(M267*12-867123.01))/12))))-O267</f>
        <v>12105.437291666667</v>
      </c>
      <c r="O267" s="8">
        <v>0</v>
      </c>
      <c r="P267" s="99">
        <v>25</v>
      </c>
      <c r="Q267" s="8">
        <f>+P267+N267+L267</f>
        <v>18040.437291666669</v>
      </c>
      <c r="R267" s="99">
        <f>+H267-Q267</f>
        <v>81959.562708333338</v>
      </c>
    </row>
    <row r="268" spans="1:19" ht="26.25" customHeight="1" x14ac:dyDescent="0.2">
      <c r="A268" s="300" t="s">
        <v>125</v>
      </c>
      <c r="B268" s="301"/>
      <c r="C268" s="223"/>
      <c r="D268" s="223"/>
      <c r="E268" s="223"/>
      <c r="F268" s="223"/>
      <c r="G268" s="223"/>
      <c r="H268" s="14">
        <f>SUM(H267:H267)</f>
        <v>100000</v>
      </c>
      <c r="I268" s="14">
        <f t="shared" ref="I268:R268" si="103">SUM(I267:I267)</f>
        <v>2870</v>
      </c>
      <c r="J268" s="14">
        <f t="shared" si="103"/>
        <v>3040</v>
      </c>
      <c r="K268" s="14">
        <f t="shared" si="103"/>
        <v>0</v>
      </c>
      <c r="L268" s="14">
        <f t="shared" si="103"/>
        <v>5910</v>
      </c>
      <c r="M268" s="14">
        <f t="shared" si="103"/>
        <v>94090</v>
      </c>
      <c r="N268" s="14">
        <f t="shared" si="103"/>
        <v>12105.437291666667</v>
      </c>
      <c r="O268" s="14">
        <f t="shared" si="103"/>
        <v>0</v>
      </c>
      <c r="P268" s="14">
        <f t="shared" si="103"/>
        <v>25</v>
      </c>
      <c r="Q268" s="14">
        <f t="shared" si="103"/>
        <v>18040.437291666669</v>
      </c>
      <c r="R268" s="14">
        <f t="shared" si="103"/>
        <v>81959.562708333338</v>
      </c>
    </row>
    <row r="269" spans="1:19" ht="26.25" customHeight="1" thickBot="1" x14ac:dyDescent="0.25">
      <c r="D269" s="25"/>
      <c r="E269" s="25"/>
      <c r="F269" s="25"/>
      <c r="G269" s="25"/>
      <c r="I269" s="2"/>
      <c r="J269" s="2"/>
      <c r="K269" s="2"/>
      <c r="L269" s="2"/>
      <c r="M269" s="2"/>
      <c r="N269" s="2"/>
      <c r="O269" s="2"/>
      <c r="P269" s="2"/>
      <c r="Q269" s="2"/>
      <c r="R269" s="2"/>
    </row>
    <row r="270" spans="1:19" ht="26.25" customHeight="1" thickBot="1" x14ac:dyDescent="0.25">
      <c r="A270" s="221" t="s">
        <v>408</v>
      </c>
      <c r="B270" s="222"/>
      <c r="C270" s="222"/>
      <c r="D270" s="222"/>
      <c r="E270" s="121"/>
      <c r="F270" s="60"/>
      <c r="G270" s="60"/>
      <c r="H270" s="13">
        <f>+H12+H25+H29+H19+H35+H43+H47+H51+H56+H61+H66+H70+H76+H82+H87+H90+H95+H101+H104+H109+H113+H121+H126+H130+H134+H139+H145+H150+H155+H159+H164+H174+H178+H184+H189+H193+H202+H209+H213+H219+H223+H227+H231+H236+H241+H246+H251+H255+H259+H264+H268</f>
        <v>9063000</v>
      </c>
      <c r="I270" s="13">
        <f t="shared" ref="I270:M270" si="104">+I12+I25+I29+I19+I35+I43+I47+I51+I56+I61+I66+I70+I76+I82+I87+I90+I95+I101+I104+I109+I113+I121+I126+I130+I134+I139+I145+I150+I155+I159+I164+I174+I178+I184+I189+I193+I202+I209+I213+I219+I223+I227+I231+I236+I241+I246+I251+I255+I259+I264+I268</f>
        <v>260108.1</v>
      </c>
      <c r="J270" s="13">
        <f t="shared" si="104"/>
        <v>275152.83199999999</v>
      </c>
      <c r="K270" s="13">
        <f t="shared" si="104"/>
        <v>35140.82</v>
      </c>
      <c r="L270" s="13">
        <f t="shared" si="104"/>
        <v>570401.75200000009</v>
      </c>
      <c r="M270" s="13">
        <f t="shared" si="104"/>
        <v>8492598.2480000034</v>
      </c>
      <c r="N270" s="13">
        <f>+N12+N25+N29+N19+N35+N43+N47+N51+N56+N61+N66+N70+N76+N82+N87+N90+N95+N101+N104+N109+N113+N121+N126+N130+N134+N139+N145+N150+N155+N159+N164+N174+N178+N184+N189+N193+N202+N209+N213+N219+N223+N227+N231+N236+N241+N246+N251+N255+N259+N264+N268</f>
        <v>970438.40479166654</v>
      </c>
      <c r="O270" s="13">
        <f t="shared" ref="O270:R270" si="105">+O12+O25+O29+O19+O35+O43+O47+O51+O56+O61+O66+O70+O76+O82+O87+O90+O95+O101+O104+O109+O113+O121+O126+O130+O134+O139+O145+O150+O155+O159+O164+O174+O178+O184+O189+O193+O202+O209+O213+O219+O223+O227+O231+O236+O241+O246+O251+O255+O259+O264+O268</f>
        <v>16157.260000000002</v>
      </c>
      <c r="P270" s="13">
        <f t="shared" si="105"/>
        <v>223021.42</v>
      </c>
      <c r="Q270" s="13">
        <f t="shared" si="105"/>
        <v>1763861.5767916664</v>
      </c>
      <c r="R270" s="13">
        <f t="shared" si="105"/>
        <v>7299138.4232083317</v>
      </c>
    </row>
    <row r="271" spans="1:19" ht="26.25" customHeight="1" x14ac:dyDescent="0.2">
      <c r="A271" s="143"/>
      <c r="B271" s="143"/>
      <c r="C271" s="143"/>
      <c r="D271" s="143"/>
      <c r="E271" s="143"/>
      <c r="H271" s="156"/>
      <c r="I271" s="156"/>
      <c r="J271" s="156"/>
      <c r="K271" s="156"/>
      <c r="L271" s="156"/>
      <c r="M271" s="156"/>
      <c r="N271" s="156"/>
      <c r="O271" s="156"/>
      <c r="P271" s="156"/>
      <c r="Q271" s="156"/>
      <c r="R271" s="156"/>
    </row>
    <row r="272" spans="1:19" x14ac:dyDescent="0.2">
      <c r="A272" s="143"/>
      <c r="B272" s="143"/>
      <c r="C272" s="143"/>
      <c r="D272" s="143"/>
      <c r="E272" s="143"/>
    </row>
    <row r="273" spans="2:8" ht="20.25" customHeight="1" x14ac:dyDescent="0.2">
      <c r="B273" s="288"/>
      <c r="C273" s="289"/>
      <c r="D273" s="290"/>
      <c r="E273" s="290"/>
      <c r="F273" s="288" t="s">
        <v>487</v>
      </c>
    </row>
    <row r="274" spans="2:8" ht="15.75" customHeight="1" x14ac:dyDescent="0.2">
      <c r="B274" s="288" t="s">
        <v>488</v>
      </c>
      <c r="C274" s="289"/>
      <c r="D274" s="290"/>
      <c r="E274" s="290"/>
      <c r="F274" s="288" t="s">
        <v>489</v>
      </c>
    </row>
    <row r="275" spans="2:8" x14ac:dyDescent="0.2">
      <c r="H275" s="65"/>
    </row>
    <row r="380" spans="1:8" s="32" customFormat="1" ht="15.75" x14ac:dyDescent="0.25">
      <c r="A380" s="44"/>
      <c r="B380" s="42"/>
      <c r="C380" s="44"/>
      <c r="D380" s="42"/>
      <c r="E380" s="42"/>
      <c r="F380" s="42"/>
      <c r="G380" s="42"/>
      <c r="H380" s="39"/>
    </row>
    <row r="381" spans="1:8" s="32" customFormat="1" ht="15.75" x14ac:dyDescent="0.25">
      <c r="A381" s="44"/>
      <c r="B381" s="42"/>
      <c r="C381" s="44"/>
      <c r="D381" s="42"/>
      <c r="E381" s="42"/>
      <c r="F381" s="42"/>
      <c r="G381" s="42"/>
      <c r="H381" s="39"/>
    </row>
    <row r="382" spans="1:8" s="32" customFormat="1" ht="15.75" x14ac:dyDescent="0.25">
      <c r="A382" s="44"/>
      <c r="B382" s="42"/>
      <c r="C382" s="44"/>
      <c r="D382" s="42"/>
      <c r="E382" s="42"/>
      <c r="F382" s="42"/>
      <c r="G382" s="42"/>
      <c r="H382" s="39"/>
    </row>
    <row r="383" spans="1:8" s="32" customFormat="1" ht="15.75" x14ac:dyDescent="0.25">
      <c r="A383" s="44"/>
      <c r="B383" s="42"/>
      <c r="C383" s="44"/>
      <c r="D383" s="42"/>
      <c r="E383" s="42"/>
      <c r="F383" s="42"/>
      <c r="G383" s="42"/>
      <c r="H383" s="39"/>
    </row>
    <row r="384" spans="1:8" s="32" customFormat="1" ht="15.75" x14ac:dyDescent="0.25">
      <c r="A384" s="44"/>
      <c r="B384" s="42"/>
      <c r="C384" s="44"/>
      <c r="D384" s="42"/>
      <c r="E384" s="42"/>
      <c r="F384" s="42"/>
      <c r="G384" s="42"/>
      <c r="H384" s="39"/>
    </row>
    <row r="385" spans="1:8" s="32" customFormat="1" ht="15.75" x14ac:dyDescent="0.25">
      <c r="A385" s="44"/>
      <c r="B385" s="42"/>
      <c r="C385" s="44"/>
      <c r="D385" s="42"/>
      <c r="E385" s="42"/>
      <c r="F385" s="42"/>
      <c r="G385" s="42"/>
      <c r="H385" s="39"/>
    </row>
    <row r="386" spans="1:8" s="32" customFormat="1" ht="15.75" x14ac:dyDescent="0.25">
      <c r="A386" s="44"/>
      <c r="B386" s="42"/>
      <c r="C386" s="44"/>
      <c r="D386" s="42"/>
      <c r="E386" s="42"/>
      <c r="F386" s="42"/>
      <c r="G386" s="42"/>
      <c r="H386" s="39"/>
    </row>
    <row r="387" spans="1:8" s="32" customFormat="1" ht="15.75" x14ac:dyDescent="0.25">
      <c r="A387" s="44"/>
      <c r="B387" s="42"/>
      <c r="C387" s="44"/>
      <c r="D387" s="42"/>
      <c r="E387" s="42"/>
      <c r="F387" s="42"/>
      <c r="G387" s="42"/>
      <c r="H387" s="39"/>
    </row>
    <row r="388" spans="1:8" s="32" customFormat="1" ht="15.75" x14ac:dyDescent="0.25">
      <c r="A388" s="44"/>
      <c r="B388" s="42"/>
      <c r="C388" s="44"/>
      <c r="D388" s="42"/>
      <c r="E388" s="42"/>
      <c r="F388" s="42"/>
      <c r="G388" s="42"/>
      <c r="H388" s="39"/>
    </row>
    <row r="389" spans="1:8" s="32" customFormat="1" ht="15.75" x14ac:dyDescent="0.25">
      <c r="A389" s="44"/>
      <c r="B389" s="42"/>
      <c r="C389" s="44"/>
      <c r="D389" s="42"/>
      <c r="E389" s="42"/>
      <c r="F389" s="42"/>
      <c r="G389" s="42"/>
      <c r="H389" s="39"/>
    </row>
    <row r="390" spans="1:8" s="32" customFormat="1" ht="15.75" x14ac:dyDescent="0.25">
      <c r="A390" s="44"/>
      <c r="B390" s="42"/>
      <c r="C390" s="44"/>
      <c r="D390" s="42"/>
      <c r="E390" s="42"/>
      <c r="F390" s="42"/>
      <c r="G390" s="42"/>
      <c r="H390" s="39"/>
    </row>
    <row r="391" spans="1:8" s="32" customFormat="1" ht="15.75" x14ac:dyDescent="0.25">
      <c r="A391" s="44"/>
      <c r="B391" s="42"/>
      <c r="C391" s="44"/>
      <c r="D391" s="42"/>
      <c r="E391" s="42"/>
      <c r="F391" s="42"/>
      <c r="G391" s="42"/>
      <c r="H391" s="39"/>
    </row>
    <row r="392" spans="1:8" s="32" customFormat="1" ht="15.75" x14ac:dyDescent="0.25">
      <c r="A392" s="44"/>
      <c r="B392" s="42"/>
      <c r="C392" s="44"/>
      <c r="D392" s="42"/>
      <c r="E392" s="42"/>
      <c r="F392" s="42"/>
      <c r="G392" s="42"/>
      <c r="H392" s="39"/>
    </row>
    <row r="393" spans="1:8" s="32" customFormat="1" ht="15.75" x14ac:dyDescent="0.25">
      <c r="A393" s="44"/>
      <c r="B393" s="42"/>
      <c r="C393" s="44"/>
      <c r="D393" s="42"/>
      <c r="E393" s="42"/>
      <c r="F393" s="42"/>
      <c r="G393" s="42"/>
      <c r="H393" s="39"/>
    </row>
    <row r="394" spans="1:8" s="32" customFormat="1" ht="15.75" x14ac:dyDescent="0.25">
      <c r="A394" s="44"/>
      <c r="B394" s="42"/>
      <c r="C394" s="44"/>
      <c r="D394" s="42"/>
      <c r="E394" s="42"/>
      <c r="F394" s="42"/>
      <c r="G394" s="42"/>
      <c r="H394" s="39"/>
    </row>
    <row r="395" spans="1:8" s="32" customFormat="1" ht="15.75" x14ac:dyDescent="0.25">
      <c r="A395" s="44"/>
      <c r="B395" s="42"/>
      <c r="C395" s="44"/>
      <c r="D395" s="42"/>
      <c r="E395" s="42"/>
      <c r="F395" s="42"/>
      <c r="G395" s="42"/>
      <c r="H395" s="39"/>
    </row>
    <row r="396" spans="1:8" s="32" customFormat="1" ht="15.75" x14ac:dyDescent="0.25">
      <c r="A396" s="44"/>
      <c r="B396" s="42"/>
      <c r="C396" s="44"/>
      <c r="D396" s="42"/>
      <c r="E396" s="42"/>
      <c r="F396" s="42"/>
      <c r="G396" s="42"/>
      <c r="H396" s="39"/>
    </row>
    <row r="397" spans="1:8" s="32" customFormat="1" ht="15.75" x14ac:dyDescent="0.25">
      <c r="A397" s="44"/>
      <c r="B397" s="42"/>
      <c r="C397" s="44"/>
      <c r="D397" s="42"/>
      <c r="E397" s="42"/>
      <c r="F397" s="42"/>
      <c r="G397" s="42"/>
      <c r="H397" s="39"/>
    </row>
    <row r="398" spans="1:8" s="32" customFormat="1" ht="15.75" x14ac:dyDescent="0.25">
      <c r="A398" s="44"/>
      <c r="B398" s="42"/>
      <c r="C398" s="44"/>
      <c r="D398" s="42"/>
      <c r="E398" s="42"/>
      <c r="F398" s="42"/>
      <c r="G398" s="42"/>
      <c r="H398" s="39"/>
    </row>
    <row r="399" spans="1:8" s="32" customFormat="1" ht="15.75" x14ac:dyDescent="0.25">
      <c r="A399" s="44"/>
      <c r="B399" s="42"/>
      <c r="C399" s="44"/>
      <c r="D399" s="42"/>
      <c r="E399" s="42"/>
      <c r="F399" s="42"/>
      <c r="G399" s="42"/>
      <c r="H399" s="39"/>
    </row>
    <row r="400" spans="1:8" s="32" customFormat="1" ht="15.75" x14ac:dyDescent="0.25">
      <c r="A400" s="44"/>
      <c r="B400" s="42"/>
      <c r="C400" s="44"/>
      <c r="D400" s="42"/>
      <c r="E400" s="42"/>
      <c r="F400" s="42"/>
      <c r="G400" s="42"/>
      <c r="H400" s="39"/>
    </row>
    <row r="401" spans="1:8" s="32" customFormat="1" ht="15.75" x14ac:dyDescent="0.25">
      <c r="A401" s="44"/>
      <c r="B401" s="42"/>
      <c r="C401" s="44"/>
      <c r="D401" s="42"/>
      <c r="E401" s="42"/>
      <c r="F401" s="42"/>
      <c r="G401" s="42"/>
      <c r="H401" s="39"/>
    </row>
    <row r="402" spans="1:8" s="32" customFormat="1" ht="15.75" x14ac:dyDescent="0.25">
      <c r="A402" s="44"/>
      <c r="B402" s="42"/>
      <c r="C402" s="44"/>
      <c r="D402" s="42"/>
      <c r="E402" s="42"/>
      <c r="F402" s="42"/>
      <c r="G402" s="42"/>
      <c r="H402" s="39"/>
    </row>
    <row r="403" spans="1:8" s="32" customFormat="1" ht="15.75" x14ac:dyDescent="0.25">
      <c r="A403" s="44"/>
      <c r="B403" s="42"/>
      <c r="C403" s="44"/>
      <c r="D403" s="42"/>
      <c r="E403" s="42"/>
      <c r="F403" s="42"/>
      <c r="G403" s="42"/>
      <c r="H403" s="39"/>
    </row>
    <row r="404" spans="1:8" s="32" customFormat="1" ht="15.75" x14ac:dyDescent="0.25">
      <c r="A404" s="44"/>
      <c r="B404" s="42"/>
      <c r="C404" s="44"/>
      <c r="D404" s="42"/>
      <c r="E404" s="42"/>
      <c r="F404" s="42"/>
      <c r="G404" s="42"/>
      <c r="H404" s="39"/>
    </row>
    <row r="405" spans="1:8" s="32" customFormat="1" ht="15.75" x14ac:dyDescent="0.25">
      <c r="A405" s="44"/>
      <c r="B405" s="42"/>
      <c r="C405" s="44"/>
      <c r="D405" s="42"/>
      <c r="E405" s="42"/>
      <c r="F405" s="42"/>
      <c r="G405" s="42"/>
      <c r="H405" s="39"/>
    </row>
    <row r="406" spans="1:8" s="32" customFormat="1" ht="15.75" x14ac:dyDescent="0.25">
      <c r="A406" s="44"/>
      <c r="B406" s="42"/>
      <c r="C406" s="44"/>
      <c r="D406" s="42"/>
      <c r="E406" s="42"/>
      <c r="F406" s="42"/>
      <c r="G406" s="42"/>
      <c r="H406" s="39"/>
    </row>
    <row r="407" spans="1:8" s="32" customFormat="1" ht="15.75" x14ac:dyDescent="0.25">
      <c r="A407" s="44"/>
      <c r="B407" s="42"/>
      <c r="C407" s="44"/>
      <c r="D407" s="42"/>
      <c r="E407" s="42"/>
      <c r="F407" s="42"/>
      <c r="G407" s="42"/>
      <c r="H407" s="39"/>
    </row>
    <row r="408" spans="1:8" s="32" customFormat="1" ht="15.75" x14ac:dyDescent="0.25">
      <c r="A408" s="44"/>
      <c r="B408" s="42"/>
      <c r="C408" s="44"/>
      <c r="D408" s="42"/>
      <c r="E408" s="42"/>
      <c r="F408" s="42"/>
      <c r="G408" s="42"/>
      <c r="H408" s="39"/>
    </row>
    <row r="409" spans="1:8" s="32" customFormat="1" ht="15.75" x14ac:dyDescent="0.25">
      <c r="A409" s="44"/>
      <c r="B409" s="42"/>
      <c r="C409" s="44"/>
      <c r="D409" s="42"/>
      <c r="E409" s="42"/>
      <c r="F409" s="42"/>
      <c r="G409" s="42"/>
      <c r="H409" s="39"/>
    </row>
    <row r="64870" spans="2:18" s="4" customFormat="1" x14ac:dyDescent="0.2">
      <c r="B64870" s="23"/>
      <c r="D64870" s="23"/>
      <c r="E64870" s="23"/>
      <c r="F64870" s="23"/>
      <c r="G64870" s="23"/>
      <c r="H64870" s="2"/>
      <c r="N64870" s="1"/>
      <c r="O64870" s="1"/>
      <c r="P64870" s="1"/>
      <c r="Q64870" s="1"/>
      <c r="R64870" s="1"/>
    </row>
    <row r="64872" spans="2:18" s="4" customFormat="1" x14ac:dyDescent="0.2">
      <c r="B64872" s="23"/>
      <c r="D64872" s="23"/>
      <c r="E64872" s="23"/>
      <c r="F64872" s="23"/>
      <c r="G64872" s="23"/>
      <c r="H64872" s="2"/>
      <c r="N64872" s="1"/>
      <c r="O64872" s="1"/>
      <c r="P64872" s="1"/>
      <c r="Q64872" s="1"/>
      <c r="R64872" s="1"/>
    </row>
    <row r="64882" spans="2:18" x14ac:dyDescent="0.2">
      <c r="P64882" s="4"/>
      <c r="Q64882" s="4"/>
      <c r="R64882" s="4"/>
    </row>
    <row r="64883" spans="2:18" x14ac:dyDescent="0.2">
      <c r="B64883" s="23">
        <f>SUM(B7:B64882)</f>
        <v>0</v>
      </c>
    </row>
    <row r="64884" spans="2:18" x14ac:dyDescent="0.2">
      <c r="P64884" s="4"/>
      <c r="Q64884" s="4"/>
      <c r="R64884" s="4"/>
    </row>
    <row r="64885" spans="2:18" x14ac:dyDescent="0.2">
      <c r="B64885" s="23">
        <f>SUM(B64883)</f>
        <v>0</v>
      </c>
      <c r="N64885" s="4"/>
      <c r="O64885" s="4"/>
    </row>
    <row r="64887" spans="2:18" x14ac:dyDescent="0.2">
      <c r="N64887" s="4"/>
      <c r="O64887" s="4"/>
    </row>
    <row r="1048211" spans="17:17" x14ac:dyDescent="0.2">
      <c r="Q1048211" s="11" t="e">
        <f>SUM(#REF!)</f>
        <v>#REF!</v>
      </c>
    </row>
  </sheetData>
  <mergeCells count="55">
    <mergeCell ref="A255:B255"/>
    <mergeCell ref="A264:B264"/>
    <mergeCell ref="A223:B223"/>
    <mergeCell ref="A227:B227"/>
    <mergeCell ref="A231:B231"/>
    <mergeCell ref="A145:B145"/>
    <mergeCell ref="A150:B150"/>
    <mergeCell ref="A159:B159"/>
    <mergeCell ref="A213:B213"/>
    <mergeCell ref="A219:B219"/>
    <mergeCell ref="A178:B178"/>
    <mergeCell ref="A184:B184"/>
    <mergeCell ref="A189:B189"/>
    <mergeCell ref="A174:B174"/>
    <mergeCell ref="A155:B155"/>
    <mergeCell ref="A164:B164"/>
    <mergeCell ref="A12:B12"/>
    <mergeCell ref="A35:B35"/>
    <mergeCell ref="A2:R2"/>
    <mergeCell ref="A3:R3"/>
    <mergeCell ref="A4:R4"/>
    <mergeCell ref="A29:B29"/>
    <mergeCell ref="A25:B25"/>
    <mergeCell ref="A19:B19"/>
    <mergeCell ref="I6:L6"/>
    <mergeCell ref="A43:B43"/>
    <mergeCell ref="A51:B51"/>
    <mergeCell ref="A56:B56"/>
    <mergeCell ref="A66:B66"/>
    <mergeCell ref="A70:B70"/>
    <mergeCell ref="A61:B61"/>
    <mergeCell ref="A47:B47"/>
    <mergeCell ref="A76:B76"/>
    <mergeCell ref="A82:B82"/>
    <mergeCell ref="A87:B87"/>
    <mergeCell ref="A95:B95"/>
    <mergeCell ref="A134:B134"/>
    <mergeCell ref="A113:B113"/>
    <mergeCell ref="A90:B90"/>
    <mergeCell ref="A268:B268"/>
    <mergeCell ref="A139:B139"/>
    <mergeCell ref="A259:B259"/>
    <mergeCell ref="A101:B101"/>
    <mergeCell ref="A104:B104"/>
    <mergeCell ref="A109:B109"/>
    <mergeCell ref="A121:B121"/>
    <mergeCell ref="A126:B126"/>
    <mergeCell ref="A130:B130"/>
    <mergeCell ref="A202:B202"/>
    <mergeCell ref="A209:B209"/>
    <mergeCell ref="A193:B193"/>
    <mergeCell ref="A236:B236"/>
    <mergeCell ref="A241:B241"/>
    <mergeCell ref="A246:B246"/>
    <mergeCell ref="A251:B251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53" fitToHeight="0" orientation="landscape" r:id="rId1"/>
  <rowBreaks count="8" manualBreakCount="8">
    <brk id="47" max="17" man="1"/>
    <brk id="84" max="17" man="1"/>
    <brk id="121" max="17" man="1"/>
    <brk id="160" max="17" man="1"/>
    <brk id="201" max="17" man="1"/>
    <brk id="242" max="17" man="1"/>
    <brk id="276" max="12" man="1"/>
    <brk id="281" max="12" man="1"/>
  </rowBreaks>
  <ignoredErrors>
    <ignoredError sqref="R239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90"/>
  <sheetViews>
    <sheetView showGridLines="0" view="pageBreakPreview" zoomScale="50" zoomScaleNormal="80" zoomScaleSheetLayoutView="50" workbookViewId="0">
      <pane xSplit="3" ySplit="6" topLeftCell="D20" activePane="bottomRight" state="frozen"/>
      <selection pane="topRight" activeCell="C1" sqref="C1"/>
      <selection pane="bottomLeft" activeCell="A9" sqref="A9"/>
      <selection pane="bottomRight" activeCell="I35" sqref="I35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76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94" t="s">
        <v>409</v>
      </c>
      <c r="C1" s="294"/>
      <c r="D1" s="294"/>
      <c r="E1" s="294"/>
      <c r="F1" s="294"/>
      <c r="G1" s="294"/>
      <c r="H1" s="294"/>
      <c r="I1" s="294"/>
      <c r="J1" s="294"/>
      <c r="K1" s="294"/>
      <c r="L1" s="294"/>
    </row>
    <row r="2" spans="2:13" ht="21" x14ac:dyDescent="0.35">
      <c r="B2" s="295" t="s">
        <v>426</v>
      </c>
      <c r="C2" s="295"/>
      <c r="D2" s="295"/>
      <c r="E2" s="295"/>
      <c r="F2" s="295"/>
      <c r="G2" s="295"/>
      <c r="H2" s="295"/>
      <c r="I2" s="295"/>
      <c r="J2" s="295"/>
      <c r="K2" s="295"/>
      <c r="L2" s="295"/>
    </row>
    <row r="3" spans="2:13" ht="18.75" x14ac:dyDescent="0.3">
      <c r="B3" s="296" t="s">
        <v>711</v>
      </c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198"/>
    </row>
    <row r="4" spans="2:13" ht="19.5" thickBot="1" x14ac:dyDescent="0.35">
      <c r="B4" s="296"/>
      <c r="C4" s="296"/>
      <c r="D4" s="15"/>
      <c r="E4" s="22"/>
      <c r="F4" s="272"/>
      <c r="G4" s="15"/>
    </row>
    <row r="5" spans="2:13" ht="25.5" customHeight="1" thickBot="1" x14ac:dyDescent="0.3">
      <c r="B5" s="29"/>
      <c r="C5" s="30"/>
      <c r="D5" s="29"/>
      <c r="E5" s="30"/>
      <c r="F5" s="273"/>
      <c r="G5" s="31"/>
      <c r="H5" s="305" t="s">
        <v>120</v>
      </c>
      <c r="I5" s="307"/>
      <c r="J5" s="32"/>
      <c r="K5" s="32"/>
      <c r="L5" s="32"/>
    </row>
    <row r="6" spans="2:13" s="16" customFormat="1" ht="30" customHeight="1" x14ac:dyDescent="0.25">
      <c r="B6" s="33" t="s">
        <v>0</v>
      </c>
      <c r="C6" s="33" t="s">
        <v>361</v>
      </c>
      <c r="D6" s="33" t="s">
        <v>422</v>
      </c>
      <c r="E6" s="33" t="s">
        <v>127</v>
      </c>
      <c r="F6" s="279" t="s">
        <v>114</v>
      </c>
      <c r="G6" s="33" t="s">
        <v>124</v>
      </c>
      <c r="H6" s="34" t="s">
        <v>1</v>
      </c>
      <c r="I6" s="34" t="s">
        <v>2</v>
      </c>
      <c r="J6" s="35" t="s">
        <v>115</v>
      </c>
      <c r="K6" s="35" t="s">
        <v>3</v>
      </c>
      <c r="L6" s="35" t="s">
        <v>116</v>
      </c>
    </row>
    <row r="7" spans="2:13" s="40" customFormat="1" ht="16.5" customHeight="1" x14ac:dyDescent="0.25">
      <c r="B7" s="50"/>
      <c r="C7" s="50"/>
      <c r="D7" s="50"/>
      <c r="E7" s="50"/>
      <c r="F7" s="280"/>
      <c r="M7" s="38"/>
    </row>
    <row r="8" spans="2:13" s="39" customFormat="1" ht="22.5" customHeight="1" thickBot="1" x14ac:dyDescent="0.3">
      <c r="B8" s="50"/>
      <c r="C8" s="50"/>
      <c r="D8" s="50"/>
      <c r="E8" s="50"/>
      <c r="F8" s="280"/>
      <c r="G8" s="40"/>
      <c r="H8" s="40"/>
      <c r="I8" s="40"/>
      <c r="J8" s="40"/>
      <c r="K8" s="40"/>
      <c r="L8" s="40"/>
    </row>
    <row r="9" spans="2:13" s="39" customFormat="1" ht="30" customHeight="1" thickBot="1" x14ac:dyDescent="0.3">
      <c r="B9" s="315" t="s">
        <v>178</v>
      </c>
      <c r="C9" s="316"/>
      <c r="D9" s="316"/>
      <c r="E9" s="316"/>
      <c r="F9" s="316"/>
      <c r="G9" s="316"/>
      <c r="H9" s="316"/>
      <c r="I9" s="316"/>
      <c r="J9" s="316"/>
      <c r="K9" s="316"/>
      <c r="L9" s="317"/>
    </row>
    <row r="10" spans="2:13" s="39" customFormat="1" ht="30" customHeight="1" x14ac:dyDescent="0.25">
      <c r="B10" s="36">
        <f>1</f>
        <v>1</v>
      </c>
      <c r="C10" s="108" t="s">
        <v>138</v>
      </c>
      <c r="D10" s="36" t="s">
        <v>421</v>
      </c>
      <c r="E10" s="109" t="s">
        <v>462</v>
      </c>
      <c r="F10" s="126" t="s">
        <v>121</v>
      </c>
      <c r="G10" s="110">
        <v>19500</v>
      </c>
      <c r="H10" s="110">
        <v>559.64999999999964</v>
      </c>
      <c r="I10" s="107">
        <v>502.21</v>
      </c>
      <c r="J10" s="110">
        <v>4609.54</v>
      </c>
      <c r="K10" s="107">
        <f>SUM(H10:J10)</f>
        <v>5671.4</v>
      </c>
      <c r="L10" s="78">
        <f>+G10-K10</f>
        <v>13828.6</v>
      </c>
      <c r="M10" s="199"/>
    </row>
    <row r="11" spans="2:13" s="39" customFormat="1" ht="30" customHeight="1" x14ac:dyDescent="0.25">
      <c r="B11" s="312" t="s">
        <v>125</v>
      </c>
      <c r="C11" s="313"/>
      <c r="D11" s="313"/>
      <c r="E11" s="313"/>
      <c r="F11" s="313"/>
      <c r="G11" s="37">
        <f>SUM(G10)</f>
        <v>19500</v>
      </c>
      <c r="H11" s="37">
        <f t="shared" ref="H11:J11" si="0">SUM(H10)</f>
        <v>559.64999999999964</v>
      </c>
      <c r="I11" s="37">
        <f t="shared" si="0"/>
        <v>502.21</v>
      </c>
      <c r="J11" s="37">
        <f t="shared" si="0"/>
        <v>4609.54</v>
      </c>
      <c r="K11" s="37">
        <f>SUM(K10)</f>
        <v>5671.4</v>
      </c>
      <c r="L11" s="37">
        <f>SUM(L10)</f>
        <v>13828.6</v>
      </c>
      <c r="M11" s="199"/>
    </row>
    <row r="12" spans="2:13" s="40" customFormat="1" ht="30" customHeight="1" thickBot="1" x14ac:dyDescent="0.3">
      <c r="B12" s="50"/>
      <c r="C12" s="50"/>
      <c r="D12" s="50"/>
      <c r="E12" s="50"/>
      <c r="F12" s="280"/>
      <c r="M12" s="38"/>
    </row>
    <row r="13" spans="2:13" s="70" customFormat="1" ht="30" customHeight="1" thickBot="1" x14ac:dyDescent="0.3">
      <c r="B13" s="315" t="s">
        <v>153</v>
      </c>
      <c r="C13" s="316"/>
      <c r="D13" s="316"/>
      <c r="E13" s="316"/>
      <c r="F13" s="316"/>
      <c r="G13" s="316"/>
      <c r="H13" s="316"/>
      <c r="I13" s="316"/>
      <c r="J13" s="316"/>
      <c r="K13" s="316"/>
      <c r="L13" s="317"/>
    </row>
    <row r="14" spans="2:13" s="39" customFormat="1" ht="46.5" customHeight="1" x14ac:dyDescent="0.25">
      <c r="B14" s="80">
        <f>+B10+1</f>
        <v>2</v>
      </c>
      <c r="C14" s="108" t="s">
        <v>250</v>
      </c>
      <c r="D14" s="36" t="s">
        <v>421</v>
      </c>
      <c r="E14" s="109" t="s">
        <v>493</v>
      </c>
      <c r="F14" s="126" t="s">
        <v>122</v>
      </c>
      <c r="G14" s="110">
        <v>31000</v>
      </c>
      <c r="H14" s="82">
        <f>G14*2.87%</f>
        <v>889.7</v>
      </c>
      <c r="I14" s="82">
        <f>+G14*3.04%</f>
        <v>942.4</v>
      </c>
      <c r="J14" s="82">
        <v>7291.97</v>
      </c>
      <c r="K14" s="107">
        <f>SUM(H14:J14)</f>
        <v>9124.07</v>
      </c>
      <c r="L14" s="78">
        <f>+G14-K14</f>
        <v>21875.93</v>
      </c>
      <c r="M14" s="199"/>
    </row>
    <row r="15" spans="2:13" s="39" customFormat="1" ht="27" customHeight="1" x14ac:dyDescent="0.25">
      <c r="B15" s="312" t="s">
        <v>125</v>
      </c>
      <c r="C15" s="313"/>
      <c r="D15" s="313"/>
      <c r="E15" s="313"/>
      <c r="F15" s="314"/>
      <c r="G15" s="37">
        <f>SUM(G14)</f>
        <v>31000</v>
      </c>
      <c r="H15" s="37">
        <f t="shared" ref="H15:L15" si="1">SUM(H14)</f>
        <v>889.7</v>
      </c>
      <c r="I15" s="37">
        <f t="shared" si="1"/>
        <v>942.4</v>
      </c>
      <c r="J15" s="37">
        <f t="shared" si="1"/>
        <v>7291.97</v>
      </c>
      <c r="K15" s="37">
        <f t="shared" si="1"/>
        <v>9124.07</v>
      </c>
      <c r="L15" s="37">
        <f t="shared" si="1"/>
        <v>21875.93</v>
      </c>
    </row>
    <row r="16" spans="2:13" s="39" customFormat="1" ht="27" customHeight="1" thickBot="1" x14ac:dyDescent="0.3">
      <c r="B16" s="50"/>
      <c r="C16" s="50"/>
      <c r="D16" s="50"/>
      <c r="E16" s="50"/>
      <c r="F16" s="280"/>
      <c r="G16" s="86"/>
      <c r="H16" s="86"/>
      <c r="I16" s="86"/>
      <c r="J16" s="86"/>
      <c r="K16" s="86"/>
      <c r="L16" s="86"/>
    </row>
    <row r="17" spans="2:13" s="70" customFormat="1" ht="30" customHeight="1" thickBot="1" x14ac:dyDescent="0.3">
      <c r="B17" s="315" t="s">
        <v>155</v>
      </c>
      <c r="C17" s="316"/>
      <c r="D17" s="316"/>
      <c r="E17" s="316"/>
      <c r="F17" s="316"/>
      <c r="G17" s="316"/>
      <c r="H17" s="316"/>
      <c r="I17" s="316"/>
      <c r="J17" s="316"/>
      <c r="K17" s="316"/>
      <c r="L17" s="317"/>
    </row>
    <row r="18" spans="2:13" s="39" customFormat="1" ht="46.5" customHeight="1" x14ac:dyDescent="0.25">
      <c r="B18" s="80">
        <f>+B14+1</f>
        <v>3</v>
      </c>
      <c r="C18" s="81" t="s">
        <v>253</v>
      </c>
      <c r="D18" s="36" t="s">
        <v>421</v>
      </c>
      <c r="E18" s="85" t="s">
        <v>520</v>
      </c>
      <c r="F18" s="126" t="s">
        <v>122</v>
      </c>
      <c r="G18" s="110">
        <v>25000</v>
      </c>
      <c r="H18" s="82">
        <f>G18*2.87%</f>
        <v>717.5</v>
      </c>
      <c r="I18" s="82">
        <f>+G18*3.04%</f>
        <v>760</v>
      </c>
      <c r="J18" s="82">
        <v>5880.62</v>
      </c>
      <c r="K18" s="107">
        <f>SUM(H18:J18)</f>
        <v>7358.12</v>
      </c>
      <c r="L18" s="78">
        <f>+G18-K18</f>
        <v>17641.88</v>
      </c>
      <c r="M18" s="239"/>
    </row>
    <row r="19" spans="2:13" s="39" customFormat="1" ht="27" customHeight="1" x14ac:dyDescent="0.25">
      <c r="B19" s="312" t="s">
        <v>125</v>
      </c>
      <c r="C19" s="313"/>
      <c r="D19" s="313"/>
      <c r="E19" s="313"/>
      <c r="F19" s="314"/>
      <c r="G19" s="37">
        <f>SUM(G18)</f>
        <v>25000</v>
      </c>
      <c r="H19" s="37">
        <f t="shared" ref="H19:L19" si="2">SUM(H18)</f>
        <v>717.5</v>
      </c>
      <c r="I19" s="37">
        <f t="shared" si="2"/>
        <v>760</v>
      </c>
      <c r="J19" s="37">
        <f t="shared" si="2"/>
        <v>5880.62</v>
      </c>
      <c r="K19" s="37">
        <f>SUM(K18)</f>
        <v>7358.12</v>
      </c>
      <c r="L19" s="37">
        <f t="shared" si="2"/>
        <v>17641.88</v>
      </c>
    </row>
    <row r="20" spans="2:13" s="39" customFormat="1" ht="27" customHeight="1" thickBot="1" x14ac:dyDescent="0.3">
      <c r="B20" s="50"/>
      <c r="C20" s="50"/>
      <c r="D20" s="50"/>
      <c r="E20" s="50"/>
      <c r="F20" s="280"/>
      <c r="G20" s="40"/>
      <c r="H20" s="40"/>
      <c r="I20" s="40"/>
      <c r="J20" s="40"/>
      <c r="K20" s="40"/>
      <c r="L20" s="40"/>
    </row>
    <row r="21" spans="2:13" s="39" customFormat="1" ht="21" customHeight="1" thickBot="1" x14ac:dyDescent="0.3">
      <c r="B21" s="315" t="s">
        <v>243</v>
      </c>
      <c r="C21" s="316"/>
      <c r="D21" s="316"/>
      <c r="E21" s="316"/>
      <c r="F21" s="316"/>
      <c r="G21" s="316"/>
      <c r="H21" s="316"/>
      <c r="I21" s="316"/>
      <c r="J21" s="316"/>
      <c r="K21" s="316"/>
      <c r="L21" s="317"/>
    </row>
    <row r="22" spans="2:13" s="86" customFormat="1" ht="30" customHeight="1" x14ac:dyDescent="0.25">
      <c r="B22" s="75">
        <f>+B18+1</f>
        <v>4</v>
      </c>
      <c r="C22" s="112" t="s">
        <v>56</v>
      </c>
      <c r="D22" s="122" t="s">
        <v>421</v>
      </c>
      <c r="E22" s="123" t="s">
        <v>180</v>
      </c>
      <c r="F22" s="126" t="s">
        <v>122</v>
      </c>
      <c r="G22" s="107">
        <v>63500</v>
      </c>
      <c r="H22" s="77">
        <v>1822.4499999999998</v>
      </c>
      <c r="I22" s="77">
        <v>1839.81</v>
      </c>
      <c r="J22" s="107">
        <v>14959.44</v>
      </c>
      <c r="K22" s="77">
        <f>SUM(H22:J22)</f>
        <v>18621.7</v>
      </c>
      <c r="L22" s="78">
        <f>+G22-K22</f>
        <v>44878.3</v>
      </c>
      <c r="M22" s="40"/>
    </row>
    <row r="23" spans="2:13" s="39" customFormat="1" ht="28.5" customHeight="1" x14ac:dyDescent="0.25">
      <c r="B23" s="312" t="s">
        <v>125</v>
      </c>
      <c r="C23" s="313"/>
      <c r="D23" s="313"/>
      <c r="E23" s="313"/>
      <c r="F23" s="314"/>
      <c r="G23" s="37">
        <f t="shared" ref="G23:L23" si="3">SUM(G22:G22)</f>
        <v>63500</v>
      </c>
      <c r="H23" s="37">
        <f t="shared" si="3"/>
        <v>1822.4499999999998</v>
      </c>
      <c r="I23" s="37">
        <f t="shared" si="3"/>
        <v>1839.81</v>
      </c>
      <c r="J23" s="37">
        <f t="shared" si="3"/>
        <v>14959.44</v>
      </c>
      <c r="K23" s="37">
        <f t="shared" si="3"/>
        <v>18621.7</v>
      </c>
      <c r="L23" s="37">
        <f t="shared" si="3"/>
        <v>44878.3</v>
      </c>
    </row>
    <row r="24" spans="2:13" s="39" customFormat="1" ht="28.5" customHeight="1" thickBot="1" x14ac:dyDescent="0.3">
      <c r="B24" s="50"/>
      <c r="C24" s="50"/>
      <c r="D24" s="50"/>
      <c r="E24" s="50"/>
      <c r="F24" s="280"/>
      <c r="G24" s="40"/>
      <c r="H24" s="40"/>
      <c r="I24" s="40"/>
      <c r="J24" s="40"/>
      <c r="K24" s="40"/>
      <c r="L24" s="40"/>
    </row>
    <row r="25" spans="2:13" s="39" customFormat="1" ht="21" customHeight="1" thickBot="1" x14ac:dyDescent="0.3">
      <c r="B25" s="315" t="s">
        <v>663</v>
      </c>
      <c r="C25" s="316"/>
      <c r="D25" s="316"/>
      <c r="E25" s="316"/>
      <c r="F25" s="316"/>
      <c r="G25" s="316"/>
      <c r="H25" s="316"/>
      <c r="I25" s="316"/>
      <c r="J25" s="316"/>
      <c r="K25" s="316"/>
      <c r="L25" s="317"/>
    </row>
    <row r="26" spans="2:13" s="86" customFormat="1" ht="30" customHeight="1" x14ac:dyDescent="0.25">
      <c r="B26" s="75">
        <f>+B22+1</f>
        <v>5</v>
      </c>
      <c r="C26" s="112" t="s">
        <v>662</v>
      </c>
      <c r="D26" s="122" t="s">
        <v>421</v>
      </c>
      <c r="E26" s="123" t="s">
        <v>51</v>
      </c>
      <c r="F26" s="126" t="s">
        <v>122</v>
      </c>
      <c r="G26" s="107">
        <v>10000</v>
      </c>
      <c r="H26" s="77">
        <f>+G26*2.87%</f>
        <v>287</v>
      </c>
      <c r="I26" s="77">
        <f>+G26*3.04%</f>
        <v>304</v>
      </c>
      <c r="J26" s="107">
        <v>1881.8</v>
      </c>
      <c r="K26" s="77">
        <f>SUM(H26:J26)</f>
        <v>2472.8000000000002</v>
      </c>
      <c r="L26" s="78">
        <f>+G26-K26</f>
        <v>7527.2</v>
      </c>
      <c r="M26" s="40"/>
    </row>
    <row r="27" spans="2:13" s="39" customFormat="1" ht="28.5" customHeight="1" thickBot="1" x14ac:dyDescent="0.3">
      <c r="B27" s="312" t="s">
        <v>125</v>
      </c>
      <c r="C27" s="313"/>
      <c r="D27" s="313"/>
      <c r="E27" s="313"/>
      <c r="F27" s="314"/>
      <c r="G27" s="37">
        <f t="shared" ref="G27:L27" si="4">SUM(G26:G26)</f>
        <v>10000</v>
      </c>
      <c r="H27" s="37">
        <f t="shared" si="4"/>
        <v>287</v>
      </c>
      <c r="I27" s="37">
        <f t="shared" si="4"/>
        <v>304</v>
      </c>
      <c r="J27" s="37">
        <f t="shared" si="4"/>
        <v>1881.8</v>
      </c>
      <c r="K27" s="37">
        <f t="shared" si="4"/>
        <v>2472.8000000000002</v>
      </c>
      <c r="L27" s="37">
        <f t="shared" si="4"/>
        <v>7527.2</v>
      </c>
      <c r="M27" s="40"/>
    </row>
    <row r="28" spans="2:13" s="39" customFormat="1" ht="28.5" customHeight="1" thickBot="1" x14ac:dyDescent="0.3">
      <c r="B28" s="315" t="s">
        <v>157</v>
      </c>
      <c r="C28" s="316"/>
      <c r="D28" s="316"/>
      <c r="E28" s="316"/>
      <c r="F28" s="316"/>
      <c r="G28" s="316"/>
      <c r="H28" s="316"/>
      <c r="I28" s="316"/>
      <c r="J28" s="316"/>
      <c r="K28" s="316"/>
      <c r="L28" s="317"/>
    </row>
    <row r="29" spans="2:13" s="39" customFormat="1" ht="28.5" customHeight="1" x14ac:dyDescent="0.25">
      <c r="B29" s="75">
        <f>+B26+1</f>
        <v>6</v>
      </c>
      <c r="C29" s="112" t="s">
        <v>48</v>
      </c>
      <c r="D29" s="122" t="s">
        <v>421</v>
      </c>
      <c r="E29" s="123" t="s">
        <v>458</v>
      </c>
      <c r="F29" s="126" t="s">
        <v>122</v>
      </c>
      <c r="G29" s="77">
        <v>33000</v>
      </c>
      <c r="H29" s="77">
        <v>947.09999999999991</v>
      </c>
      <c r="I29" s="77">
        <v>1003.1999999999998</v>
      </c>
      <c r="J29" s="107">
        <v>7762.4199999999983</v>
      </c>
      <c r="K29" s="77">
        <f>SUM(H29:J29)</f>
        <v>9712.7199999999975</v>
      </c>
      <c r="L29" s="78">
        <f>+G29-K29</f>
        <v>23287.280000000002</v>
      </c>
    </row>
    <row r="30" spans="2:13" s="39" customFormat="1" ht="28.5" customHeight="1" x14ac:dyDescent="0.25">
      <c r="B30" s="312" t="s">
        <v>125</v>
      </c>
      <c r="C30" s="313"/>
      <c r="D30" s="313"/>
      <c r="E30" s="313"/>
      <c r="F30" s="314"/>
      <c r="G30" s="37">
        <f t="shared" ref="G30:L30" si="5">SUM(G29:G29)</f>
        <v>33000</v>
      </c>
      <c r="H30" s="37">
        <f t="shared" si="5"/>
        <v>947.09999999999991</v>
      </c>
      <c r="I30" s="37">
        <f t="shared" si="5"/>
        <v>1003.1999999999998</v>
      </c>
      <c r="J30" s="37">
        <f t="shared" si="5"/>
        <v>7762.4199999999983</v>
      </c>
      <c r="K30" s="37">
        <f t="shared" si="5"/>
        <v>9712.7199999999975</v>
      </c>
      <c r="L30" s="37">
        <f t="shared" si="5"/>
        <v>23287.280000000002</v>
      </c>
    </row>
    <row r="31" spans="2:13" s="40" customFormat="1" ht="25.5" customHeight="1" thickBot="1" x14ac:dyDescent="0.3">
      <c r="B31" s="44"/>
      <c r="C31" s="42"/>
      <c r="D31" s="44"/>
      <c r="E31" s="43"/>
      <c r="F31" s="274"/>
      <c r="G31" s="39"/>
      <c r="H31" s="39"/>
      <c r="I31" s="39"/>
      <c r="J31" s="39"/>
      <c r="K31" s="39"/>
      <c r="L31" s="38"/>
    </row>
    <row r="32" spans="2:13" s="39" customFormat="1" ht="22.5" customHeight="1" thickBot="1" x14ac:dyDescent="0.3">
      <c r="B32" s="318" t="s">
        <v>184</v>
      </c>
      <c r="C32" s="319"/>
      <c r="D32" s="319"/>
      <c r="E32" s="319"/>
      <c r="F32" s="319"/>
      <c r="G32" s="319"/>
      <c r="H32" s="319"/>
      <c r="I32" s="319"/>
      <c r="J32" s="319"/>
      <c r="K32" s="319"/>
      <c r="L32" s="320"/>
    </row>
    <row r="33" spans="2:13" s="87" customFormat="1" ht="33.75" customHeight="1" x14ac:dyDescent="0.25">
      <c r="B33" s="75">
        <f>+B29+1</f>
        <v>7</v>
      </c>
      <c r="C33" s="112" t="s">
        <v>247</v>
      </c>
      <c r="D33" s="122" t="s">
        <v>421</v>
      </c>
      <c r="E33" s="109" t="s">
        <v>248</v>
      </c>
      <c r="F33" s="126" t="s">
        <v>122</v>
      </c>
      <c r="G33" s="107">
        <v>28500</v>
      </c>
      <c r="H33" s="107">
        <v>817.94999999999982</v>
      </c>
      <c r="I33" s="84">
        <v>866.40000000000009</v>
      </c>
      <c r="J33" s="77">
        <v>6703.91</v>
      </c>
      <c r="K33" s="77">
        <f>SUM(H33:J33)</f>
        <v>8388.26</v>
      </c>
      <c r="L33" s="78">
        <f>+G33-K33</f>
        <v>20111.739999999998</v>
      </c>
      <c r="M33" s="47"/>
    </row>
    <row r="34" spans="2:13" s="39" customFormat="1" ht="25.5" customHeight="1" x14ac:dyDescent="0.25">
      <c r="B34" s="312" t="s">
        <v>125</v>
      </c>
      <c r="C34" s="313"/>
      <c r="D34" s="313"/>
      <c r="E34" s="313"/>
      <c r="F34" s="314"/>
      <c r="G34" s="37">
        <f t="shared" ref="G34:L34" si="6">SUM(G33:G33)</f>
        <v>28500</v>
      </c>
      <c r="H34" s="37">
        <f t="shared" si="6"/>
        <v>817.94999999999982</v>
      </c>
      <c r="I34" s="37">
        <f t="shared" si="6"/>
        <v>866.40000000000009</v>
      </c>
      <c r="J34" s="37">
        <f t="shared" si="6"/>
        <v>6703.91</v>
      </c>
      <c r="K34" s="37">
        <f t="shared" si="6"/>
        <v>8388.26</v>
      </c>
      <c r="L34" s="37">
        <f t="shared" si="6"/>
        <v>20111.739999999998</v>
      </c>
    </row>
    <row r="35" spans="2:13" s="39" customFormat="1" ht="25.5" customHeight="1" thickBot="1" x14ac:dyDescent="0.3">
      <c r="B35" s="50"/>
      <c r="C35" s="50"/>
      <c r="D35" s="50"/>
      <c r="E35" s="50"/>
      <c r="F35" s="280"/>
      <c r="G35" s="40"/>
      <c r="H35" s="40"/>
      <c r="I35" s="40"/>
      <c r="J35" s="40"/>
      <c r="K35" s="40"/>
      <c r="L35" s="40"/>
    </row>
    <row r="36" spans="2:13" s="39" customFormat="1" ht="30" customHeight="1" thickBot="1" x14ac:dyDescent="0.3">
      <c r="B36" s="318" t="s">
        <v>158</v>
      </c>
      <c r="C36" s="319"/>
      <c r="D36" s="319"/>
      <c r="E36" s="319"/>
      <c r="F36" s="319"/>
      <c r="G36" s="319"/>
      <c r="H36" s="319"/>
      <c r="I36" s="319"/>
      <c r="J36" s="319"/>
      <c r="K36" s="319"/>
      <c r="L36" s="320"/>
    </row>
    <row r="37" spans="2:13" s="53" customFormat="1" ht="30" customHeight="1" x14ac:dyDescent="0.25">
      <c r="B37" s="75">
        <f>+B33+1</f>
        <v>8</v>
      </c>
      <c r="C37" s="112" t="s">
        <v>62</v>
      </c>
      <c r="D37" s="122" t="s">
        <v>421</v>
      </c>
      <c r="E37" s="109" t="s">
        <v>185</v>
      </c>
      <c r="F37" s="126" t="s">
        <v>122</v>
      </c>
      <c r="G37" s="107">
        <v>52000</v>
      </c>
      <c r="H37" s="77">
        <v>1492.4</v>
      </c>
      <c r="I37" s="77">
        <v>1490.21</v>
      </c>
      <c r="J37" s="107">
        <v>12254.35</v>
      </c>
      <c r="K37" s="107">
        <f>SUM(H37:J37)</f>
        <v>15236.960000000001</v>
      </c>
      <c r="L37" s="78">
        <f>+G37-K37</f>
        <v>36763.040000000001</v>
      </c>
      <c r="M37" s="39"/>
    </row>
    <row r="38" spans="2:13" s="39" customFormat="1" ht="30" customHeight="1" x14ac:dyDescent="0.25">
      <c r="B38" s="312" t="s">
        <v>125</v>
      </c>
      <c r="C38" s="313"/>
      <c r="D38" s="313"/>
      <c r="E38" s="313"/>
      <c r="F38" s="314"/>
      <c r="G38" s="37">
        <f t="shared" ref="G38:L38" si="7">SUM(G37:G37)</f>
        <v>52000</v>
      </c>
      <c r="H38" s="37">
        <f t="shared" si="7"/>
        <v>1492.4</v>
      </c>
      <c r="I38" s="37">
        <f t="shared" si="7"/>
        <v>1490.21</v>
      </c>
      <c r="J38" s="37">
        <f t="shared" si="7"/>
        <v>12254.35</v>
      </c>
      <c r="K38" s="37">
        <f t="shared" si="7"/>
        <v>15236.960000000001</v>
      </c>
      <c r="L38" s="37">
        <f t="shared" si="7"/>
        <v>36763.040000000001</v>
      </c>
    </row>
    <row r="39" spans="2:13" s="39" customFormat="1" ht="25.5" customHeight="1" thickBot="1" x14ac:dyDescent="0.3">
      <c r="B39" s="44"/>
      <c r="C39" s="42"/>
      <c r="D39" s="44"/>
      <c r="E39" s="43"/>
      <c r="F39" s="274"/>
      <c r="L39" s="38"/>
    </row>
    <row r="40" spans="2:13" ht="30" customHeight="1" thickBot="1" x14ac:dyDescent="0.3">
      <c r="B40" s="318" t="s">
        <v>159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20"/>
    </row>
    <row r="41" spans="2:13" ht="46.5" customHeight="1" x14ac:dyDescent="0.25">
      <c r="B41" s="80">
        <f>+B37+1</f>
        <v>9</v>
      </c>
      <c r="C41" s="174" t="s">
        <v>527</v>
      </c>
      <c r="D41" s="175" t="s">
        <v>421</v>
      </c>
      <c r="E41" s="109" t="s">
        <v>528</v>
      </c>
      <c r="F41" s="275" t="s">
        <v>121</v>
      </c>
      <c r="G41" s="176">
        <v>45000</v>
      </c>
      <c r="H41" s="154">
        <v>1291.5</v>
      </c>
      <c r="I41" s="154">
        <v>1368</v>
      </c>
      <c r="J41" s="154">
        <v>10585.12</v>
      </c>
      <c r="K41" s="155">
        <f>SUM(H41:J41)</f>
        <v>13244.62</v>
      </c>
      <c r="L41" s="270">
        <f>+G41-K41</f>
        <v>31755.379999999997</v>
      </c>
    </row>
    <row r="42" spans="2:13" ht="30" customHeight="1" x14ac:dyDescent="0.25">
      <c r="B42" s="312" t="s">
        <v>125</v>
      </c>
      <c r="C42" s="313"/>
      <c r="D42" s="313"/>
      <c r="E42" s="313"/>
      <c r="F42" s="314"/>
      <c r="G42" s="37">
        <f t="shared" ref="G42:L42" si="8">SUM(G41:G41)</f>
        <v>45000</v>
      </c>
      <c r="H42" s="37">
        <f t="shared" si="8"/>
        <v>1291.5</v>
      </c>
      <c r="I42" s="37">
        <f t="shared" si="8"/>
        <v>1368</v>
      </c>
      <c r="J42" s="37">
        <f t="shared" si="8"/>
        <v>10585.12</v>
      </c>
      <c r="K42" s="37">
        <f>SUM(K41:K41)</f>
        <v>13244.62</v>
      </c>
      <c r="L42" s="37">
        <f t="shared" si="8"/>
        <v>31755.379999999997</v>
      </c>
    </row>
    <row r="43" spans="2:13" s="39" customFormat="1" ht="32.25" customHeight="1" thickBot="1" x14ac:dyDescent="0.3">
      <c r="B43" s="44"/>
      <c r="C43" s="42"/>
      <c r="D43" s="44"/>
      <c r="E43" s="43"/>
      <c r="F43" s="274"/>
      <c r="L43" s="38"/>
    </row>
    <row r="44" spans="2:13" s="39" customFormat="1" ht="32.25" customHeight="1" thickBot="1" x14ac:dyDescent="0.3">
      <c r="B44" s="318" t="s">
        <v>162</v>
      </c>
      <c r="C44" s="319"/>
      <c r="D44" s="319"/>
      <c r="E44" s="319"/>
      <c r="F44" s="319"/>
      <c r="G44" s="319"/>
      <c r="H44" s="319"/>
      <c r="I44" s="319"/>
      <c r="J44" s="319"/>
      <c r="K44" s="319"/>
      <c r="L44" s="320"/>
    </row>
    <row r="45" spans="2:13" s="87" customFormat="1" ht="30" customHeight="1" x14ac:dyDescent="0.25">
      <c r="B45" s="122">
        <f>+B41+1</f>
        <v>10</v>
      </c>
      <c r="C45" s="112" t="s">
        <v>540</v>
      </c>
      <c r="D45" s="122" t="s">
        <v>421</v>
      </c>
      <c r="E45" s="123" t="s">
        <v>186</v>
      </c>
      <c r="F45" s="275" t="s">
        <v>121</v>
      </c>
      <c r="G45" s="107">
        <v>50000</v>
      </c>
      <c r="H45" s="82">
        <v>1435</v>
      </c>
      <c r="I45" s="82">
        <v>1520</v>
      </c>
      <c r="J45" s="82">
        <v>11761.25</v>
      </c>
      <c r="K45" s="77">
        <f>SUM(H45:J45)</f>
        <v>14716.25</v>
      </c>
      <c r="L45" s="78">
        <f>+G45-K45</f>
        <v>35283.75</v>
      </c>
      <c r="M45" s="47"/>
    </row>
    <row r="46" spans="2:13" s="39" customFormat="1" ht="30" customHeight="1" x14ac:dyDescent="0.25">
      <c r="B46" s="312" t="s">
        <v>125</v>
      </c>
      <c r="C46" s="313"/>
      <c r="D46" s="313"/>
      <c r="E46" s="313"/>
      <c r="F46" s="314"/>
      <c r="G46" s="37">
        <f t="shared" ref="G46:L46" si="9">SUM(G45:G45)</f>
        <v>50000</v>
      </c>
      <c r="H46" s="37">
        <f t="shared" si="9"/>
        <v>1435</v>
      </c>
      <c r="I46" s="37">
        <f t="shared" si="9"/>
        <v>1520</v>
      </c>
      <c r="J46" s="37">
        <f t="shared" si="9"/>
        <v>11761.25</v>
      </c>
      <c r="K46" s="37">
        <f t="shared" si="9"/>
        <v>14716.25</v>
      </c>
      <c r="L46" s="37">
        <f t="shared" si="9"/>
        <v>35283.75</v>
      </c>
    </row>
    <row r="47" spans="2:13" ht="26.25" customHeight="1" thickBot="1" x14ac:dyDescent="0.25"/>
    <row r="48" spans="2:13" s="39" customFormat="1" ht="28.5" customHeight="1" thickBot="1" x14ac:dyDescent="0.3">
      <c r="B48" s="318" t="s">
        <v>164</v>
      </c>
      <c r="C48" s="319"/>
      <c r="D48" s="319"/>
      <c r="E48" s="319"/>
      <c r="F48" s="319"/>
      <c r="G48" s="319"/>
      <c r="H48" s="319"/>
      <c r="I48" s="319"/>
      <c r="J48" s="319"/>
      <c r="K48" s="319"/>
      <c r="L48" s="320"/>
    </row>
    <row r="49" spans="2:13" s="53" customFormat="1" ht="30" customHeight="1" x14ac:dyDescent="0.25">
      <c r="B49" s="122">
        <f>+B45+1</f>
        <v>11</v>
      </c>
      <c r="C49" s="112" t="s">
        <v>65</v>
      </c>
      <c r="D49" s="122" t="s">
        <v>421</v>
      </c>
      <c r="E49" s="177" t="s">
        <v>187</v>
      </c>
      <c r="F49" s="126" t="s">
        <v>122</v>
      </c>
      <c r="G49" s="107">
        <v>34750</v>
      </c>
      <c r="H49" s="77">
        <v>997.32499999999982</v>
      </c>
      <c r="I49" s="77">
        <v>965.81</v>
      </c>
      <c r="J49" s="77">
        <v>8196.7199999999993</v>
      </c>
      <c r="K49" s="77">
        <f>SUM(H49:J49)</f>
        <v>10159.855</v>
      </c>
      <c r="L49" s="78">
        <f>+G49-K49</f>
        <v>24590.145</v>
      </c>
      <c r="M49" s="39"/>
    </row>
    <row r="50" spans="2:13" s="39" customFormat="1" ht="30" customHeight="1" x14ac:dyDescent="0.25">
      <c r="B50" s="312" t="s">
        <v>125</v>
      </c>
      <c r="C50" s="313"/>
      <c r="D50" s="313"/>
      <c r="E50" s="313"/>
      <c r="F50" s="314"/>
      <c r="G50" s="37">
        <f t="shared" ref="G50:L50" si="10">SUM(G49:G49)</f>
        <v>34750</v>
      </c>
      <c r="H50" s="37">
        <f t="shared" si="10"/>
        <v>997.32499999999982</v>
      </c>
      <c r="I50" s="37">
        <f t="shared" si="10"/>
        <v>965.81</v>
      </c>
      <c r="J50" s="37">
        <f t="shared" si="10"/>
        <v>8196.7199999999993</v>
      </c>
      <c r="K50" s="37">
        <f t="shared" si="10"/>
        <v>10159.855</v>
      </c>
      <c r="L50" s="37">
        <f t="shared" si="10"/>
        <v>24590.145</v>
      </c>
    </row>
    <row r="51" spans="2:13" customFormat="1" ht="33.75" customHeight="1" thickBot="1" x14ac:dyDescent="0.25">
      <c r="D51" s="136"/>
      <c r="F51" s="272"/>
      <c r="M51" s="199"/>
    </row>
    <row r="52" spans="2:13" customFormat="1" ht="33.75" customHeight="1" thickBot="1" x14ac:dyDescent="0.3">
      <c r="B52" s="318" t="s">
        <v>168</v>
      </c>
      <c r="C52" s="319"/>
      <c r="D52" s="319"/>
      <c r="E52" s="319"/>
      <c r="F52" s="319"/>
      <c r="G52" s="319"/>
      <c r="H52" s="319"/>
      <c r="I52" s="319"/>
      <c r="J52" s="319"/>
      <c r="K52" s="319"/>
      <c r="L52" s="320"/>
      <c r="M52" s="199"/>
    </row>
    <row r="53" spans="2:13" customFormat="1" ht="33.75" customHeight="1" x14ac:dyDescent="0.25">
      <c r="B53" s="36">
        <f>+B49+1</f>
        <v>12</v>
      </c>
      <c r="C53" s="108" t="s">
        <v>481</v>
      </c>
      <c r="D53" s="36" t="s">
        <v>420</v>
      </c>
      <c r="E53" s="109" t="s">
        <v>482</v>
      </c>
      <c r="F53" s="126" t="s">
        <v>197</v>
      </c>
      <c r="G53" s="110">
        <v>55000</v>
      </c>
      <c r="H53" s="82">
        <v>1578.5</v>
      </c>
      <c r="I53" s="82">
        <v>1672</v>
      </c>
      <c r="J53" s="82">
        <v>12937.38</v>
      </c>
      <c r="K53" s="77">
        <f>SUM(H53:J53)</f>
        <v>16187.88</v>
      </c>
      <c r="L53" s="78">
        <f>+G53-K53</f>
        <v>38812.120000000003</v>
      </c>
      <c r="M53" s="199"/>
    </row>
    <row r="54" spans="2:13" customFormat="1" ht="33.75" customHeight="1" x14ac:dyDescent="0.25">
      <c r="B54" s="312" t="s">
        <v>125</v>
      </c>
      <c r="C54" s="313"/>
      <c r="D54" s="313"/>
      <c r="E54" s="313"/>
      <c r="F54" s="314"/>
      <c r="G54" s="37">
        <f t="shared" ref="G54:L54" si="11">SUM(G53:G53)</f>
        <v>55000</v>
      </c>
      <c r="H54" s="37">
        <f t="shared" si="11"/>
        <v>1578.5</v>
      </c>
      <c r="I54" s="37">
        <f t="shared" si="11"/>
        <v>1672</v>
      </c>
      <c r="J54" s="37">
        <f t="shared" si="11"/>
        <v>12937.38</v>
      </c>
      <c r="K54" s="37">
        <f t="shared" si="11"/>
        <v>16187.88</v>
      </c>
      <c r="L54" s="37">
        <f t="shared" si="11"/>
        <v>38812.120000000003</v>
      </c>
      <c r="M54" s="199"/>
    </row>
    <row r="55" spans="2:13" customFormat="1" ht="33.75" customHeight="1" thickBot="1" x14ac:dyDescent="0.25">
      <c r="D55" s="136"/>
      <c r="F55" s="272"/>
      <c r="M55" s="199"/>
    </row>
    <row r="56" spans="2:13" s="39" customFormat="1" ht="30" customHeight="1" thickBot="1" x14ac:dyDescent="0.3">
      <c r="B56" s="318" t="s">
        <v>169</v>
      </c>
      <c r="C56" s="319"/>
      <c r="D56" s="319"/>
      <c r="E56" s="319"/>
      <c r="F56" s="319"/>
      <c r="G56" s="319"/>
      <c r="H56" s="319"/>
      <c r="I56" s="319"/>
      <c r="J56" s="319"/>
      <c r="K56" s="319"/>
      <c r="L56" s="320"/>
    </row>
    <row r="57" spans="2:13" s="53" customFormat="1" ht="30" customHeight="1" x14ac:dyDescent="0.25">
      <c r="B57" s="36">
        <f>+B53+1</f>
        <v>13</v>
      </c>
      <c r="C57" s="108" t="s">
        <v>195</v>
      </c>
      <c r="D57" s="36" t="s">
        <v>420</v>
      </c>
      <c r="E57" s="109" t="s">
        <v>263</v>
      </c>
      <c r="F57" s="126" t="s">
        <v>122</v>
      </c>
      <c r="G57" s="110">
        <v>55000</v>
      </c>
      <c r="H57" s="82">
        <v>1578.5</v>
      </c>
      <c r="I57" s="82">
        <v>1672</v>
      </c>
      <c r="J57" s="82">
        <v>12928.33</v>
      </c>
      <c r="K57" s="77">
        <f>SUM(H57:J57)</f>
        <v>16178.83</v>
      </c>
      <c r="L57" s="78">
        <f>+G57-K57</f>
        <v>38821.17</v>
      </c>
      <c r="M57" s="39"/>
    </row>
    <row r="58" spans="2:13" s="47" customFormat="1" ht="30" customHeight="1" thickBot="1" x14ac:dyDescent="0.3">
      <c r="B58" s="312" t="s">
        <v>125</v>
      </c>
      <c r="C58" s="313"/>
      <c r="D58" s="313"/>
      <c r="E58" s="313"/>
      <c r="F58" s="314"/>
      <c r="G58" s="37">
        <f t="shared" ref="G58:L58" si="12">SUM(G57:G57)</f>
        <v>55000</v>
      </c>
      <c r="H58" s="37">
        <f t="shared" si="12"/>
        <v>1578.5</v>
      </c>
      <c r="I58" s="37">
        <f t="shared" si="12"/>
        <v>1672</v>
      </c>
      <c r="J58" s="37">
        <f t="shared" si="12"/>
        <v>12928.33</v>
      </c>
      <c r="K58" s="37">
        <f t="shared" si="12"/>
        <v>16178.83</v>
      </c>
      <c r="L58" s="37">
        <f t="shared" si="12"/>
        <v>38821.17</v>
      </c>
    </row>
    <row r="59" spans="2:13" s="39" customFormat="1" ht="31.5" customHeight="1" thickBot="1" x14ac:dyDescent="0.3">
      <c r="B59" s="318" t="s">
        <v>529</v>
      </c>
      <c r="C59" s="319"/>
      <c r="D59" s="319"/>
      <c r="E59" s="319"/>
      <c r="F59" s="319"/>
      <c r="G59" s="319"/>
      <c r="H59" s="319"/>
      <c r="I59" s="319"/>
      <c r="J59" s="319"/>
      <c r="K59" s="319"/>
      <c r="L59" s="320"/>
    </row>
    <row r="60" spans="2:13" s="39" customFormat="1" ht="31.5" customHeight="1" x14ac:dyDescent="0.25">
      <c r="B60" s="36">
        <f>+B57+1</f>
        <v>14</v>
      </c>
      <c r="C60" s="108" t="s">
        <v>102</v>
      </c>
      <c r="D60" s="36" t="s">
        <v>421</v>
      </c>
      <c r="E60" s="109" t="s">
        <v>530</v>
      </c>
      <c r="F60" s="182" t="s">
        <v>197</v>
      </c>
      <c r="G60" s="110">
        <v>45000</v>
      </c>
      <c r="H60" s="82">
        <v>1291.5</v>
      </c>
      <c r="I60" s="82">
        <v>1368</v>
      </c>
      <c r="J60" s="82">
        <v>10585.13</v>
      </c>
      <c r="K60" s="77">
        <f>SUM(H60:J60)</f>
        <v>13244.63</v>
      </c>
      <c r="L60" s="78">
        <f>+G60-K60</f>
        <v>31755.370000000003</v>
      </c>
    </row>
    <row r="61" spans="2:13" s="39" customFormat="1" ht="31.5" customHeight="1" x14ac:dyDescent="0.25">
      <c r="B61" s="312" t="s">
        <v>125</v>
      </c>
      <c r="C61" s="313"/>
      <c r="D61" s="313"/>
      <c r="E61" s="313"/>
      <c r="F61" s="314"/>
      <c r="G61" s="37">
        <f t="shared" ref="G61:L61" si="13">SUM(G60:G60)</f>
        <v>45000</v>
      </c>
      <c r="H61" s="37">
        <f t="shared" si="13"/>
        <v>1291.5</v>
      </c>
      <c r="I61" s="37">
        <f t="shared" si="13"/>
        <v>1368</v>
      </c>
      <c r="J61" s="37">
        <f t="shared" si="13"/>
        <v>10585.13</v>
      </c>
      <c r="K61" s="37">
        <f t="shared" si="13"/>
        <v>13244.63</v>
      </c>
      <c r="L61" s="37">
        <f t="shared" si="13"/>
        <v>31755.370000000003</v>
      </c>
    </row>
    <row r="62" spans="2:13" s="39" customFormat="1" ht="31.5" customHeight="1" thickBot="1" x14ac:dyDescent="0.3">
      <c r="B62" s="4"/>
      <c r="C62" s="23"/>
      <c r="D62" s="4"/>
      <c r="E62" s="23"/>
      <c r="F62" s="276"/>
      <c r="G62" s="2"/>
      <c r="H62" s="1"/>
      <c r="I62" s="1"/>
      <c r="J62" s="1"/>
      <c r="K62" s="1"/>
      <c r="L62" s="1"/>
    </row>
    <row r="63" spans="2:13" s="53" customFormat="1" ht="28.5" customHeight="1" thickBot="1" x14ac:dyDescent="0.3">
      <c r="B63" s="318" t="s">
        <v>172</v>
      </c>
      <c r="C63" s="319"/>
      <c r="D63" s="319"/>
      <c r="E63" s="319"/>
      <c r="F63" s="319"/>
      <c r="G63" s="319"/>
      <c r="H63" s="319"/>
      <c r="I63" s="319"/>
      <c r="J63" s="319"/>
      <c r="K63" s="319"/>
      <c r="L63" s="320"/>
      <c r="M63" s="39"/>
    </row>
    <row r="64" spans="2:13" s="53" customFormat="1" ht="30" customHeight="1" x14ac:dyDescent="0.25">
      <c r="B64" s="75">
        <f>B60+1</f>
        <v>15</v>
      </c>
      <c r="C64" s="112" t="s">
        <v>271</v>
      </c>
      <c r="D64" s="122" t="s">
        <v>420</v>
      </c>
      <c r="E64" s="123" t="s">
        <v>272</v>
      </c>
      <c r="F64" s="126" t="s">
        <v>122</v>
      </c>
      <c r="G64" s="107">
        <v>28500</v>
      </c>
      <c r="H64" s="82">
        <v>817.94999999999982</v>
      </c>
      <c r="I64" s="82">
        <v>866.40000000000009</v>
      </c>
      <c r="J64" s="82">
        <v>6703.91</v>
      </c>
      <c r="K64" s="77">
        <f>SUM(H64:J64)</f>
        <v>8388.26</v>
      </c>
      <c r="L64" s="78">
        <f>+G64-K64</f>
        <v>20111.739999999998</v>
      </c>
      <c r="M64" s="39"/>
    </row>
    <row r="65" spans="2:13" ht="29.25" customHeight="1" x14ac:dyDescent="0.25">
      <c r="B65" s="312" t="s">
        <v>125</v>
      </c>
      <c r="C65" s="313"/>
      <c r="D65" s="313"/>
      <c r="E65" s="313"/>
      <c r="F65" s="314"/>
      <c r="G65" s="37">
        <f t="shared" ref="G65:L65" si="14">SUM(G64:G64)</f>
        <v>28500</v>
      </c>
      <c r="H65" s="37">
        <f t="shared" si="14"/>
        <v>817.94999999999982</v>
      </c>
      <c r="I65" s="37">
        <f t="shared" si="14"/>
        <v>866.40000000000009</v>
      </c>
      <c r="J65" s="37">
        <f t="shared" si="14"/>
        <v>6703.91</v>
      </c>
      <c r="K65" s="37">
        <f t="shared" si="14"/>
        <v>8388.26</v>
      </c>
      <c r="L65" s="37">
        <f t="shared" si="14"/>
        <v>20111.739999999998</v>
      </c>
    </row>
    <row r="66" spans="2:13" ht="29.25" customHeight="1" thickBot="1" x14ac:dyDescent="0.3">
      <c r="B66" s="50"/>
      <c r="C66" s="50"/>
      <c r="D66" s="50"/>
      <c r="E66" s="50"/>
      <c r="F66" s="280"/>
      <c r="G66" s="40"/>
      <c r="H66" s="40"/>
      <c r="I66" s="40"/>
      <c r="J66" s="40"/>
      <c r="K66" s="40"/>
      <c r="L66" s="40"/>
    </row>
    <row r="67" spans="2:13" s="53" customFormat="1" ht="30" customHeight="1" thickBot="1" x14ac:dyDescent="0.3">
      <c r="B67" s="315" t="s">
        <v>173</v>
      </c>
      <c r="C67" s="316"/>
      <c r="D67" s="316"/>
      <c r="E67" s="316"/>
      <c r="F67" s="316"/>
      <c r="G67" s="316"/>
      <c r="H67" s="316"/>
      <c r="I67" s="316"/>
      <c r="J67" s="316"/>
      <c r="K67" s="316"/>
      <c r="L67" s="317"/>
      <c r="M67" s="39"/>
    </row>
    <row r="68" spans="2:13" s="47" customFormat="1" ht="37.5" customHeight="1" x14ac:dyDescent="0.25">
      <c r="B68" s="80">
        <f>+B64+1</f>
        <v>16</v>
      </c>
      <c r="C68" s="108" t="s">
        <v>72</v>
      </c>
      <c r="D68" s="36" t="s">
        <v>421</v>
      </c>
      <c r="E68" s="109" t="s">
        <v>200</v>
      </c>
      <c r="F68" s="126" t="s">
        <v>122</v>
      </c>
      <c r="G68" s="110">
        <v>41500</v>
      </c>
      <c r="H68" s="82">
        <v>1191.0500000000002</v>
      </c>
      <c r="I68" s="82">
        <v>1171.01</v>
      </c>
      <c r="J68" s="82">
        <v>9784.49</v>
      </c>
      <c r="K68" s="77">
        <f>SUM(H68:J68)</f>
        <v>12146.55</v>
      </c>
      <c r="L68" s="84">
        <f>+G68-K68</f>
        <v>29353.45</v>
      </c>
    </row>
    <row r="69" spans="2:13" customFormat="1" ht="27" customHeight="1" x14ac:dyDescent="0.25">
      <c r="B69" s="312" t="s">
        <v>125</v>
      </c>
      <c r="C69" s="313"/>
      <c r="D69" s="313"/>
      <c r="E69" s="313"/>
      <c r="F69" s="314"/>
      <c r="G69" s="37">
        <f>SUM(G68)</f>
        <v>41500</v>
      </c>
      <c r="H69" s="37">
        <f t="shared" ref="H69:L69" si="15">SUM(H67:H68)</f>
        <v>1191.0500000000002</v>
      </c>
      <c r="I69" s="37">
        <f t="shared" si="15"/>
        <v>1171.01</v>
      </c>
      <c r="J69" s="37">
        <f t="shared" si="15"/>
        <v>9784.49</v>
      </c>
      <c r="K69" s="37">
        <f t="shared" si="15"/>
        <v>12146.55</v>
      </c>
      <c r="L69" s="37">
        <f t="shared" si="15"/>
        <v>29353.45</v>
      </c>
      <c r="M69" s="199"/>
    </row>
    <row r="70" spans="2:13" customFormat="1" ht="27" customHeight="1" thickBot="1" x14ac:dyDescent="0.3">
      <c r="B70" s="50"/>
      <c r="C70" s="50"/>
      <c r="D70" s="50"/>
      <c r="E70" s="50"/>
      <c r="F70" s="280"/>
      <c r="G70" s="86"/>
      <c r="H70" s="86"/>
      <c r="I70" s="86"/>
      <c r="J70" s="86"/>
      <c r="K70" s="86"/>
      <c r="L70" s="86"/>
      <c r="M70" s="199"/>
    </row>
    <row r="71" spans="2:13" s="53" customFormat="1" ht="30" customHeight="1" thickBot="1" x14ac:dyDescent="0.3">
      <c r="B71" s="315" t="s">
        <v>646</v>
      </c>
      <c r="C71" s="316"/>
      <c r="D71" s="316"/>
      <c r="E71" s="316"/>
      <c r="F71" s="316"/>
      <c r="G71" s="316"/>
      <c r="H71" s="316"/>
      <c r="I71" s="316"/>
      <c r="J71" s="316"/>
      <c r="K71" s="316"/>
      <c r="L71" s="317"/>
      <c r="M71" s="39"/>
    </row>
    <row r="72" spans="2:13" s="47" customFormat="1" ht="37.5" customHeight="1" x14ac:dyDescent="0.25">
      <c r="B72" s="80">
        <f>+B68+1</f>
        <v>17</v>
      </c>
      <c r="C72" s="108" t="s">
        <v>647</v>
      </c>
      <c r="D72" s="36" t="s">
        <v>421</v>
      </c>
      <c r="E72" s="238" t="s">
        <v>648</v>
      </c>
      <c r="F72" s="126" t="s">
        <v>649</v>
      </c>
      <c r="G72" s="110">
        <v>45000</v>
      </c>
      <c r="H72" s="82">
        <v>1291.5</v>
      </c>
      <c r="I72" s="82">
        <v>1368</v>
      </c>
      <c r="J72" s="82">
        <v>10585.13</v>
      </c>
      <c r="K72" s="77">
        <f>SUM(H72:J72)</f>
        <v>13244.63</v>
      </c>
      <c r="L72" s="84">
        <f>+G72-K72</f>
        <v>31755.370000000003</v>
      </c>
    </row>
    <row r="73" spans="2:13" customFormat="1" ht="27" customHeight="1" x14ac:dyDescent="0.25">
      <c r="B73" s="312" t="s">
        <v>125</v>
      </c>
      <c r="C73" s="313"/>
      <c r="D73" s="313"/>
      <c r="E73" s="313"/>
      <c r="F73" s="314"/>
      <c r="G73" s="37">
        <f>SUM(G72)</f>
        <v>45000</v>
      </c>
      <c r="H73" s="37">
        <f t="shared" ref="H73:L73" si="16">SUM(H71:H72)</f>
        <v>1291.5</v>
      </c>
      <c r="I73" s="37">
        <f t="shared" si="16"/>
        <v>1368</v>
      </c>
      <c r="J73" s="37">
        <f t="shared" si="16"/>
        <v>10585.13</v>
      </c>
      <c r="K73" s="37">
        <f t="shared" si="16"/>
        <v>13244.63</v>
      </c>
      <c r="L73" s="37">
        <f t="shared" si="16"/>
        <v>31755.370000000003</v>
      </c>
      <c r="M73" s="199"/>
    </row>
    <row r="74" spans="2:13" customFormat="1" ht="27" customHeight="1" thickBot="1" x14ac:dyDescent="0.3">
      <c r="B74" s="50"/>
      <c r="C74" s="50"/>
      <c r="D74" s="50"/>
      <c r="E74" s="50"/>
      <c r="F74" s="280"/>
      <c r="G74" s="86"/>
      <c r="H74" s="86"/>
      <c r="I74" s="86"/>
      <c r="J74" s="86"/>
      <c r="K74" s="86"/>
      <c r="L74" s="86"/>
      <c r="M74" s="199"/>
    </row>
    <row r="75" spans="2:13" s="53" customFormat="1" ht="27" customHeight="1" thickBot="1" x14ac:dyDescent="0.3">
      <c r="B75" s="315" t="s">
        <v>91</v>
      </c>
      <c r="C75" s="316"/>
      <c r="D75" s="316"/>
      <c r="E75" s="316"/>
      <c r="F75" s="316"/>
      <c r="G75" s="316"/>
      <c r="H75" s="316"/>
      <c r="I75" s="316"/>
      <c r="J75" s="316"/>
      <c r="K75" s="316"/>
      <c r="L75" s="317"/>
      <c r="M75" s="39"/>
    </row>
    <row r="76" spans="2:13" s="53" customFormat="1" ht="30" customHeight="1" x14ac:dyDescent="0.25">
      <c r="B76" s="75">
        <f>+B72+1</f>
        <v>18</v>
      </c>
      <c r="C76" s="112" t="s">
        <v>280</v>
      </c>
      <c r="D76" s="122" t="s">
        <v>421</v>
      </c>
      <c r="E76" s="123" t="s">
        <v>281</v>
      </c>
      <c r="F76" s="126" t="s">
        <v>122</v>
      </c>
      <c r="G76" s="107">
        <v>29500</v>
      </c>
      <c r="H76" s="82">
        <v>846.64999999999964</v>
      </c>
      <c r="I76" s="77">
        <v>502.21</v>
      </c>
      <c r="J76" s="82">
        <v>7037.79</v>
      </c>
      <c r="K76" s="77">
        <f>SUM(H76:J76)</f>
        <v>8386.65</v>
      </c>
      <c r="L76" s="84">
        <f>+G76-K76</f>
        <v>21113.35</v>
      </c>
      <c r="M76" s="39"/>
    </row>
    <row r="77" spans="2:13" s="53" customFormat="1" ht="31.5" x14ac:dyDescent="0.25">
      <c r="B77" s="36">
        <f>+B76+1</f>
        <v>19</v>
      </c>
      <c r="C77" s="108" t="s">
        <v>14</v>
      </c>
      <c r="D77" s="36" t="s">
        <v>421</v>
      </c>
      <c r="E77" s="109" t="s">
        <v>515</v>
      </c>
      <c r="F77" s="126" t="s">
        <v>197</v>
      </c>
      <c r="G77" s="110">
        <v>5000</v>
      </c>
      <c r="H77" s="82">
        <v>143.5</v>
      </c>
      <c r="I77" s="82">
        <v>152</v>
      </c>
      <c r="J77" s="82">
        <v>1176.130000000001</v>
      </c>
      <c r="K77" s="77">
        <f>SUM(H77:J77)</f>
        <v>1471.630000000001</v>
      </c>
      <c r="L77" s="78">
        <f>+G77-K77</f>
        <v>3528.369999999999</v>
      </c>
      <c r="M77" s="39"/>
    </row>
    <row r="78" spans="2:13" s="39" customFormat="1" ht="25.5" customHeight="1" x14ac:dyDescent="0.25">
      <c r="B78" s="312" t="s">
        <v>125</v>
      </c>
      <c r="C78" s="313"/>
      <c r="D78" s="313"/>
      <c r="E78" s="313"/>
      <c r="F78" s="314"/>
      <c r="G78" s="37">
        <f>SUM(G76:G77)</f>
        <v>34500</v>
      </c>
      <c r="H78" s="37">
        <f t="shared" ref="H78:L78" si="17">SUM(H76:H77)</f>
        <v>990.14999999999964</v>
      </c>
      <c r="I78" s="37">
        <f t="shared" si="17"/>
        <v>654.21</v>
      </c>
      <c r="J78" s="37">
        <f t="shared" si="17"/>
        <v>8213.9200000000019</v>
      </c>
      <c r="K78" s="37">
        <f t="shared" si="17"/>
        <v>9858.2800000000007</v>
      </c>
      <c r="L78" s="37">
        <f t="shared" si="17"/>
        <v>24641.719999999998</v>
      </c>
    </row>
    <row r="79" spans="2:13" s="39" customFormat="1" ht="25.5" customHeight="1" thickBot="1" x14ac:dyDescent="0.3">
      <c r="B79" s="50"/>
      <c r="C79" s="50"/>
      <c r="D79" s="50"/>
      <c r="E79" s="50"/>
      <c r="F79" s="280"/>
      <c r="G79" s="40"/>
      <c r="H79" s="40"/>
      <c r="I79" s="40"/>
      <c r="J79" s="40"/>
      <c r="K79" s="40"/>
      <c r="L79" s="40"/>
    </row>
    <row r="80" spans="2:13" s="39" customFormat="1" ht="25.5" customHeight="1" thickBot="1" x14ac:dyDescent="0.3">
      <c r="B80" s="318" t="s">
        <v>531</v>
      </c>
      <c r="C80" s="319"/>
      <c r="D80" s="319"/>
      <c r="E80" s="319"/>
      <c r="F80" s="319"/>
      <c r="G80" s="319"/>
      <c r="H80" s="319"/>
      <c r="I80" s="319"/>
      <c r="J80" s="319"/>
      <c r="K80" s="319"/>
      <c r="L80" s="320"/>
    </row>
    <row r="81" spans="2:13" s="39" customFormat="1" ht="30" customHeight="1" x14ac:dyDescent="0.25">
      <c r="B81" s="36">
        <f>B77+1</f>
        <v>20</v>
      </c>
      <c r="C81" s="108" t="s">
        <v>532</v>
      </c>
      <c r="D81" s="36" t="s">
        <v>421</v>
      </c>
      <c r="E81" s="177" t="s">
        <v>533</v>
      </c>
      <c r="F81" s="126" t="s">
        <v>197</v>
      </c>
      <c r="G81" s="82">
        <v>85000</v>
      </c>
      <c r="H81" s="82">
        <v>2439.5</v>
      </c>
      <c r="I81" s="82">
        <v>2584</v>
      </c>
      <c r="J81" s="188">
        <v>19994.13</v>
      </c>
      <c r="K81" s="77">
        <f>SUM(H81:J81)</f>
        <v>25017.63</v>
      </c>
      <c r="L81" s="78">
        <f>+G81-K81</f>
        <v>59982.369999999995</v>
      </c>
    </row>
    <row r="82" spans="2:13" s="39" customFormat="1" ht="30" customHeight="1" x14ac:dyDescent="0.25">
      <c r="B82" s="36">
        <f>+B81+1</f>
        <v>21</v>
      </c>
      <c r="C82" s="108" t="s">
        <v>559</v>
      </c>
      <c r="D82" s="36" t="s">
        <v>421</v>
      </c>
      <c r="E82" s="109" t="s">
        <v>560</v>
      </c>
      <c r="F82" s="126" t="s">
        <v>122</v>
      </c>
      <c r="G82" s="82">
        <v>20000</v>
      </c>
      <c r="H82" s="82">
        <v>574</v>
      </c>
      <c r="I82" s="82">
        <v>608</v>
      </c>
      <c r="J82" s="188">
        <v>3435.58</v>
      </c>
      <c r="K82" s="77">
        <f>SUM(H82:J82)</f>
        <v>4617.58</v>
      </c>
      <c r="L82" s="78">
        <f>+G82-K82</f>
        <v>15382.42</v>
      </c>
    </row>
    <row r="83" spans="2:13" s="39" customFormat="1" ht="25.5" customHeight="1" x14ac:dyDescent="0.25">
      <c r="B83" s="312" t="s">
        <v>125</v>
      </c>
      <c r="C83" s="313"/>
      <c r="D83" s="313"/>
      <c r="E83" s="313"/>
      <c r="F83" s="314"/>
      <c r="G83" s="37">
        <f>SUM(G81:G82)</f>
        <v>105000</v>
      </c>
      <c r="H83" s="37">
        <f t="shared" ref="H83:L83" si="18">SUM(H81:H82)</f>
        <v>3013.5</v>
      </c>
      <c r="I83" s="37">
        <f t="shared" si="18"/>
        <v>3192</v>
      </c>
      <c r="J83" s="37">
        <f t="shared" si="18"/>
        <v>23429.71</v>
      </c>
      <c r="K83" s="37">
        <f t="shared" si="18"/>
        <v>29635.21</v>
      </c>
      <c r="L83" s="37">
        <f t="shared" si="18"/>
        <v>75364.789999999994</v>
      </c>
    </row>
    <row r="84" spans="2:13" s="39" customFormat="1" ht="25.5" customHeight="1" thickBot="1" x14ac:dyDescent="0.3">
      <c r="B84" s="50"/>
      <c r="C84" s="50"/>
      <c r="D84" s="50"/>
      <c r="E84" s="50"/>
      <c r="F84" s="280"/>
      <c r="G84" s="40"/>
      <c r="H84" s="40"/>
      <c r="I84" s="40"/>
      <c r="J84" s="40"/>
      <c r="K84" s="40"/>
      <c r="L84" s="40"/>
    </row>
    <row r="85" spans="2:13" s="39" customFormat="1" ht="25.5" customHeight="1" thickBot="1" x14ac:dyDescent="0.3">
      <c r="B85" s="318" t="s">
        <v>92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20"/>
    </row>
    <row r="86" spans="2:13" s="39" customFormat="1" ht="31.5" customHeight="1" x14ac:dyDescent="0.25">
      <c r="B86" s="36">
        <f>+B82+1</f>
        <v>22</v>
      </c>
      <c r="C86" s="108" t="s">
        <v>485</v>
      </c>
      <c r="D86" s="36" t="s">
        <v>421</v>
      </c>
      <c r="E86" s="109" t="s">
        <v>486</v>
      </c>
      <c r="F86" s="126" t="s">
        <v>197</v>
      </c>
      <c r="G86" s="110">
        <v>90000</v>
      </c>
      <c r="H86" s="82">
        <v>2583</v>
      </c>
      <c r="I86" s="82">
        <v>2736</v>
      </c>
      <c r="J86" s="158">
        <v>21170.25</v>
      </c>
      <c r="K86" s="77">
        <f>SUM(H86:J86)</f>
        <v>26489.25</v>
      </c>
      <c r="L86" s="78">
        <f>+G86-K86</f>
        <v>63510.75</v>
      </c>
    </row>
    <row r="87" spans="2:13" s="39" customFormat="1" ht="30" customHeight="1" x14ac:dyDescent="0.25">
      <c r="B87" s="36">
        <f>+B86+1</f>
        <v>23</v>
      </c>
      <c r="C87" s="108" t="s">
        <v>137</v>
      </c>
      <c r="D87" s="36" t="s">
        <v>421</v>
      </c>
      <c r="E87" s="109" t="s">
        <v>561</v>
      </c>
      <c r="F87" s="126" t="s">
        <v>121</v>
      </c>
      <c r="G87" s="110">
        <v>25000</v>
      </c>
      <c r="H87" s="110">
        <v>717.5</v>
      </c>
      <c r="I87" s="110">
        <v>760</v>
      </c>
      <c r="J87" s="110">
        <v>4220.12</v>
      </c>
      <c r="K87" s="107">
        <f>SUM(H87:J87)</f>
        <v>5697.62</v>
      </c>
      <c r="L87" s="78">
        <f>+G87-K87</f>
        <v>19302.38</v>
      </c>
      <c r="M87" s="38"/>
    </row>
    <row r="88" spans="2:13" s="39" customFormat="1" ht="25.5" customHeight="1" x14ac:dyDescent="0.25">
      <c r="B88" s="312" t="s">
        <v>125</v>
      </c>
      <c r="C88" s="313"/>
      <c r="D88" s="313"/>
      <c r="E88" s="313"/>
      <c r="F88" s="314"/>
      <c r="G88" s="37">
        <f>SUM(G86:G87)</f>
        <v>115000</v>
      </c>
      <c r="H88" s="37">
        <f t="shared" ref="H88:L88" si="19">SUM(H86:H87)</f>
        <v>3300.5</v>
      </c>
      <c r="I88" s="37">
        <f t="shared" si="19"/>
        <v>3496</v>
      </c>
      <c r="J88" s="37">
        <f t="shared" si="19"/>
        <v>25390.37</v>
      </c>
      <c r="K88" s="37">
        <f t="shared" si="19"/>
        <v>32186.87</v>
      </c>
      <c r="L88" s="37">
        <f t="shared" si="19"/>
        <v>82813.13</v>
      </c>
    </row>
    <row r="89" spans="2:13" s="39" customFormat="1" ht="25.5" customHeight="1" thickBot="1" x14ac:dyDescent="0.3">
      <c r="B89" s="50"/>
      <c r="C89" s="50"/>
      <c r="D89" s="50"/>
      <c r="E89" s="50"/>
      <c r="F89" s="280"/>
      <c r="G89" s="40"/>
      <c r="H89" s="40"/>
      <c r="I89" s="40"/>
      <c r="J89" s="40"/>
      <c r="K89" s="40"/>
      <c r="L89" s="40"/>
    </row>
    <row r="90" spans="2:13" s="39" customFormat="1" ht="25.5" customHeight="1" thickBot="1" x14ac:dyDescent="0.3">
      <c r="B90" s="321" t="s">
        <v>496</v>
      </c>
      <c r="C90" s="322"/>
      <c r="D90" s="322"/>
      <c r="E90" s="322"/>
      <c r="F90" s="322"/>
      <c r="G90" s="322"/>
      <c r="H90" s="322"/>
      <c r="I90" s="322"/>
      <c r="J90" s="322"/>
      <c r="K90" s="322"/>
      <c r="L90" s="323"/>
    </row>
    <row r="91" spans="2:13" s="39" customFormat="1" ht="25.5" customHeight="1" x14ac:dyDescent="0.25">
      <c r="B91" s="80">
        <f>+B87+1</f>
        <v>24</v>
      </c>
      <c r="C91" s="108" t="s">
        <v>495</v>
      </c>
      <c r="D91" s="36" t="s">
        <v>421</v>
      </c>
      <c r="E91" s="108" t="s">
        <v>108</v>
      </c>
      <c r="F91" s="126" t="s">
        <v>197</v>
      </c>
      <c r="G91" s="110">
        <v>25000</v>
      </c>
      <c r="H91" s="82">
        <v>717.5</v>
      </c>
      <c r="I91" s="82">
        <v>760</v>
      </c>
      <c r="J91" s="82">
        <v>4220.12</v>
      </c>
      <c r="K91" s="77">
        <f>SUM(H91:J91)</f>
        <v>5697.62</v>
      </c>
      <c r="L91" s="77">
        <f>+G91-K91</f>
        <v>19302.38</v>
      </c>
    </row>
    <row r="92" spans="2:13" s="39" customFormat="1" ht="25.5" customHeight="1" x14ac:dyDescent="0.25">
      <c r="B92" s="312" t="s">
        <v>125</v>
      </c>
      <c r="C92" s="313"/>
      <c r="D92" s="313"/>
      <c r="E92" s="313"/>
      <c r="F92" s="314"/>
      <c r="G92" s="37">
        <f t="shared" ref="G92:L92" si="20">SUM(G91:G91)</f>
        <v>25000</v>
      </c>
      <c r="H92" s="37">
        <f t="shared" si="20"/>
        <v>717.5</v>
      </c>
      <c r="I92" s="37">
        <f t="shared" si="20"/>
        <v>760</v>
      </c>
      <c r="J92" s="37">
        <f t="shared" si="20"/>
        <v>4220.12</v>
      </c>
      <c r="K92" s="37">
        <f>SUM(K91:K91)</f>
        <v>5697.62</v>
      </c>
      <c r="L92" s="37">
        <f t="shared" si="20"/>
        <v>19302.38</v>
      </c>
    </row>
    <row r="93" spans="2:13" s="39" customFormat="1" ht="27" customHeight="1" thickBot="1" x14ac:dyDescent="0.3">
      <c r="B93" s="50"/>
      <c r="C93" s="50"/>
      <c r="D93" s="50"/>
      <c r="E93" s="50"/>
      <c r="F93" s="280"/>
      <c r="G93"/>
      <c r="H93"/>
      <c r="I93"/>
      <c r="J93"/>
      <c r="K93"/>
      <c r="L93"/>
    </row>
    <row r="94" spans="2:13" s="53" customFormat="1" ht="30" customHeight="1" thickBot="1" x14ac:dyDescent="0.3">
      <c r="B94" s="309" t="s">
        <v>295</v>
      </c>
      <c r="C94" s="310"/>
      <c r="D94" s="310"/>
      <c r="E94" s="310"/>
      <c r="F94" s="310"/>
      <c r="G94" s="310"/>
      <c r="H94" s="310"/>
      <c r="I94" s="310"/>
      <c r="J94" s="310"/>
      <c r="K94" s="310"/>
      <c r="L94" s="311"/>
      <c r="M94" s="39"/>
    </row>
    <row r="95" spans="2:13" s="87" customFormat="1" ht="30" customHeight="1" x14ac:dyDescent="0.25">
      <c r="B95" s="80">
        <f>+B91+1</f>
        <v>25</v>
      </c>
      <c r="C95" s="108" t="s">
        <v>557</v>
      </c>
      <c r="D95" s="36" t="s">
        <v>420</v>
      </c>
      <c r="E95" s="126" t="s">
        <v>427</v>
      </c>
      <c r="F95" s="126" t="s">
        <v>197</v>
      </c>
      <c r="G95" s="110">
        <v>35000</v>
      </c>
      <c r="H95" s="82">
        <v>1004.5</v>
      </c>
      <c r="I95" s="82">
        <v>1064</v>
      </c>
      <c r="J95" s="77">
        <v>8232.8799999999992</v>
      </c>
      <c r="K95" s="77">
        <f>SUM(H95:J95)</f>
        <v>10301.379999999999</v>
      </c>
      <c r="L95" s="78">
        <f>+G95-K95</f>
        <v>24698.620000000003</v>
      </c>
      <c r="M95" s="47"/>
    </row>
    <row r="96" spans="2:13" s="39" customFormat="1" ht="30" customHeight="1" x14ac:dyDescent="0.25">
      <c r="B96" s="312" t="s">
        <v>125</v>
      </c>
      <c r="C96" s="313"/>
      <c r="D96" s="313"/>
      <c r="E96" s="313"/>
      <c r="F96" s="314"/>
      <c r="G96" s="37">
        <f t="shared" ref="G96:J96" si="21">SUM(G95:G95)</f>
        <v>35000</v>
      </c>
      <c r="H96" s="37">
        <f t="shared" si="21"/>
        <v>1004.5</v>
      </c>
      <c r="I96" s="37">
        <f t="shared" si="21"/>
        <v>1064</v>
      </c>
      <c r="J96" s="37">
        <f t="shared" si="21"/>
        <v>8232.8799999999992</v>
      </c>
      <c r="K96" s="37">
        <f>SUM(K95:K95)</f>
        <v>10301.379999999999</v>
      </c>
      <c r="L96" s="37">
        <f t="shared" ref="L96" si="22">SUM(L95:L95)</f>
        <v>24698.620000000003</v>
      </c>
    </row>
    <row r="97" spans="2:13" s="39" customFormat="1" ht="30" customHeight="1" thickBot="1" x14ac:dyDescent="0.3">
      <c r="B97" s="50"/>
      <c r="C97" s="50"/>
      <c r="D97" s="50"/>
      <c r="E97" s="50"/>
      <c r="F97" s="280"/>
      <c r="G97"/>
      <c r="H97"/>
      <c r="I97"/>
      <c r="J97"/>
      <c r="K97"/>
      <c r="L97"/>
    </row>
    <row r="98" spans="2:13" s="53" customFormat="1" ht="30" customHeight="1" thickBot="1" x14ac:dyDescent="0.3">
      <c r="B98" s="309" t="s">
        <v>449</v>
      </c>
      <c r="C98" s="310"/>
      <c r="D98" s="310"/>
      <c r="E98" s="310"/>
      <c r="F98" s="310"/>
      <c r="G98" s="310"/>
      <c r="H98" s="310"/>
      <c r="I98" s="310"/>
      <c r="J98" s="310"/>
      <c r="K98" s="310"/>
      <c r="L98" s="311"/>
      <c r="M98" s="39"/>
    </row>
    <row r="99" spans="2:13" s="87" customFormat="1" ht="30" customHeight="1" x14ac:dyDescent="0.25">
      <c r="B99" s="80">
        <f>+B95+1</f>
        <v>26</v>
      </c>
      <c r="C99" s="108" t="s">
        <v>13</v>
      </c>
      <c r="D99" s="36"/>
      <c r="E99" s="126" t="s">
        <v>712</v>
      </c>
      <c r="F99" s="126" t="s">
        <v>197</v>
      </c>
      <c r="G99" s="110">
        <v>1666.67</v>
      </c>
      <c r="H99" s="82">
        <v>47.83</v>
      </c>
      <c r="I99" s="82">
        <v>50.67</v>
      </c>
      <c r="J99" s="77">
        <v>0</v>
      </c>
      <c r="K99" s="77">
        <f>+H99+I99</f>
        <v>98.5</v>
      </c>
      <c r="L99" s="78">
        <f>+G99-K99</f>
        <v>1568.17</v>
      </c>
      <c r="M99" s="47"/>
    </row>
    <row r="100" spans="2:13" s="39" customFormat="1" ht="30" customHeight="1" x14ac:dyDescent="0.25">
      <c r="B100" s="312" t="s">
        <v>125</v>
      </c>
      <c r="C100" s="313"/>
      <c r="D100" s="313"/>
      <c r="E100" s="313"/>
      <c r="F100" s="314"/>
      <c r="G100" s="37">
        <f t="shared" ref="G100:L100" si="23">SUM(G99:G99)</f>
        <v>1666.67</v>
      </c>
      <c r="H100" s="37">
        <f t="shared" si="23"/>
        <v>47.83</v>
      </c>
      <c r="I100" s="37">
        <f t="shared" si="23"/>
        <v>50.67</v>
      </c>
      <c r="J100" s="37">
        <f t="shared" si="23"/>
        <v>0</v>
      </c>
      <c r="K100" s="37">
        <f>SUM(K99:K99)</f>
        <v>98.5</v>
      </c>
      <c r="L100" s="37">
        <f t="shared" si="23"/>
        <v>1568.17</v>
      </c>
    </row>
    <row r="101" spans="2:13" s="39" customFormat="1" ht="30" customHeight="1" thickBot="1" x14ac:dyDescent="0.3">
      <c r="B101" s="50"/>
      <c r="C101" s="50"/>
      <c r="D101" s="50"/>
      <c r="E101" s="50"/>
      <c r="F101" s="280"/>
      <c r="G101"/>
      <c r="H101"/>
      <c r="I101"/>
      <c r="J101"/>
      <c r="K101"/>
      <c r="L101"/>
    </row>
    <row r="102" spans="2:13" s="39" customFormat="1" ht="23.25" customHeight="1" thickBot="1" x14ac:dyDescent="0.3">
      <c r="B102" s="309" t="s">
        <v>218</v>
      </c>
      <c r="C102" s="310"/>
      <c r="D102" s="310"/>
      <c r="E102" s="310"/>
      <c r="F102" s="310"/>
      <c r="G102" s="310"/>
      <c r="H102" s="310"/>
      <c r="I102" s="310"/>
      <c r="J102" s="310"/>
      <c r="K102" s="310"/>
      <c r="L102" s="311"/>
    </row>
    <row r="103" spans="2:13" s="39" customFormat="1" ht="30.75" customHeight="1" x14ac:dyDescent="0.25">
      <c r="B103" s="36">
        <v>27</v>
      </c>
      <c r="C103" s="81" t="s">
        <v>683</v>
      </c>
      <c r="D103" s="36" t="s">
        <v>421</v>
      </c>
      <c r="E103" s="126" t="s">
        <v>684</v>
      </c>
      <c r="F103" s="126" t="s">
        <v>122</v>
      </c>
      <c r="G103" s="110">
        <v>35000</v>
      </c>
      <c r="H103" s="82">
        <v>1004.5</v>
      </c>
      <c r="I103" s="82">
        <v>1064</v>
      </c>
      <c r="J103" s="77">
        <v>8232.8799999999992</v>
      </c>
      <c r="K103" s="77">
        <v>10301.379999999999</v>
      </c>
      <c r="L103" s="78">
        <f>+G103-K103</f>
        <v>24698.620000000003</v>
      </c>
    </row>
    <row r="104" spans="2:13" s="39" customFormat="1" ht="23.25" customHeight="1" x14ac:dyDescent="0.25">
      <c r="B104" s="312" t="s">
        <v>125</v>
      </c>
      <c r="C104" s="313"/>
      <c r="D104" s="313"/>
      <c r="E104" s="313"/>
      <c r="F104" s="314"/>
      <c r="G104" s="37">
        <f>SUM(G103:G103)</f>
        <v>35000</v>
      </c>
      <c r="H104" s="37">
        <f t="shared" ref="H104:L104" si="24">SUM(H103:H103)</f>
        <v>1004.5</v>
      </c>
      <c r="I104" s="37">
        <f t="shared" si="24"/>
        <v>1064</v>
      </c>
      <c r="J104" s="37">
        <f t="shared" si="24"/>
        <v>8232.8799999999992</v>
      </c>
      <c r="K104" s="37">
        <f t="shared" si="24"/>
        <v>10301.379999999999</v>
      </c>
      <c r="L104" s="37">
        <f t="shared" si="24"/>
        <v>24698.620000000003</v>
      </c>
    </row>
    <row r="105" spans="2:13" s="39" customFormat="1" ht="23.25" customHeight="1" thickBot="1" x14ac:dyDescent="0.3">
      <c r="B105" s="50"/>
      <c r="C105" s="50"/>
      <c r="D105" s="50"/>
      <c r="E105" s="50"/>
      <c r="F105" s="280"/>
      <c r="G105"/>
      <c r="H105"/>
      <c r="I105"/>
      <c r="J105"/>
      <c r="K105"/>
      <c r="L105"/>
    </row>
    <row r="106" spans="2:13" s="79" customFormat="1" ht="30" customHeight="1" thickBot="1" x14ac:dyDescent="0.3">
      <c r="B106" s="309" t="s">
        <v>176</v>
      </c>
      <c r="C106" s="310"/>
      <c r="D106" s="310"/>
      <c r="E106" s="310"/>
      <c r="F106" s="310"/>
      <c r="G106" s="310"/>
      <c r="H106" s="310"/>
      <c r="I106" s="310"/>
      <c r="J106" s="310"/>
      <c r="K106" s="310"/>
      <c r="L106" s="311"/>
      <c r="M106" s="32"/>
    </row>
    <row r="107" spans="2:13" s="79" customFormat="1" ht="36" customHeight="1" x14ac:dyDescent="0.25">
      <c r="B107" s="36">
        <v>28</v>
      </c>
      <c r="C107" s="108" t="s">
        <v>483</v>
      </c>
      <c r="D107" s="36" t="s">
        <v>420</v>
      </c>
      <c r="E107" s="126" t="s">
        <v>484</v>
      </c>
      <c r="F107" s="126" t="s">
        <v>197</v>
      </c>
      <c r="G107" s="110">
        <v>75000</v>
      </c>
      <c r="H107" s="82">
        <v>2152.5</v>
      </c>
      <c r="I107" s="82">
        <v>2280</v>
      </c>
      <c r="J107" s="77">
        <v>16851.560000000001</v>
      </c>
      <c r="K107" s="77">
        <f>SUM(H107:J107)</f>
        <v>21284.06</v>
      </c>
      <c r="L107" s="78">
        <f>+G107-K107</f>
        <v>53715.94</v>
      </c>
      <c r="M107" s="32"/>
    </row>
    <row r="108" spans="2:13" s="39" customFormat="1" ht="33.75" customHeight="1" x14ac:dyDescent="0.25">
      <c r="B108" s="312" t="s">
        <v>125</v>
      </c>
      <c r="C108" s="313"/>
      <c r="D108" s="313"/>
      <c r="E108" s="313"/>
      <c r="F108" s="314"/>
      <c r="G108" s="37">
        <f t="shared" ref="G108:L108" si="25">SUM(G107:G107)</f>
        <v>75000</v>
      </c>
      <c r="H108" s="37">
        <f t="shared" si="25"/>
        <v>2152.5</v>
      </c>
      <c r="I108" s="37">
        <f t="shared" si="25"/>
        <v>2280</v>
      </c>
      <c r="J108" s="37">
        <f t="shared" si="25"/>
        <v>16851.560000000001</v>
      </c>
      <c r="K108" s="37">
        <f t="shared" si="25"/>
        <v>21284.06</v>
      </c>
      <c r="L108" s="37">
        <f t="shared" si="25"/>
        <v>53715.94</v>
      </c>
    </row>
    <row r="109" spans="2:13" s="39" customFormat="1" ht="24.95" customHeight="1" thickBot="1" x14ac:dyDescent="0.3">
      <c r="B109" s="50"/>
      <c r="C109" s="50"/>
      <c r="D109" s="50"/>
      <c r="E109" s="50"/>
      <c r="F109" s="280"/>
      <c r="G109" s="40"/>
      <c r="H109" s="40"/>
      <c r="I109" s="40"/>
      <c r="J109" s="40"/>
      <c r="K109" s="40"/>
      <c r="L109" s="40"/>
    </row>
    <row r="110" spans="2:13" s="79" customFormat="1" ht="30" customHeight="1" thickBot="1" x14ac:dyDescent="0.3">
      <c r="B110" s="315" t="s">
        <v>313</v>
      </c>
      <c r="C110" s="316"/>
      <c r="D110" s="316"/>
      <c r="E110" s="316"/>
      <c r="F110" s="316"/>
      <c r="G110" s="316"/>
      <c r="H110" s="316"/>
      <c r="I110" s="316"/>
      <c r="J110" s="316"/>
      <c r="K110" s="316"/>
      <c r="L110" s="317"/>
      <c r="M110" s="32"/>
    </row>
    <row r="111" spans="2:13" s="79" customFormat="1" ht="25.5" customHeight="1" x14ac:dyDescent="0.25">
      <c r="B111" s="80">
        <f>+B107+1</f>
        <v>29</v>
      </c>
      <c r="C111" s="108" t="s">
        <v>149</v>
      </c>
      <c r="D111" s="36" t="s">
        <v>420</v>
      </c>
      <c r="E111" s="108" t="s">
        <v>424</v>
      </c>
      <c r="F111" s="126" t="s">
        <v>121</v>
      </c>
      <c r="G111" s="110">
        <v>25000</v>
      </c>
      <c r="H111" s="110">
        <v>717.5</v>
      </c>
      <c r="I111" s="82">
        <v>760</v>
      </c>
      <c r="J111" s="82">
        <v>3486.65</v>
      </c>
      <c r="K111" s="107">
        <f>SUM(H111:J111)</f>
        <v>4964.1499999999996</v>
      </c>
      <c r="L111" s="78">
        <f>+G111-K111</f>
        <v>20035.849999999999</v>
      </c>
      <c r="M111" s="32"/>
    </row>
    <row r="112" spans="2:13" s="39" customFormat="1" ht="33.75" customHeight="1" x14ac:dyDescent="0.25">
      <c r="B112" s="312" t="s">
        <v>125</v>
      </c>
      <c r="C112" s="313"/>
      <c r="D112" s="313"/>
      <c r="E112" s="313"/>
      <c r="F112" s="314"/>
      <c r="G112" s="37">
        <f t="shared" ref="G112:L112" si="26">SUM(G111:G111)</f>
        <v>25000</v>
      </c>
      <c r="H112" s="37">
        <f t="shared" si="26"/>
        <v>717.5</v>
      </c>
      <c r="I112" s="37">
        <f t="shared" si="26"/>
        <v>760</v>
      </c>
      <c r="J112" s="37">
        <f t="shared" si="26"/>
        <v>3486.65</v>
      </c>
      <c r="K112" s="37">
        <f t="shared" si="26"/>
        <v>4964.1499999999996</v>
      </c>
      <c r="L112" s="37">
        <f t="shared" si="26"/>
        <v>20035.849999999999</v>
      </c>
    </row>
    <row r="113" spans="2:13" s="39" customFormat="1" ht="24.95" customHeight="1" thickBot="1" x14ac:dyDescent="0.3">
      <c r="B113" s="50"/>
      <c r="C113" s="50"/>
      <c r="D113" s="50"/>
      <c r="E113" s="50"/>
      <c r="F113" s="280"/>
      <c r="G113" s="40"/>
      <c r="H113" s="40"/>
      <c r="I113" s="40"/>
      <c r="J113" s="40"/>
      <c r="K113" s="40"/>
      <c r="L113" s="40"/>
    </row>
    <row r="114" spans="2:13" s="39" customFormat="1" ht="24.95" customHeight="1" thickBot="1" x14ac:dyDescent="0.3">
      <c r="B114" s="315" t="s">
        <v>651</v>
      </c>
      <c r="C114" s="316"/>
      <c r="D114" s="316"/>
      <c r="E114" s="316"/>
      <c r="F114" s="316"/>
      <c r="G114" s="316"/>
      <c r="H114" s="316"/>
      <c r="I114" s="316"/>
      <c r="J114" s="316"/>
      <c r="K114" s="316"/>
      <c r="L114" s="317"/>
    </row>
    <row r="115" spans="2:13" s="39" customFormat="1" ht="24.95" customHeight="1" x14ac:dyDescent="0.25">
      <c r="B115" s="80">
        <f>+B111+1</f>
        <v>30</v>
      </c>
      <c r="C115" s="108" t="s">
        <v>17</v>
      </c>
      <c r="D115" s="36" t="s">
        <v>420</v>
      </c>
      <c r="E115" s="108" t="s">
        <v>650</v>
      </c>
      <c r="F115" s="126" t="s">
        <v>121</v>
      </c>
      <c r="G115" s="110">
        <v>30000</v>
      </c>
      <c r="H115" s="110">
        <v>861</v>
      </c>
      <c r="I115" s="82">
        <v>912</v>
      </c>
      <c r="J115" s="82">
        <v>5387.21</v>
      </c>
      <c r="K115" s="107">
        <f>SUM(H115:J115)</f>
        <v>7160.21</v>
      </c>
      <c r="L115" s="78">
        <f>+G115-K115</f>
        <v>22839.79</v>
      </c>
    </row>
    <row r="116" spans="2:13" s="39" customFormat="1" ht="24.95" customHeight="1" x14ac:dyDescent="0.25">
      <c r="B116" s="312" t="s">
        <v>125</v>
      </c>
      <c r="C116" s="313"/>
      <c r="D116" s="313"/>
      <c r="E116" s="313"/>
      <c r="F116" s="314"/>
      <c r="G116" s="37">
        <f t="shared" ref="G116:J116" si="27">SUM(G115:G115)</f>
        <v>30000</v>
      </c>
      <c r="H116" s="37">
        <f t="shared" si="27"/>
        <v>861</v>
      </c>
      <c r="I116" s="37">
        <f t="shared" si="27"/>
        <v>912</v>
      </c>
      <c r="J116" s="37">
        <f t="shared" si="27"/>
        <v>5387.21</v>
      </c>
      <c r="K116" s="37">
        <f>SUM(K115:K115)</f>
        <v>7160.21</v>
      </c>
      <c r="L116" s="37">
        <f>SUM(L115:L115)</f>
        <v>22839.79</v>
      </c>
    </row>
    <row r="117" spans="2:13" s="39" customFormat="1" ht="24.95" customHeight="1" thickBot="1" x14ac:dyDescent="0.3">
      <c r="B117" s="50"/>
      <c r="C117" s="50"/>
      <c r="D117" s="50"/>
      <c r="E117" s="50"/>
      <c r="F117" s="280"/>
      <c r="G117" s="40"/>
      <c r="H117" s="40"/>
      <c r="I117" s="40"/>
      <c r="J117" s="40"/>
      <c r="K117" s="40"/>
      <c r="L117" s="40"/>
    </row>
    <row r="118" spans="2:13" s="53" customFormat="1" ht="30" customHeight="1" thickBot="1" x14ac:dyDescent="0.3">
      <c r="B118" s="321" t="s">
        <v>534</v>
      </c>
      <c r="C118" s="322"/>
      <c r="D118" s="322"/>
      <c r="E118" s="322"/>
      <c r="F118" s="322"/>
      <c r="G118" s="322"/>
      <c r="H118" s="322"/>
      <c r="I118" s="322"/>
      <c r="J118" s="322"/>
      <c r="K118" s="322"/>
      <c r="L118" s="323"/>
      <c r="M118" s="39"/>
    </row>
    <row r="119" spans="2:13" s="53" customFormat="1" ht="30" customHeight="1" x14ac:dyDescent="0.25">
      <c r="B119" s="80">
        <f>+B115+1</f>
        <v>31</v>
      </c>
      <c r="C119" s="108" t="s">
        <v>330</v>
      </c>
      <c r="D119" s="36" t="s">
        <v>420</v>
      </c>
      <c r="E119" s="81" t="s">
        <v>131</v>
      </c>
      <c r="F119" s="126" t="s">
        <v>121</v>
      </c>
      <c r="G119" s="110">
        <v>15000</v>
      </c>
      <c r="H119" s="110">
        <v>430.5</v>
      </c>
      <c r="I119" s="82">
        <v>456</v>
      </c>
      <c r="J119" s="82">
        <v>1197.07</v>
      </c>
      <c r="K119" s="107">
        <f>SUM(H119:J119)</f>
        <v>2083.5699999999997</v>
      </c>
      <c r="L119" s="78">
        <f>+G119-K119</f>
        <v>12916.43</v>
      </c>
      <c r="M119" s="39"/>
    </row>
    <row r="120" spans="2:13" s="53" customFormat="1" ht="30" customHeight="1" x14ac:dyDescent="0.25">
      <c r="B120" s="312" t="s">
        <v>125</v>
      </c>
      <c r="C120" s="313"/>
      <c r="D120" s="313"/>
      <c r="E120" s="313"/>
      <c r="F120" s="314"/>
      <c r="G120" s="37">
        <f t="shared" ref="G120:L120" si="28">SUM(G119:G119)</f>
        <v>15000</v>
      </c>
      <c r="H120" s="37">
        <f t="shared" si="28"/>
        <v>430.5</v>
      </c>
      <c r="I120" s="37">
        <f t="shared" si="28"/>
        <v>456</v>
      </c>
      <c r="J120" s="37">
        <f t="shared" si="28"/>
        <v>1197.07</v>
      </c>
      <c r="K120" s="37">
        <f t="shared" si="28"/>
        <v>2083.5699999999997</v>
      </c>
      <c r="L120" s="37">
        <f t="shared" si="28"/>
        <v>12916.43</v>
      </c>
      <c r="M120" s="39"/>
    </row>
    <row r="121" spans="2:13" s="39" customFormat="1" ht="22.5" customHeight="1" thickBot="1" x14ac:dyDescent="0.3">
      <c r="B121" s="50"/>
      <c r="C121" s="50"/>
      <c r="D121" s="50"/>
      <c r="E121" s="50"/>
      <c r="F121" s="280"/>
      <c r="G121" s="40"/>
      <c r="H121" s="40"/>
      <c r="I121" s="40"/>
      <c r="J121" s="40"/>
      <c r="K121" s="40"/>
      <c r="L121" s="40"/>
    </row>
    <row r="122" spans="2:13" s="39" customFormat="1" ht="24.95" customHeight="1" thickBot="1" x14ac:dyDescent="0.3">
      <c r="B122" s="315" t="s">
        <v>207</v>
      </c>
      <c r="C122" s="316"/>
      <c r="D122" s="316"/>
      <c r="E122" s="316"/>
      <c r="F122" s="316"/>
      <c r="G122" s="316"/>
      <c r="H122" s="316"/>
      <c r="I122" s="316"/>
      <c r="J122" s="316"/>
      <c r="K122" s="316"/>
      <c r="L122" s="317"/>
    </row>
    <row r="123" spans="2:13" s="79" customFormat="1" ht="30" customHeight="1" x14ac:dyDescent="0.25">
      <c r="B123" s="75">
        <f>B119+1</f>
        <v>32</v>
      </c>
      <c r="C123" s="160" t="s">
        <v>84</v>
      </c>
      <c r="D123" s="161" t="s">
        <v>420</v>
      </c>
      <c r="E123" s="162" t="s">
        <v>693</v>
      </c>
      <c r="F123" s="147" t="s">
        <v>121</v>
      </c>
      <c r="G123" s="107">
        <v>30000</v>
      </c>
      <c r="H123" s="159">
        <v>861</v>
      </c>
      <c r="I123" s="159">
        <v>912</v>
      </c>
      <c r="J123" s="77">
        <v>6186.67</v>
      </c>
      <c r="K123" s="107">
        <f>SUM(H123:J123)</f>
        <v>7959.67</v>
      </c>
      <c r="L123" s="78">
        <f>+G123-K123</f>
        <v>22040.33</v>
      </c>
      <c r="M123" s="32"/>
    </row>
    <row r="124" spans="2:13" s="79" customFormat="1" ht="25.5" customHeight="1" x14ac:dyDescent="0.25">
      <c r="B124" s="75">
        <f>+B123+1</f>
        <v>33</v>
      </c>
      <c r="C124" s="112" t="s">
        <v>320</v>
      </c>
      <c r="D124" s="122" t="s">
        <v>421</v>
      </c>
      <c r="E124" s="112" t="s">
        <v>425</v>
      </c>
      <c r="F124" s="147" t="s">
        <v>121</v>
      </c>
      <c r="G124" s="107">
        <v>25800</v>
      </c>
      <c r="H124" s="159">
        <v>740.46</v>
      </c>
      <c r="I124" s="159">
        <v>784.32</v>
      </c>
      <c r="J124" s="77">
        <v>1148.32</v>
      </c>
      <c r="K124" s="107">
        <f>SUM(H124:J124)</f>
        <v>2673.1000000000004</v>
      </c>
      <c r="L124" s="78">
        <f>+G124-K124</f>
        <v>23126.9</v>
      </c>
      <c r="M124" s="32"/>
    </row>
    <row r="125" spans="2:13" s="39" customFormat="1" ht="33.75" customHeight="1" x14ac:dyDescent="0.25">
      <c r="B125" s="312" t="s">
        <v>125</v>
      </c>
      <c r="C125" s="313"/>
      <c r="D125" s="313"/>
      <c r="E125" s="313"/>
      <c r="F125" s="314"/>
      <c r="G125" s="37">
        <f>SUM(G123:G124)</f>
        <v>55800</v>
      </c>
      <c r="H125" s="37">
        <f t="shared" ref="H125:L125" si="29">SUM(H123:H124)</f>
        <v>1601.46</v>
      </c>
      <c r="I125" s="37">
        <f t="shared" si="29"/>
        <v>1696.3200000000002</v>
      </c>
      <c r="J125" s="37">
        <f>SUM(J123:J124)</f>
        <v>7334.99</v>
      </c>
      <c r="K125" s="37">
        <f t="shared" si="29"/>
        <v>10632.77</v>
      </c>
      <c r="L125" s="37">
        <f t="shared" si="29"/>
        <v>45167.23</v>
      </c>
    </row>
    <row r="126" spans="2:13" s="39" customFormat="1" ht="24.95" customHeight="1" thickBot="1" x14ac:dyDescent="0.3">
      <c r="B126" s="50"/>
      <c r="C126" s="50"/>
      <c r="D126" s="50"/>
      <c r="E126" s="50"/>
      <c r="F126" s="280"/>
      <c r="G126" s="40"/>
      <c r="H126" s="40"/>
      <c r="I126" s="40"/>
      <c r="J126" s="40"/>
      <c r="K126" s="40"/>
      <c r="L126" s="40"/>
    </row>
    <row r="127" spans="2:13" s="79" customFormat="1" ht="30" customHeight="1" thickBot="1" x14ac:dyDescent="0.3">
      <c r="B127" s="315" t="s">
        <v>313</v>
      </c>
      <c r="C127" s="316"/>
      <c r="D127" s="316"/>
      <c r="E127" s="316"/>
      <c r="F127" s="316"/>
      <c r="G127" s="316"/>
      <c r="H127" s="316"/>
      <c r="I127" s="316"/>
      <c r="J127" s="316"/>
      <c r="K127" s="316"/>
      <c r="L127" s="317"/>
      <c r="M127" s="32"/>
    </row>
    <row r="128" spans="2:13" s="79" customFormat="1" ht="25.5" customHeight="1" x14ac:dyDescent="0.25">
      <c r="B128" s="80">
        <f>+B124+1</f>
        <v>34</v>
      </c>
      <c r="C128" s="108" t="s">
        <v>558</v>
      </c>
      <c r="D128" s="36" t="s">
        <v>420</v>
      </c>
      <c r="E128" s="108" t="s">
        <v>694</v>
      </c>
      <c r="F128" s="126" t="s">
        <v>122</v>
      </c>
      <c r="G128" s="110">
        <v>15000</v>
      </c>
      <c r="H128" s="110">
        <v>430.5</v>
      </c>
      <c r="I128" s="82">
        <v>456</v>
      </c>
      <c r="J128" s="82">
        <v>2117.0300000000002</v>
      </c>
      <c r="K128" s="107">
        <f>SUM(H128:J128)</f>
        <v>3003.53</v>
      </c>
      <c r="L128" s="78">
        <f>+G128-K128</f>
        <v>11996.47</v>
      </c>
      <c r="M128" s="32"/>
    </row>
    <row r="129" spans="2:13" s="39" customFormat="1" ht="33.75" customHeight="1" x14ac:dyDescent="0.25">
      <c r="B129" s="312" t="s">
        <v>125</v>
      </c>
      <c r="C129" s="313"/>
      <c r="D129" s="313"/>
      <c r="E129" s="313"/>
      <c r="F129" s="314"/>
      <c r="G129" s="37">
        <f t="shared" ref="G129:J129" si="30">SUM(G128:G128)</f>
        <v>15000</v>
      </c>
      <c r="H129" s="37">
        <f t="shared" si="30"/>
        <v>430.5</v>
      </c>
      <c r="I129" s="37">
        <f t="shared" si="30"/>
        <v>456</v>
      </c>
      <c r="J129" s="37">
        <f t="shared" si="30"/>
        <v>2117.0300000000002</v>
      </c>
      <c r="K129" s="37">
        <f>SUM(K128:K128)</f>
        <v>3003.53</v>
      </c>
      <c r="L129" s="37">
        <f>SUM(L128:L128)</f>
        <v>11996.47</v>
      </c>
    </row>
    <row r="130" spans="2:13" s="39" customFormat="1" ht="24.95" customHeight="1" thickBot="1" x14ac:dyDescent="0.3">
      <c r="B130" s="50"/>
      <c r="C130" s="50"/>
      <c r="D130" s="50"/>
      <c r="E130" s="50"/>
      <c r="F130" s="280"/>
      <c r="G130" s="40"/>
      <c r="H130" s="40"/>
      <c r="I130" s="40"/>
      <c r="J130" s="40"/>
      <c r="K130" s="40"/>
      <c r="L130" s="40"/>
    </row>
    <row r="131" spans="2:13" s="39" customFormat="1" ht="24.95" customHeight="1" thickBot="1" x14ac:dyDescent="0.3">
      <c r="B131" s="315" t="s">
        <v>652</v>
      </c>
      <c r="C131" s="316"/>
      <c r="D131" s="316"/>
      <c r="E131" s="316"/>
      <c r="F131" s="316"/>
      <c r="G131" s="316"/>
      <c r="H131" s="316"/>
      <c r="I131" s="316"/>
      <c r="J131" s="316"/>
      <c r="K131" s="316"/>
      <c r="L131" s="317"/>
    </row>
    <row r="132" spans="2:13" s="39" customFormat="1" ht="24.95" customHeight="1" x14ac:dyDescent="0.25">
      <c r="B132" s="80">
        <f>+B128+1</f>
        <v>35</v>
      </c>
      <c r="C132" s="108" t="s">
        <v>653</v>
      </c>
      <c r="D132" s="36" t="s">
        <v>420</v>
      </c>
      <c r="E132" s="108" t="s">
        <v>695</v>
      </c>
      <c r="F132" s="126" t="s">
        <v>121</v>
      </c>
      <c r="G132" s="110">
        <v>35000</v>
      </c>
      <c r="H132" s="110">
        <v>1004.5</v>
      </c>
      <c r="I132" s="82">
        <v>1064</v>
      </c>
      <c r="J132" s="82">
        <v>5368.45</v>
      </c>
      <c r="K132" s="107">
        <f>SUM(H132:J132)</f>
        <v>7436.95</v>
      </c>
      <c r="L132" s="78">
        <f>+G132-K132</f>
        <v>27563.05</v>
      </c>
    </row>
    <row r="133" spans="2:13" s="39" customFormat="1" ht="24.95" customHeight="1" x14ac:dyDescent="0.25">
      <c r="B133" s="312" t="s">
        <v>125</v>
      </c>
      <c r="C133" s="313"/>
      <c r="D133" s="313"/>
      <c r="E133" s="313"/>
      <c r="F133" s="314"/>
      <c r="G133" s="37">
        <f t="shared" ref="G133:J133" si="31">SUM(G132:G132)</f>
        <v>35000</v>
      </c>
      <c r="H133" s="37">
        <f t="shared" si="31"/>
        <v>1004.5</v>
      </c>
      <c r="I133" s="37">
        <f t="shared" si="31"/>
        <v>1064</v>
      </c>
      <c r="J133" s="37">
        <f t="shared" si="31"/>
        <v>5368.45</v>
      </c>
      <c r="K133" s="37">
        <f>SUM(K132:K132)</f>
        <v>7436.95</v>
      </c>
      <c r="L133" s="37">
        <f>SUM(L132:L132)</f>
        <v>27563.05</v>
      </c>
    </row>
    <row r="134" spans="2:13" s="39" customFormat="1" ht="24.95" customHeight="1" x14ac:dyDescent="0.25">
      <c r="B134" s="50"/>
      <c r="C134" s="50"/>
      <c r="D134" s="50"/>
      <c r="E134" s="50"/>
      <c r="F134" s="280"/>
      <c r="G134" s="40"/>
      <c r="H134" s="40"/>
      <c r="I134" s="40"/>
      <c r="J134" s="40"/>
      <c r="K134" s="40"/>
      <c r="L134" s="40"/>
    </row>
    <row r="135" spans="2:13" s="39" customFormat="1" ht="24.95" customHeight="1" thickBot="1" x14ac:dyDescent="0.3">
      <c r="B135" s="50"/>
      <c r="C135" s="50"/>
      <c r="D135" s="50"/>
      <c r="E135" s="50"/>
      <c r="F135" s="280"/>
      <c r="G135" s="40"/>
      <c r="H135" s="40"/>
      <c r="I135" s="40"/>
      <c r="J135" s="40"/>
      <c r="K135" s="40"/>
      <c r="L135" s="40"/>
    </row>
    <row r="136" spans="2:13" s="32" customFormat="1" ht="30" customHeight="1" thickBot="1" x14ac:dyDescent="0.3">
      <c r="B136" s="315" t="s">
        <v>177</v>
      </c>
      <c r="C136" s="316"/>
      <c r="D136" s="316"/>
      <c r="E136" s="316"/>
      <c r="F136" s="316"/>
      <c r="G136" s="316"/>
      <c r="H136" s="316"/>
      <c r="I136" s="316"/>
      <c r="J136" s="316"/>
      <c r="K136" s="316"/>
      <c r="L136" s="317"/>
    </row>
    <row r="137" spans="2:13" ht="36" customHeight="1" x14ac:dyDescent="0.25">
      <c r="B137" s="75">
        <f>+B132+1</f>
        <v>36</v>
      </c>
      <c r="C137" s="112" t="s">
        <v>494</v>
      </c>
      <c r="D137" s="122" t="s">
        <v>420</v>
      </c>
      <c r="E137" s="107" t="s">
        <v>146</v>
      </c>
      <c r="F137" s="126" t="s">
        <v>122</v>
      </c>
      <c r="G137" s="107">
        <v>35000</v>
      </c>
      <c r="H137" s="107">
        <v>1004.5</v>
      </c>
      <c r="I137" s="77">
        <v>1064</v>
      </c>
      <c r="J137" s="77">
        <v>6252.61</v>
      </c>
      <c r="K137" s="107">
        <f>SUM(H137:J137)</f>
        <v>8321.11</v>
      </c>
      <c r="L137" s="78">
        <f>+G137-K137</f>
        <v>26678.89</v>
      </c>
      <c r="M137" s="199"/>
    </row>
    <row r="138" spans="2:13" ht="26.25" customHeight="1" x14ac:dyDescent="0.25">
      <c r="B138" s="80">
        <f>+B137+1</f>
        <v>37</v>
      </c>
      <c r="C138" s="108" t="s">
        <v>23</v>
      </c>
      <c r="D138" s="36" t="s">
        <v>421</v>
      </c>
      <c r="E138" s="39" t="s">
        <v>146</v>
      </c>
      <c r="F138" s="126" t="s">
        <v>121</v>
      </c>
      <c r="G138" s="110">
        <v>30000</v>
      </c>
      <c r="H138" s="110">
        <v>861</v>
      </c>
      <c r="I138" s="82">
        <v>912</v>
      </c>
      <c r="J138" s="82">
        <v>4845.93</v>
      </c>
      <c r="K138" s="107">
        <f>SUM(H138:J138)</f>
        <v>6618.93</v>
      </c>
      <c r="L138" s="78">
        <f>+G138-K138</f>
        <v>23381.07</v>
      </c>
    </row>
    <row r="139" spans="2:13" ht="23.25" customHeight="1" x14ac:dyDescent="0.25">
      <c r="B139" s="312" t="s">
        <v>125</v>
      </c>
      <c r="C139" s="313"/>
      <c r="D139" s="313"/>
      <c r="E139" s="313"/>
      <c r="F139" s="314"/>
      <c r="G139" s="37">
        <f>SUM(G137:G138)</f>
        <v>65000</v>
      </c>
      <c r="H139" s="37">
        <f t="shared" ref="H139:L139" si="32">SUM(H137:H138)</f>
        <v>1865.5</v>
      </c>
      <c r="I139" s="37">
        <f t="shared" si="32"/>
        <v>1976</v>
      </c>
      <c r="J139" s="37">
        <f t="shared" si="32"/>
        <v>11098.54</v>
      </c>
      <c r="K139" s="37">
        <f>SUM(K137:K138)</f>
        <v>14940.04</v>
      </c>
      <c r="L139" s="37">
        <f t="shared" si="32"/>
        <v>50059.96</v>
      </c>
    </row>
    <row r="140" spans="2:13" ht="16.5" thickBot="1" x14ac:dyDescent="0.3">
      <c r="B140" s="41"/>
      <c r="C140" s="48"/>
      <c r="D140" s="139"/>
      <c r="E140" s="48"/>
      <c r="F140" s="69"/>
      <c r="G140" s="49"/>
      <c r="H140" s="39"/>
      <c r="I140" s="39"/>
      <c r="J140" s="39"/>
      <c r="K140" s="39"/>
      <c r="L140" s="39"/>
    </row>
    <row r="141" spans="2:13" ht="16.5" thickBot="1" x14ac:dyDescent="0.3">
      <c r="B141" s="54"/>
      <c r="C141" s="55" t="s">
        <v>428</v>
      </c>
      <c r="D141" s="140"/>
      <c r="E141" s="56"/>
      <c r="F141" s="277"/>
      <c r="G141" s="58">
        <f t="shared" ref="G141:L141" si="33">G15+G23+G104+G34+G38+G46+G50+G58+G65+G69+G100+G125+G112+G78+G42+G54+G108+G88+G139+G30+G11+G92+G19+G61+G83+G120+G129+G96+G133+G116+G73+G27</f>
        <v>1329216.67</v>
      </c>
      <c r="H141" s="58">
        <f t="shared" si="33"/>
        <v>38148.514999999999</v>
      </c>
      <c r="I141" s="58">
        <f t="shared" si="33"/>
        <v>39560.65</v>
      </c>
      <c r="J141" s="58">
        <f t="shared" si="33"/>
        <v>285972.89</v>
      </c>
      <c r="K141" s="58">
        <f t="shared" si="33"/>
        <v>363682.05500000005</v>
      </c>
      <c r="L141" s="58">
        <f t="shared" si="33"/>
        <v>965534.61499999999</v>
      </c>
    </row>
    <row r="142" spans="2:13" ht="15" x14ac:dyDescent="0.25">
      <c r="B142" s="28"/>
      <c r="C142" s="27"/>
      <c r="D142" s="28"/>
      <c r="E142" s="27"/>
      <c r="F142" s="278"/>
      <c r="G142" s="16"/>
      <c r="H142" s="17"/>
      <c r="I142" s="17"/>
      <c r="J142" s="17"/>
      <c r="K142" s="17"/>
      <c r="L142" s="235"/>
    </row>
    <row r="143" spans="2:13" ht="15" x14ac:dyDescent="0.25">
      <c r="B143" s="28"/>
      <c r="C143" s="27"/>
      <c r="D143" s="28"/>
      <c r="E143" s="27"/>
      <c r="F143" s="278"/>
      <c r="G143" s="16"/>
      <c r="H143" s="17"/>
      <c r="I143" s="17"/>
      <c r="J143" s="17"/>
      <c r="K143" s="17"/>
      <c r="L143" s="17"/>
    </row>
    <row r="144" spans="2:13" ht="15.75" x14ac:dyDescent="0.25">
      <c r="C144" s="1"/>
      <c r="E144" s="1"/>
      <c r="F144" s="281"/>
      <c r="G144" s="64"/>
    </row>
    <row r="145" spans="3:12" ht="15.75" x14ac:dyDescent="0.25">
      <c r="C145" s="19"/>
      <c r="D145" s="141"/>
      <c r="E145" s="20"/>
      <c r="F145" s="282"/>
      <c r="G145" s="1"/>
      <c r="L145" s="7"/>
    </row>
    <row r="146" spans="3:12" ht="15.75" x14ac:dyDescent="0.25">
      <c r="C146" s="21"/>
      <c r="D146" s="142"/>
      <c r="E146" s="20"/>
      <c r="F146" s="281" t="s">
        <v>487</v>
      </c>
      <c r="G146" s="1"/>
    </row>
    <row r="147" spans="3:12" ht="31.5" x14ac:dyDescent="0.25">
      <c r="C147" s="21" t="s">
        <v>488</v>
      </c>
      <c r="D147" s="142"/>
      <c r="E147" s="20"/>
      <c r="F147" s="281" t="s">
        <v>489</v>
      </c>
      <c r="G147" s="1"/>
    </row>
    <row r="16627" spans="3:12" s="4" customFormat="1" x14ac:dyDescent="0.2">
      <c r="C16627" s="23"/>
      <c r="E16627" s="23"/>
      <c r="F16627" s="276"/>
      <c r="G16627" s="2"/>
      <c r="H16627" s="1"/>
      <c r="I16627" s="1"/>
      <c r="J16627" s="1"/>
      <c r="K16627" s="1"/>
      <c r="L16627" s="1"/>
    </row>
    <row r="16629" spans="3:12" s="4" customFormat="1" x14ac:dyDescent="0.2">
      <c r="C16629" s="23"/>
      <c r="E16629" s="23"/>
      <c r="F16629" s="276"/>
      <c r="G16629" s="2"/>
      <c r="H16629" s="1"/>
      <c r="I16629" s="1"/>
      <c r="J16629" s="1"/>
      <c r="K16629" s="1"/>
      <c r="L16629" s="1"/>
    </row>
    <row r="16649" spans="8:9" x14ac:dyDescent="0.2">
      <c r="H16649" s="4"/>
      <c r="I16649" s="4"/>
    </row>
    <row r="16651" spans="8:9" x14ac:dyDescent="0.2">
      <c r="H16651" s="4"/>
      <c r="I16651" s="4"/>
    </row>
    <row r="16661" spans="3:12" x14ac:dyDescent="0.2">
      <c r="K16661" s="4"/>
      <c r="L16661" s="4"/>
    </row>
    <row r="16663" spans="3:12" x14ac:dyDescent="0.2">
      <c r="K16663" s="4"/>
      <c r="L16663" s="4"/>
    </row>
    <row r="16664" spans="3:12" x14ac:dyDescent="0.2">
      <c r="J16664" s="4"/>
    </row>
    <row r="16665" spans="3:12" x14ac:dyDescent="0.2">
      <c r="C16665" s="23">
        <f>SUM(C6:C16664)</f>
        <v>0</v>
      </c>
    </row>
    <row r="16666" spans="3:12" x14ac:dyDescent="0.2">
      <c r="J16666" s="4"/>
    </row>
    <row r="16667" spans="3:12" x14ac:dyDescent="0.2">
      <c r="C16667" s="23">
        <f>SUM(C16665)</f>
        <v>0</v>
      </c>
    </row>
    <row r="999990" spans="11:11" x14ac:dyDescent="0.2">
      <c r="K999990" s="11" t="e">
        <f>SUM(#REF!)</f>
        <v>#REF!</v>
      </c>
    </row>
  </sheetData>
  <mergeCells count="69">
    <mergeCell ref="B136:L136"/>
    <mergeCell ref="B139:F139"/>
    <mergeCell ref="B90:L90"/>
    <mergeCell ref="B92:F92"/>
    <mergeCell ref="B52:L52"/>
    <mergeCell ref="B54:F54"/>
    <mergeCell ref="B106:L106"/>
    <mergeCell ref="B108:F108"/>
    <mergeCell ref="B85:L85"/>
    <mergeCell ref="B88:F88"/>
    <mergeCell ref="B58:F58"/>
    <mergeCell ref="B56:L56"/>
    <mergeCell ref="B69:F69"/>
    <mergeCell ref="B63:L63"/>
    <mergeCell ref="B65:F65"/>
    <mergeCell ref="B67:L67"/>
    <mergeCell ref="B28:L28"/>
    <mergeCell ref="B30:F30"/>
    <mergeCell ref="B75:L75"/>
    <mergeCell ref="B17:L17"/>
    <mergeCell ref="B19:F19"/>
    <mergeCell ref="B71:L71"/>
    <mergeCell ref="B73:F73"/>
    <mergeCell ref="B25:L25"/>
    <mergeCell ref="B27:F27"/>
    <mergeCell ref="B1:L1"/>
    <mergeCell ref="B2:L2"/>
    <mergeCell ref="B3:L3"/>
    <mergeCell ref="B4:C4"/>
    <mergeCell ref="H5:I5"/>
    <mergeCell ref="B9:L9"/>
    <mergeCell ref="B11:F11"/>
    <mergeCell ref="B50:F50"/>
    <mergeCell ref="B44:L44"/>
    <mergeCell ref="B46:F46"/>
    <mergeCell ref="B48:L48"/>
    <mergeCell ref="B40:L40"/>
    <mergeCell ref="B42:F42"/>
    <mergeCell ref="B34:F34"/>
    <mergeCell ref="B36:L36"/>
    <mergeCell ref="B38:F38"/>
    <mergeCell ref="B23:F23"/>
    <mergeCell ref="B32:L32"/>
    <mergeCell ref="B13:L13"/>
    <mergeCell ref="B15:F15"/>
    <mergeCell ref="B21:L21"/>
    <mergeCell ref="B83:F83"/>
    <mergeCell ref="B59:L59"/>
    <mergeCell ref="B61:F61"/>
    <mergeCell ref="B80:L80"/>
    <mergeCell ref="B122:L122"/>
    <mergeCell ref="B98:L98"/>
    <mergeCell ref="B100:F100"/>
    <mergeCell ref="B78:F78"/>
    <mergeCell ref="B94:L94"/>
    <mergeCell ref="B96:F96"/>
    <mergeCell ref="B110:L110"/>
    <mergeCell ref="B112:F112"/>
    <mergeCell ref="B118:L118"/>
    <mergeCell ref="B120:F120"/>
    <mergeCell ref="B114:L114"/>
    <mergeCell ref="B116:F116"/>
    <mergeCell ref="B102:L102"/>
    <mergeCell ref="B104:F104"/>
    <mergeCell ref="B131:L131"/>
    <mergeCell ref="B133:F133"/>
    <mergeCell ref="B127:L127"/>
    <mergeCell ref="B129:F129"/>
    <mergeCell ref="B125:F125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5" manualBreakCount="5">
    <brk id="31" min="1" max="11" man="1"/>
    <brk id="51" min="1" max="11" man="1"/>
    <brk id="73" min="1" max="11" man="1"/>
    <brk id="97" min="1" max="11" man="1"/>
    <brk id="121" min="1" max="11" man="1"/>
  </rowBreaks>
  <ignoredErrors>
    <ignoredError sqref="K23 K33 K37 K41 K45 K49 K64 K86 K76:K77 K68 L123 K29 K91 K57 K53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1"/>
  <sheetViews>
    <sheetView showGridLines="0" view="pageBreakPreview" zoomScaleNormal="93" zoomScaleSheetLayoutView="100" workbookViewId="0">
      <selection activeCell="D16" sqref="D16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3" width="11.42578125" style="102"/>
    <col min="14" max="16384" width="11.42578125" style="1"/>
  </cols>
  <sheetData>
    <row r="2" spans="1:13" ht="23.25" x14ac:dyDescent="0.35">
      <c r="A2" s="294" t="s">
        <v>409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</row>
    <row r="3" spans="1:13" ht="21" x14ac:dyDescent="0.35">
      <c r="A3" s="295" t="s">
        <v>410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</row>
    <row r="4" spans="1:13" ht="18.75" x14ac:dyDescent="0.3">
      <c r="A4" s="296" t="s">
        <v>711</v>
      </c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197"/>
    </row>
    <row r="5" spans="1:13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97"/>
    </row>
    <row r="6" spans="1:13" s="2" customFormat="1" ht="21" customHeight="1" thickBot="1" x14ac:dyDescent="0.25">
      <c r="B6" s="3"/>
      <c r="C6" s="143"/>
      <c r="D6" s="3"/>
      <c r="E6" s="4"/>
      <c r="F6" s="6"/>
      <c r="G6" s="324" t="s">
        <v>120</v>
      </c>
      <c r="H6" s="325"/>
      <c r="M6" s="68"/>
    </row>
    <row r="7" spans="1:13" s="2" customFormat="1" ht="27" customHeight="1" thickBot="1" x14ac:dyDescent="0.25">
      <c r="A7" s="269" t="s">
        <v>0</v>
      </c>
      <c r="B7" s="269" t="s">
        <v>361</v>
      </c>
      <c r="C7" s="269" t="s">
        <v>422</v>
      </c>
      <c r="D7" s="269" t="s">
        <v>126</v>
      </c>
      <c r="E7" s="269" t="s">
        <v>127</v>
      </c>
      <c r="F7" s="269" t="s">
        <v>124</v>
      </c>
      <c r="G7" s="269" t="s">
        <v>1</v>
      </c>
      <c r="H7" s="269" t="s">
        <v>2</v>
      </c>
      <c r="I7" s="269" t="s">
        <v>115</v>
      </c>
      <c r="J7" s="269" t="s">
        <v>117</v>
      </c>
      <c r="K7" s="269" t="s">
        <v>3</v>
      </c>
      <c r="L7" s="269" t="s">
        <v>116</v>
      </c>
      <c r="M7" s="68"/>
    </row>
    <row r="8" spans="1:13" s="93" customFormat="1" ht="19.899999999999999" customHeight="1" x14ac:dyDescent="0.25">
      <c r="A8" s="268">
        <v>1</v>
      </c>
      <c r="B8" s="112" t="s">
        <v>305</v>
      </c>
      <c r="C8" s="122" t="s">
        <v>421</v>
      </c>
      <c r="D8" s="123" t="s">
        <v>85</v>
      </c>
      <c r="E8" s="112" t="s">
        <v>190</v>
      </c>
      <c r="F8" s="77">
        <v>50000</v>
      </c>
      <c r="G8" s="77">
        <f>F8*2.87%</f>
        <v>1435</v>
      </c>
      <c r="H8" s="77">
        <f>+F8*3.04%</f>
        <v>1520</v>
      </c>
      <c r="I8" s="77">
        <v>1854</v>
      </c>
      <c r="J8" s="78">
        <f>25+3093.8</f>
        <v>3118.8</v>
      </c>
      <c r="K8" s="107">
        <f>SUM(G8:J8)</f>
        <v>7927.8</v>
      </c>
      <c r="L8" s="253">
        <f>+F8-K8</f>
        <v>42072.2</v>
      </c>
    </row>
    <row r="9" spans="1:13" s="94" customFormat="1" ht="20.100000000000001" customHeight="1" x14ac:dyDescent="0.25">
      <c r="A9" s="252">
        <v>2</v>
      </c>
      <c r="B9" s="108" t="s">
        <v>415</v>
      </c>
      <c r="C9" s="36" t="s">
        <v>420</v>
      </c>
      <c r="D9" s="109" t="s">
        <v>429</v>
      </c>
      <c r="E9" s="108" t="s">
        <v>416</v>
      </c>
      <c r="F9" s="92">
        <v>44000</v>
      </c>
      <c r="G9" s="92">
        <f t="shared" ref="G9:G13" si="0">F9*2.87%</f>
        <v>1262.8</v>
      </c>
      <c r="H9" s="92">
        <f t="shared" ref="H9" si="1">+F9*3.04%</f>
        <v>1337.6</v>
      </c>
      <c r="I9" s="92">
        <v>1007.19</v>
      </c>
      <c r="J9" s="247">
        <v>25</v>
      </c>
      <c r="K9" s="106">
        <f>+G9+H9+J9+I9</f>
        <v>3632.5899999999997</v>
      </c>
      <c r="L9" s="254">
        <f t="shared" ref="L9:L13" si="2">+F9-K9</f>
        <v>40367.410000000003</v>
      </c>
    </row>
    <row r="10" spans="1:13" s="93" customFormat="1" ht="20.100000000000001" customHeight="1" x14ac:dyDescent="0.25">
      <c r="A10" s="252">
        <v>3</v>
      </c>
      <c r="B10" s="108" t="s">
        <v>332</v>
      </c>
      <c r="C10" s="36" t="s">
        <v>420</v>
      </c>
      <c r="D10" s="109" t="s">
        <v>327</v>
      </c>
      <c r="E10" s="108" t="s">
        <v>98</v>
      </c>
      <c r="F10" s="82">
        <v>28875</v>
      </c>
      <c r="G10" s="82">
        <f t="shared" ref="G10:G11" si="3">F10*2.87%</f>
        <v>828.71249999999998</v>
      </c>
      <c r="H10" s="82">
        <f t="shared" ref="H10:H11" si="4">+F10*3.04%</f>
        <v>877.8</v>
      </c>
      <c r="I10" s="82"/>
      <c r="J10" s="84">
        <v>4696.99</v>
      </c>
      <c r="K10" s="107">
        <f>G10+H10+I10+J10</f>
        <v>6403.5024999999996</v>
      </c>
      <c r="L10" s="255">
        <f t="shared" ref="L10:L11" si="5">+F10-K10</f>
        <v>22471.497500000001</v>
      </c>
    </row>
    <row r="11" spans="1:13" s="93" customFormat="1" ht="20.100000000000001" customHeight="1" x14ac:dyDescent="0.25">
      <c r="A11" s="252">
        <v>4</v>
      </c>
      <c r="B11" s="108" t="s">
        <v>336</v>
      </c>
      <c r="C11" s="36" t="s">
        <v>420</v>
      </c>
      <c r="D11" s="109" t="s">
        <v>327</v>
      </c>
      <c r="E11" s="108" t="s">
        <v>37</v>
      </c>
      <c r="F11" s="82">
        <v>26565</v>
      </c>
      <c r="G11" s="82">
        <f t="shared" si="3"/>
        <v>762.41549999999995</v>
      </c>
      <c r="H11" s="82">
        <f t="shared" si="4"/>
        <v>807.57600000000002</v>
      </c>
      <c r="I11" s="82"/>
      <c r="J11" s="84">
        <f>3059.88+8955.45+25</f>
        <v>12040.330000000002</v>
      </c>
      <c r="K11" s="107">
        <f>SUM(G11:J11)</f>
        <v>13610.321500000002</v>
      </c>
      <c r="L11" s="255">
        <f t="shared" si="5"/>
        <v>12954.678499999998</v>
      </c>
    </row>
    <row r="12" spans="1:13" s="93" customFormat="1" ht="20.100000000000001" customHeight="1" x14ac:dyDescent="0.25">
      <c r="A12" s="252">
        <v>5</v>
      </c>
      <c r="B12" s="108" t="s">
        <v>79</v>
      </c>
      <c r="C12" s="36" t="s">
        <v>421</v>
      </c>
      <c r="D12" s="109" t="s">
        <v>417</v>
      </c>
      <c r="E12" s="108" t="s">
        <v>353</v>
      </c>
      <c r="F12" s="92">
        <v>20356.599999999999</v>
      </c>
      <c r="G12" s="92">
        <f t="shared" si="0"/>
        <v>584.23442</v>
      </c>
      <c r="H12" s="92">
        <f t="shared" ref="H12:H13" si="6">+F12*3.04%</f>
        <v>618.84064000000001</v>
      </c>
      <c r="I12" s="92"/>
      <c r="J12" s="247">
        <v>25</v>
      </c>
      <c r="K12" s="106">
        <f>+G12+H12+J12+I12</f>
        <v>1228.0750600000001</v>
      </c>
      <c r="L12" s="254">
        <f t="shared" si="2"/>
        <v>19128.524939999999</v>
      </c>
    </row>
    <row r="13" spans="1:13" s="93" customFormat="1" ht="20.100000000000001" customHeight="1" thickBot="1" x14ac:dyDescent="0.3">
      <c r="A13" s="256">
        <v>6</v>
      </c>
      <c r="B13" s="257" t="s">
        <v>576</v>
      </c>
      <c r="C13" s="258" t="s">
        <v>421</v>
      </c>
      <c r="D13" s="259" t="s">
        <v>577</v>
      </c>
      <c r="E13" s="257" t="s">
        <v>146</v>
      </c>
      <c r="F13" s="260">
        <v>93500</v>
      </c>
      <c r="G13" s="260">
        <f t="shared" si="0"/>
        <v>2683.45</v>
      </c>
      <c r="H13" s="260">
        <f t="shared" si="6"/>
        <v>2842.4</v>
      </c>
      <c r="I13" s="260">
        <v>10576.47</v>
      </c>
      <c r="J13" s="261">
        <v>25</v>
      </c>
      <c r="K13" s="262">
        <f>+G13+H13+J13+I13</f>
        <v>16127.32</v>
      </c>
      <c r="L13" s="263">
        <f t="shared" si="2"/>
        <v>77372.679999999993</v>
      </c>
    </row>
    <row r="14" spans="1:13" s="95" customFormat="1" ht="20.100000000000001" customHeight="1" thickBot="1" x14ac:dyDescent="0.3">
      <c r="A14" s="248"/>
      <c r="B14" s="249" t="s">
        <v>411</v>
      </c>
      <c r="C14" s="250"/>
      <c r="D14" s="251"/>
      <c r="E14" s="264"/>
      <c r="F14" s="265">
        <f>SUM(F8:F13)</f>
        <v>263296.59999999998</v>
      </c>
      <c r="G14" s="266">
        <f t="shared" ref="G14:L14" si="7">SUM(G8:G13)</f>
        <v>7556.6124199999995</v>
      </c>
      <c r="H14" s="266">
        <f t="shared" si="7"/>
        <v>8004.2166400000006</v>
      </c>
      <c r="I14" s="266">
        <f t="shared" si="7"/>
        <v>13437.66</v>
      </c>
      <c r="J14" s="266">
        <f>SUM(J8:J13)</f>
        <v>19931.120000000003</v>
      </c>
      <c r="K14" s="266">
        <f t="shared" si="7"/>
        <v>48929.609060000003</v>
      </c>
      <c r="L14" s="267">
        <f t="shared" si="7"/>
        <v>214366.99093999999</v>
      </c>
    </row>
    <row r="15" spans="1:13" ht="15.75" x14ac:dyDescent="0.25">
      <c r="D15" s="18"/>
      <c r="E15"/>
      <c r="F15" s="20"/>
    </row>
    <row r="16" spans="1:13" ht="15.75" x14ac:dyDescent="0.25">
      <c r="D16" s="18"/>
      <c r="E16"/>
      <c r="F16" s="20"/>
    </row>
    <row r="17" spans="2:8" ht="15.75" x14ac:dyDescent="0.25">
      <c r="B17" s="19"/>
      <c r="C17" s="141"/>
      <c r="D17" s="20"/>
      <c r="E17" s="19"/>
      <c r="F17"/>
      <c r="H17"/>
    </row>
    <row r="18" spans="2:8" ht="15.75" x14ac:dyDescent="0.25">
      <c r="B18" s="21"/>
      <c r="C18" s="142"/>
      <c r="D18" s="20"/>
      <c r="E18" s="21" t="s">
        <v>487</v>
      </c>
      <c r="F18" s="20"/>
      <c r="H18" s="21"/>
    </row>
    <row r="19" spans="2:8" ht="15.75" x14ac:dyDescent="0.25">
      <c r="B19" s="21" t="s">
        <v>488</v>
      </c>
      <c r="C19" s="142"/>
      <c r="D19" s="20"/>
      <c r="E19" s="21" t="s">
        <v>489</v>
      </c>
      <c r="F19" s="20"/>
      <c r="H19" s="21"/>
    </row>
    <row r="23" spans="2:8" hidden="1" x14ac:dyDescent="0.2"/>
    <row r="26" spans="2:8" x14ac:dyDescent="0.2">
      <c r="G26" s="1">
        <v>2</v>
      </c>
    </row>
    <row r="877141" spans="11:11" x14ac:dyDescent="0.2">
      <c r="K877141" s="11" t="e">
        <f>SUM(#REF!)</f>
        <v>#REF!</v>
      </c>
    </row>
  </sheetData>
  <sortState xmlns:xlrd2="http://schemas.microsoft.com/office/spreadsheetml/2017/richdata2" ref="A8:L14">
    <sortCondition descending="1" ref="F8:F14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2" max="10" man="1"/>
    <brk id="4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7" ma:contentTypeDescription="Create a new document." ma:contentTypeScope="" ma:versionID="f97a908b989bffc03bdecd208987b7fa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b8323051ded9b79c34d8b59eb40cd98f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d39205a1-5442-419a-b1e5-b39410ee3123"/>
    <ds:schemaRef ds:uri="http://purl.org/dc/terms/"/>
    <ds:schemaRef ds:uri="http://schemas.openxmlformats.org/package/2006/metadata/core-properties"/>
    <ds:schemaRef ds:uri="bb6b0d22-0a16-4c1a-9b76-95dfb845d415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8FC65B7-92AB-41FB-A4B6-1185FE3C8E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2023-09-29T14:45:46Z</cp:lastPrinted>
  <dcterms:created xsi:type="dcterms:W3CDTF">2019-01-11T19:06:47Z</dcterms:created>
  <dcterms:modified xsi:type="dcterms:W3CDTF">2023-10-02T12:29:37Z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