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ABE2072-B772-4D88-BF47-9B1EFF9CA3BB}" xr6:coauthVersionLast="47" xr6:coauthVersionMax="47" xr10:uidLastSave="{00000000-0000-0000-0000-000000000000}"/>
  <bookViews>
    <workbookView xWindow="28680" yWindow="-12810" windowWidth="16440" windowHeight="28320" tabRatio="603" activeTab="1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definedNames>
    <definedName name="_xlnm.Print_Area" localSheetId="0">'NOMINA FIJOS '!$A$1:$P$359</definedName>
    <definedName name="_xlnm.Print_Area" localSheetId="1">'PERSONAL TEMPORAL'!$A$1:$R$279</definedName>
    <definedName name="_xlnm.Print_Area" localSheetId="4">PROBATORIO!$A$1:$P$31</definedName>
    <definedName name="_xlnm.Print_Area" localSheetId="2">'SUPLENCIA FIJOS'!$B$1:$L$137</definedName>
    <definedName name="_xlnm.Print_Area" localSheetId="3">'TRAMITE PENSION '!$A$1:$O$29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4" i="13" l="1"/>
  <c r="M10" i="14" l="1"/>
  <c r="M11" i="14"/>
  <c r="M16" i="14"/>
  <c r="K78" i="16"/>
  <c r="K65" i="16"/>
  <c r="K57" i="16"/>
  <c r="K93" i="16"/>
  <c r="K36" i="16"/>
  <c r="K27" i="16"/>
  <c r="K23" i="16"/>
  <c r="K20" i="16"/>
  <c r="K58" i="16"/>
  <c r="K123" i="16"/>
  <c r="K114" i="16"/>
  <c r="K119" i="16"/>
  <c r="B87" i="16"/>
  <c r="K16" i="16"/>
  <c r="H199" i="13"/>
  <c r="K199" i="13"/>
  <c r="O199" i="13"/>
  <c r="P199" i="13"/>
  <c r="K252" i="13"/>
  <c r="O252" i="13"/>
  <c r="P252" i="13"/>
  <c r="H252" i="13"/>
  <c r="K243" i="13"/>
  <c r="O243" i="13"/>
  <c r="P243" i="13"/>
  <c r="H243" i="13"/>
  <c r="I242" i="13"/>
  <c r="J242" i="13"/>
  <c r="L242" i="13" s="1"/>
  <c r="Q242" i="13" s="1"/>
  <c r="R242" i="13" s="1"/>
  <c r="P217" i="13"/>
  <c r="P221" i="13" s="1"/>
  <c r="K221" i="13"/>
  <c r="O221" i="13"/>
  <c r="H221" i="13"/>
  <c r="P206" i="13"/>
  <c r="P205" i="13"/>
  <c r="P204" i="13"/>
  <c r="P203" i="13"/>
  <c r="P202" i="13"/>
  <c r="I198" i="13"/>
  <c r="J198" i="13"/>
  <c r="P125" i="13"/>
  <c r="P118" i="13"/>
  <c r="P115" i="13"/>
  <c r="P104" i="13"/>
  <c r="P103" i="13"/>
  <c r="P102" i="13"/>
  <c r="P94" i="13"/>
  <c r="P90" i="13"/>
  <c r="P89" i="13"/>
  <c r="P83" i="13"/>
  <c r="P84" i="13"/>
  <c r="P79" i="13"/>
  <c r="P78" i="13"/>
  <c r="P77" i="13"/>
  <c r="P72" i="13"/>
  <c r="P64" i="13"/>
  <c r="P60" i="13"/>
  <c r="P55" i="13"/>
  <c r="P51" i="13"/>
  <c r="P50" i="13"/>
  <c r="P47" i="13"/>
  <c r="P41" i="13"/>
  <c r="P38" i="13"/>
  <c r="I43" i="13"/>
  <c r="J43" i="13"/>
  <c r="K44" i="13"/>
  <c r="O44" i="13"/>
  <c r="P32" i="13"/>
  <c r="P17" i="13"/>
  <c r="L198" i="13" l="1"/>
  <c r="M198" i="13" s="1"/>
  <c r="N198" i="13" s="1"/>
  <c r="Q198" i="13" s="1"/>
  <c r="R198" i="13" s="1"/>
  <c r="M242" i="13"/>
  <c r="L43" i="13"/>
  <c r="M43" i="13" s="1"/>
  <c r="P44" i="13"/>
  <c r="N43" i="13" l="1"/>
  <c r="Q43" i="13" l="1"/>
  <c r="R43" i="13" s="1"/>
  <c r="P43" i="4" l="1"/>
  <c r="L42" i="4"/>
  <c r="I308" i="4"/>
  <c r="M308" i="4"/>
  <c r="N308" i="4"/>
  <c r="F308" i="4"/>
  <c r="M274" i="4"/>
  <c r="G88" i="16" l="1"/>
  <c r="A224" i="13"/>
  <c r="A12" i="4"/>
  <c r="A14" i="4"/>
  <c r="A15" i="4" s="1"/>
  <c r="A16" i="4" s="1"/>
  <c r="A17" i="4" s="1"/>
  <c r="F18" i="4"/>
  <c r="J110" i="16" l="1"/>
  <c r="G110" i="16"/>
  <c r="I109" i="16"/>
  <c r="I110" i="16" s="1"/>
  <c r="H109" i="16"/>
  <c r="H110" i="16" s="1"/>
  <c r="I21" i="14"/>
  <c r="M21" i="14"/>
  <c r="F21" i="14"/>
  <c r="K208" i="13"/>
  <c r="O208" i="13"/>
  <c r="P208" i="13"/>
  <c r="H208" i="13"/>
  <c r="I207" i="13"/>
  <c r="J207" i="13"/>
  <c r="P132" i="13"/>
  <c r="O132" i="13"/>
  <c r="K132" i="13"/>
  <c r="H132" i="13"/>
  <c r="J131" i="13"/>
  <c r="I131" i="13"/>
  <c r="J130" i="13"/>
  <c r="I130" i="13"/>
  <c r="I10" i="13"/>
  <c r="J10" i="13"/>
  <c r="G306" i="4"/>
  <c r="H306" i="4"/>
  <c r="H204" i="4"/>
  <c r="G204" i="4"/>
  <c r="I206" i="4"/>
  <c r="M206" i="4"/>
  <c r="N206" i="4"/>
  <c r="F206" i="4"/>
  <c r="H14" i="14"/>
  <c r="G14" i="14"/>
  <c r="J14" i="14" s="1"/>
  <c r="K14" i="14" s="1"/>
  <c r="L207" i="13" l="1"/>
  <c r="M207" i="13" s="1"/>
  <c r="N207" i="13" s="1"/>
  <c r="Q207" i="13" s="1"/>
  <c r="R207" i="13" s="1"/>
  <c r="N14" i="14"/>
  <c r="O14" i="14" s="1"/>
  <c r="K109" i="16"/>
  <c r="L109" i="16" s="1"/>
  <c r="L110" i="16" s="1"/>
  <c r="I132" i="13"/>
  <c r="L131" i="13"/>
  <c r="M131" i="13" s="1"/>
  <c r="N131" i="13" s="1"/>
  <c r="Q131" i="13" s="1"/>
  <c r="R131" i="13" s="1"/>
  <c r="J132" i="13"/>
  <c r="L130" i="13"/>
  <c r="M130" i="13" s="1"/>
  <c r="N130" i="13" s="1"/>
  <c r="Q130" i="13" s="1"/>
  <c r="R130" i="13" s="1"/>
  <c r="J204" i="4"/>
  <c r="K204" i="4" s="1"/>
  <c r="L204" i="4" s="1"/>
  <c r="O204" i="4" s="1"/>
  <c r="P204" i="4" s="1"/>
  <c r="J306" i="4"/>
  <c r="K110" i="16" l="1"/>
  <c r="L132" i="13"/>
  <c r="M132" i="13"/>
  <c r="K306" i="4"/>
  <c r="L306" i="4" s="1"/>
  <c r="N132" i="13" l="1"/>
  <c r="Q132" i="13" l="1"/>
  <c r="R132" i="13"/>
  <c r="O306" i="4"/>
  <c r="P306" i="4" s="1"/>
  <c r="I73" i="16" l="1"/>
  <c r="H73" i="16"/>
  <c r="K86" i="13"/>
  <c r="O86" i="13"/>
  <c r="P86" i="13"/>
  <c r="H86" i="13"/>
  <c r="K52" i="13"/>
  <c r="O52" i="13"/>
  <c r="P52" i="13"/>
  <c r="H52" i="13"/>
  <c r="K80" i="13"/>
  <c r="O80" i="13"/>
  <c r="P80" i="13"/>
  <c r="H80" i="13"/>
  <c r="I274" i="4"/>
  <c r="N274" i="4"/>
  <c r="F274" i="4"/>
  <c r="G273" i="4"/>
  <c r="H273" i="4"/>
  <c r="I18" i="4"/>
  <c r="M18" i="4"/>
  <c r="N18" i="4"/>
  <c r="G16" i="4"/>
  <c r="H17" i="4"/>
  <c r="H16" i="4"/>
  <c r="G17" i="4"/>
  <c r="J16" i="4" l="1"/>
  <c r="K16" i="4" s="1"/>
  <c r="L16" i="4" s="1"/>
  <c r="J17" i="4"/>
  <c r="K17" i="4" s="1"/>
  <c r="L17" i="4" s="1"/>
  <c r="K73" i="16"/>
  <c r="J273" i="4"/>
  <c r="O17" i="4" l="1"/>
  <c r="P17" i="4" s="1"/>
  <c r="O16" i="4"/>
  <c r="P16" i="4" s="1"/>
  <c r="K273" i="4"/>
  <c r="L273" i="4" s="1"/>
  <c r="O273" i="4" s="1"/>
  <c r="P273" i="4" l="1"/>
  <c r="I84" i="13" l="1"/>
  <c r="J84" i="13"/>
  <c r="I85" i="13"/>
  <c r="J85" i="13"/>
  <c r="I42" i="13"/>
  <c r="J42" i="13"/>
  <c r="I41" i="13"/>
  <c r="J41" i="13"/>
  <c r="G305" i="4"/>
  <c r="H305" i="4"/>
  <c r="G304" i="4"/>
  <c r="H304" i="4"/>
  <c r="G272" i="4"/>
  <c r="H272" i="4"/>
  <c r="L42" i="13" l="1"/>
  <c r="M42" i="13" s="1"/>
  <c r="N42" i="13" s="1"/>
  <c r="Q42" i="13" s="1"/>
  <c r="R42" i="13" s="1"/>
  <c r="L41" i="13"/>
  <c r="J305" i="4"/>
  <c r="J304" i="4"/>
  <c r="J272" i="4"/>
  <c r="M41" i="13" l="1"/>
  <c r="K305" i="4"/>
  <c r="L305" i="4" s="1"/>
  <c r="K304" i="4"/>
  <c r="L304" i="4" s="1"/>
  <c r="K272" i="4"/>
  <c r="L272" i="4" s="1"/>
  <c r="O272" i="4" s="1"/>
  <c r="N41" i="13" l="1"/>
  <c r="Q41" i="13" s="1"/>
  <c r="R41" i="13" s="1"/>
  <c r="O305" i="4"/>
  <c r="P305" i="4" s="1"/>
  <c r="O304" i="4"/>
  <c r="P304" i="4" s="1"/>
  <c r="P272" i="4"/>
  <c r="I19" i="18" l="1"/>
  <c r="A12" i="18"/>
  <c r="A16" i="18" s="1"/>
  <c r="G16" i="18"/>
  <c r="H16" i="18"/>
  <c r="G8" i="18"/>
  <c r="H8" i="18"/>
  <c r="O999859" i="18"/>
  <c r="B16534" i="18"/>
  <c r="B16536" i="18" s="1"/>
  <c r="N17" i="18"/>
  <c r="M17" i="18"/>
  <c r="M19" i="18" s="1"/>
  <c r="I17" i="18"/>
  <c r="F17" i="18"/>
  <c r="N13" i="18"/>
  <c r="I13" i="18"/>
  <c r="F13" i="18"/>
  <c r="H12" i="18"/>
  <c r="G12" i="18"/>
  <c r="N9" i="18"/>
  <c r="I9" i="18"/>
  <c r="F9" i="18"/>
  <c r="N19" i="18" l="1"/>
  <c r="F19" i="18"/>
  <c r="J8" i="18"/>
  <c r="K8" i="18" s="1"/>
  <c r="L8" i="18" s="1"/>
  <c r="O8" i="18" s="1"/>
  <c r="P8" i="18" s="1"/>
  <c r="J16" i="18"/>
  <c r="K16" i="18" s="1"/>
  <c r="L16" i="18" s="1"/>
  <c r="O16" i="18" s="1"/>
  <c r="P16" i="18" s="1"/>
  <c r="H9" i="18"/>
  <c r="G17" i="18"/>
  <c r="J12" i="18"/>
  <c r="K12" i="18" s="1"/>
  <c r="H13" i="18"/>
  <c r="G9" i="18"/>
  <c r="G13" i="18"/>
  <c r="H17" i="18"/>
  <c r="G12" i="14"/>
  <c r="H12" i="14"/>
  <c r="I88" i="16"/>
  <c r="H88" i="16"/>
  <c r="J88" i="16"/>
  <c r="I31" i="16"/>
  <c r="I33" i="16" s="1"/>
  <c r="H31" i="16"/>
  <c r="H33" i="16" s="1"/>
  <c r="K32" i="16"/>
  <c r="G33" i="16"/>
  <c r="J33" i="16"/>
  <c r="P226" i="13"/>
  <c r="O226" i="13"/>
  <c r="K226" i="13"/>
  <c r="H226" i="13"/>
  <c r="J218" i="13"/>
  <c r="I218" i="13"/>
  <c r="J197" i="13"/>
  <c r="J199" i="13" s="1"/>
  <c r="I197" i="13"/>
  <c r="I199" i="13" s="1"/>
  <c r="I251" i="13"/>
  <c r="K137" i="13"/>
  <c r="O137" i="13"/>
  <c r="P137" i="13"/>
  <c r="H137" i="13"/>
  <c r="K106" i="13"/>
  <c r="O106" i="13"/>
  <c r="P106" i="13"/>
  <c r="H106" i="13"/>
  <c r="J105" i="13"/>
  <c r="I105" i="13"/>
  <c r="P73" i="13"/>
  <c r="H73" i="13"/>
  <c r="K73" i="13"/>
  <c r="O73" i="13"/>
  <c r="H19" i="18" l="1"/>
  <c r="G19" i="18"/>
  <c r="L218" i="13"/>
  <c r="J9" i="18"/>
  <c r="J17" i="18"/>
  <c r="J13" i="18"/>
  <c r="K9" i="18"/>
  <c r="K19" i="18" s="1"/>
  <c r="L12" i="18"/>
  <c r="K13" i="18"/>
  <c r="K17" i="18"/>
  <c r="J12" i="14"/>
  <c r="K31" i="16"/>
  <c r="L31" i="16" s="1"/>
  <c r="L105" i="13"/>
  <c r="M105" i="13" s="1"/>
  <c r="N105" i="13" s="1"/>
  <c r="Q105" i="13" s="1"/>
  <c r="R105" i="13" s="1"/>
  <c r="L197" i="13"/>
  <c r="L199" i="13" s="1"/>
  <c r="F137" i="4"/>
  <c r="N112" i="4"/>
  <c r="I112" i="4"/>
  <c r="M112" i="4"/>
  <c r="F112" i="4"/>
  <c r="H111" i="4"/>
  <c r="G111" i="4"/>
  <c r="M218" i="13" l="1"/>
  <c r="N218" i="13" s="1"/>
  <c r="J19" i="18"/>
  <c r="L13" i="18"/>
  <c r="O12" i="18"/>
  <c r="L17" i="18"/>
  <c r="L9" i="18"/>
  <c r="K12" i="14"/>
  <c r="L12" i="14" s="1"/>
  <c r="K33" i="16"/>
  <c r="M197" i="13"/>
  <c r="M199" i="13" s="1"/>
  <c r="J111" i="4"/>
  <c r="K111" i="4" s="1"/>
  <c r="L111" i="4" s="1"/>
  <c r="O111" i="4" s="1"/>
  <c r="P111" i="4" s="1"/>
  <c r="Q218" i="13" l="1"/>
  <c r="L19" i="18"/>
  <c r="O13" i="18"/>
  <c r="P12" i="18"/>
  <c r="P13" i="18" s="1"/>
  <c r="P9" i="18"/>
  <c r="O9" i="18"/>
  <c r="O17" i="18"/>
  <c r="P17" i="18"/>
  <c r="N12" i="14"/>
  <c r="O12" i="14" s="1"/>
  <c r="N197" i="13"/>
  <c r="N199" i="13" s="1"/>
  <c r="R218" i="13" l="1"/>
  <c r="P19" i="18"/>
  <c r="O19" i="18"/>
  <c r="Q197" i="13"/>
  <c r="Q199" i="13" s="1"/>
  <c r="R197" i="13" l="1"/>
  <c r="R199" i="13" s="1"/>
  <c r="K157" i="13" l="1"/>
  <c r="O157" i="13"/>
  <c r="P157" i="13"/>
  <c r="H157" i="13"/>
  <c r="I156" i="13"/>
  <c r="J156" i="13"/>
  <c r="K112" i="13"/>
  <c r="O112" i="13"/>
  <c r="P112" i="13"/>
  <c r="H112" i="13"/>
  <c r="K95" i="13"/>
  <c r="O95" i="13"/>
  <c r="P95" i="13"/>
  <c r="H95" i="13"/>
  <c r="K65" i="13"/>
  <c r="O65" i="13"/>
  <c r="P65" i="13"/>
  <c r="H65" i="13"/>
  <c r="P69" i="13"/>
  <c r="O69" i="13"/>
  <c r="K69" i="13"/>
  <c r="H69" i="13"/>
  <c r="J68" i="13"/>
  <c r="I68" i="13"/>
  <c r="J94" i="13"/>
  <c r="I94" i="13"/>
  <c r="I193" i="13"/>
  <c r="I137" i="4"/>
  <c r="M137" i="4"/>
  <c r="N137" i="4"/>
  <c r="I130" i="4"/>
  <c r="M130" i="4"/>
  <c r="N130" i="4"/>
  <c r="F130" i="4"/>
  <c r="I125" i="4"/>
  <c r="M125" i="4"/>
  <c r="N125" i="4"/>
  <c r="F125" i="4"/>
  <c r="F118" i="4"/>
  <c r="I100" i="4"/>
  <c r="M100" i="4"/>
  <c r="N100" i="4"/>
  <c r="F100" i="4"/>
  <c r="F83" i="4"/>
  <c r="I67" i="4"/>
  <c r="M67" i="4"/>
  <c r="N67" i="4"/>
  <c r="F67" i="4"/>
  <c r="I47" i="4"/>
  <c r="M47" i="4"/>
  <c r="N47" i="4"/>
  <c r="F47" i="4"/>
  <c r="N146" i="4"/>
  <c r="I146" i="4"/>
  <c r="F146" i="4"/>
  <c r="L33" i="4"/>
  <c r="G34" i="4"/>
  <c r="H34" i="4"/>
  <c r="I34" i="4"/>
  <c r="J34" i="4"/>
  <c r="K34" i="4"/>
  <c r="M34" i="4"/>
  <c r="N34" i="4"/>
  <c r="F34" i="4"/>
  <c r="L156" i="13" l="1"/>
  <c r="M156" i="13" s="1"/>
  <c r="N156" i="13" s="1"/>
  <c r="Q156" i="13" s="1"/>
  <c r="R156" i="13" s="1"/>
  <c r="L34" i="4"/>
  <c r="O33" i="4"/>
  <c r="P33" i="4" s="1"/>
  <c r="P34" i="4" s="1"/>
  <c r="L68" i="13"/>
  <c r="I69" i="13"/>
  <c r="J69" i="13"/>
  <c r="L94" i="13"/>
  <c r="M68" i="13" l="1"/>
  <c r="N68" i="13" s="1"/>
  <c r="Q68" i="13" s="1"/>
  <c r="R68" i="13" s="1"/>
  <c r="R69" i="13" s="1"/>
  <c r="M94" i="13"/>
  <c r="L69" i="13"/>
  <c r="M69" i="13" l="1"/>
  <c r="N94" i="13"/>
  <c r="N95" i="13" s="1"/>
  <c r="N69" i="13" l="1"/>
  <c r="Q94" i="13"/>
  <c r="Q69" i="13" l="1"/>
  <c r="R94" i="13"/>
  <c r="H48" i="13" l="1"/>
  <c r="H34" i="13"/>
  <c r="H26" i="13"/>
  <c r="H20" i="13"/>
  <c r="H179" i="13"/>
  <c r="H171" i="13"/>
  <c r="K171" i="13"/>
  <c r="O171" i="13"/>
  <c r="P171" i="13"/>
  <c r="K91" i="13"/>
  <c r="O91" i="13"/>
  <c r="P91" i="13"/>
  <c r="H91" i="13"/>
  <c r="I79" i="13"/>
  <c r="J79" i="13"/>
  <c r="K57" i="13"/>
  <c r="O57" i="13"/>
  <c r="P57" i="13"/>
  <c r="H57" i="13"/>
  <c r="I56" i="13"/>
  <c r="J56" i="13"/>
  <c r="P48" i="13"/>
  <c r="O48" i="13"/>
  <c r="K48" i="13"/>
  <c r="J47" i="13"/>
  <c r="J48" i="13" s="1"/>
  <c r="I47" i="13"/>
  <c r="I48" i="13" s="1"/>
  <c r="G303" i="4"/>
  <c r="H303" i="4"/>
  <c r="G271" i="4"/>
  <c r="H271" i="4"/>
  <c r="G270" i="4"/>
  <c r="H270" i="4"/>
  <c r="H184" i="4"/>
  <c r="G184" i="4"/>
  <c r="I83" i="4"/>
  <c r="M83" i="4"/>
  <c r="N83" i="4"/>
  <c r="F26" i="4"/>
  <c r="J184" i="4" l="1"/>
  <c r="K184" i="4" s="1"/>
  <c r="L184" i="4" s="1"/>
  <c r="O184" i="4" s="1"/>
  <c r="L56" i="13"/>
  <c r="M56" i="13" s="1"/>
  <c r="L79" i="13"/>
  <c r="M79" i="13" s="1"/>
  <c r="L47" i="13"/>
  <c r="J303" i="4"/>
  <c r="J271" i="4"/>
  <c r="J270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17" i="14"/>
  <c r="G17" i="14"/>
  <c r="M47" i="13" l="1"/>
  <c r="N47" i="13" s="1"/>
  <c r="N48" i="13" s="1"/>
  <c r="J17" i="14"/>
  <c r="K17" i="14" s="1"/>
  <c r="L17" i="14" s="1"/>
  <c r="N17" i="14" s="1"/>
  <c r="O17" i="14" s="1"/>
  <c r="N56" i="13"/>
  <c r="Q56" i="13" s="1"/>
  <c r="R56" i="13" s="1"/>
  <c r="P184" i="4"/>
  <c r="L48" i="13"/>
  <c r="K303" i="4"/>
  <c r="L303" i="4" s="1"/>
  <c r="K271" i="4"/>
  <c r="L271" i="4" s="1"/>
  <c r="O271" i="4" s="1"/>
  <c r="K270" i="4"/>
  <c r="L270" i="4" s="1"/>
  <c r="O270" i="4" s="1"/>
  <c r="K24" i="16"/>
  <c r="L55" i="13"/>
  <c r="L19" i="13"/>
  <c r="F282" i="4"/>
  <c r="H279" i="4"/>
  <c r="G279" i="4"/>
  <c r="H302" i="4"/>
  <c r="G302" i="4"/>
  <c r="G269" i="4"/>
  <c r="H269" i="4"/>
  <c r="G268" i="4"/>
  <c r="H268" i="4"/>
  <c r="G267" i="4"/>
  <c r="H267" i="4"/>
  <c r="H13" i="14"/>
  <c r="G13" i="14"/>
  <c r="H99" i="4"/>
  <c r="G99" i="4"/>
  <c r="H22" i="4"/>
  <c r="G22" i="4"/>
  <c r="O42" i="4"/>
  <c r="P42" i="4" s="1"/>
  <c r="O34" i="4"/>
  <c r="H10" i="14"/>
  <c r="G10" i="14"/>
  <c r="H9" i="14"/>
  <c r="G9" i="14"/>
  <c r="H11" i="14"/>
  <c r="G11" i="14"/>
  <c r="I61" i="4"/>
  <c r="M61" i="4"/>
  <c r="N61" i="4"/>
  <c r="F61" i="4"/>
  <c r="H58" i="4"/>
  <c r="G58" i="4"/>
  <c r="G8" i="14"/>
  <c r="H8" i="14"/>
  <c r="H7" i="14"/>
  <c r="G7" i="14"/>
  <c r="H64" i="4"/>
  <c r="G64" i="4"/>
  <c r="K247" i="13"/>
  <c r="O247" i="13"/>
  <c r="P247" i="13"/>
  <c r="H247" i="13"/>
  <c r="P238" i="13"/>
  <c r="O238" i="13"/>
  <c r="K238" i="13"/>
  <c r="H238" i="13"/>
  <c r="J237" i="13"/>
  <c r="J238" i="13" s="1"/>
  <c r="I237" i="13"/>
  <c r="I238" i="13" s="1"/>
  <c r="H167" i="13"/>
  <c r="J245" i="13"/>
  <c r="I245" i="13"/>
  <c r="I317" i="4"/>
  <c r="M317" i="4"/>
  <c r="N317" i="4"/>
  <c r="F317" i="4"/>
  <c r="G19" i="14"/>
  <c r="H19" i="14"/>
  <c r="G18" i="14"/>
  <c r="H18" i="14"/>
  <c r="A10" i="4"/>
  <c r="H315" i="4"/>
  <c r="G315" i="4"/>
  <c r="H15" i="4"/>
  <c r="G15" i="4"/>
  <c r="O15" i="4" l="1"/>
  <c r="M48" i="13"/>
  <c r="Q47" i="13"/>
  <c r="L23" i="16"/>
  <c r="L24" i="16" s="1"/>
  <c r="M55" i="13"/>
  <c r="J7" i="14"/>
  <c r="J19" i="14"/>
  <c r="K19" i="14" s="1"/>
  <c r="L19" i="14" s="1"/>
  <c r="N19" i="14" s="1"/>
  <c r="O19" i="14" s="1"/>
  <c r="J9" i="14"/>
  <c r="J13" i="14"/>
  <c r="J18" i="14"/>
  <c r="K18" i="14" s="1"/>
  <c r="L18" i="14" s="1"/>
  <c r="N18" i="14" s="1"/>
  <c r="O18" i="14" s="1"/>
  <c r="J8" i="14"/>
  <c r="K8" i="14" s="1"/>
  <c r="J11" i="14"/>
  <c r="K11" i="14" s="1"/>
  <c r="L11" i="14" s="1"/>
  <c r="N11" i="14" s="1"/>
  <c r="O11" i="14" s="1"/>
  <c r="J10" i="14"/>
  <c r="K10" i="14" s="1"/>
  <c r="M19" i="13"/>
  <c r="J302" i="4"/>
  <c r="K302" i="4" s="1"/>
  <c r="L302" i="4" s="1"/>
  <c r="J22" i="4"/>
  <c r="J279" i="4"/>
  <c r="K279" i="4" s="1"/>
  <c r="J268" i="4"/>
  <c r="K268" i="4" s="1"/>
  <c r="L268" i="4" s="1"/>
  <c r="O268" i="4" s="1"/>
  <c r="J269" i="4"/>
  <c r="J267" i="4"/>
  <c r="J99" i="4"/>
  <c r="K99" i="4" s="1"/>
  <c r="L99" i="4" s="1"/>
  <c r="J64" i="4"/>
  <c r="J58" i="4"/>
  <c r="L245" i="13"/>
  <c r="L237" i="13"/>
  <c r="J15" i="4"/>
  <c r="K15" i="4" s="1"/>
  <c r="J315" i="4"/>
  <c r="N19" i="13" l="1"/>
  <c r="Q19" i="13" s="1"/>
  <c r="R19" i="13" s="1"/>
  <c r="P15" i="4"/>
  <c r="Q48" i="13"/>
  <c r="R47" i="13"/>
  <c r="R48" i="13" s="1"/>
  <c r="L8" i="14"/>
  <c r="N8" i="14" s="1"/>
  <c r="O8" i="14" s="1"/>
  <c r="L10" i="14"/>
  <c r="N10" i="14" s="1"/>
  <c r="O10" i="14" s="1"/>
  <c r="K13" i="14"/>
  <c r="L13" i="14" s="1"/>
  <c r="N13" i="14" s="1"/>
  <c r="O13" i="14" s="1"/>
  <c r="O302" i="4"/>
  <c r="P302" i="4" s="1"/>
  <c r="L279" i="4"/>
  <c r="O279" i="4" s="1"/>
  <c r="P279" i="4" s="1"/>
  <c r="O99" i="4"/>
  <c r="P99" i="4" s="1"/>
  <c r="K64" i="4"/>
  <c r="O303" i="4"/>
  <c r="N55" i="13"/>
  <c r="P270" i="4"/>
  <c r="P271" i="4"/>
  <c r="K9" i="14"/>
  <c r="L9" i="14" s="1"/>
  <c r="N9" i="14" s="1"/>
  <c r="O9" i="14" s="1"/>
  <c r="K7" i="14"/>
  <c r="K269" i="4"/>
  <c r="L269" i="4" s="1"/>
  <c r="O269" i="4" s="1"/>
  <c r="P268" i="4"/>
  <c r="K267" i="4"/>
  <c r="L267" i="4" s="1"/>
  <c r="O267" i="4" s="1"/>
  <c r="K58" i="4"/>
  <c r="L58" i="4" s="1"/>
  <c r="K315" i="4"/>
  <c r="L238" i="13"/>
  <c r="M237" i="13"/>
  <c r="N237" i="13" s="1"/>
  <c r="M245" i="13"/>
  <c r="N245" i="13" s="1"/>
  <c r="P303" i="4" l="1"/>
  <c r="L64" i="4"/>
  <c r="Q55" i="13"/>
  <c r="N57" i="13"/>
  <c r="L7" i="14"/>
  <c r="M238" i="13"/>
  <c r="P269" i="4"/>
  <c r="P267" i="4"/>
  <c r="L315" i="4"/>
  <c r="N238" i="13"/>
  <c r="Q237" i="13"/>
  <c r="Q238" i="13" s="1"/>
  <c r="N7" i="14" l="1"/>
  <c r="O64" i="4"/>
  <c r="R55" i="13"/>
  <c r="O58" i="4"/>
  <c r="O315" i="4"/>
  <c r="Q245" i="13"/>
  <c r="R237" i="13"/>
  <c r="R238" i="13" s="1"/>
  <c r="P64" i="4" l="1"/>
  <c r="O7" i="14"/>
  <c r="P58" i="4"/>
  <c r="P315" i="4"/>
  <c r="R245" i="13"/>
  <c r="K162" i="13" l="1"/>
  <c r="O162" i="13"/>
  <c r="P162" i="13"/>
  <c r="H162" i="13"/>
  <c r="K152" i="13"/>
  <c r="O152" i="13"/>
  <c r="P152" i="13"/>
  <c r="H152" i="13"/>
  <c r="K146" i="13"/>
  <c r="H146" i="13"/>
  <c r="K142" i="13"/>
  <c r="O142" i="13"/>
  <c r="P142" i="13"/>
  <c r="H142" i="13"/>
  <c r="K34" i="13"/>
  <c r="O34" i="13"/>
  <c r="P34" i="13"/>
  <c r="I347" i="4" l="1"/>
  <c r="M347" i="4"/>
  <c r="N347" i="4"/>
  <c r="F347" i="4"/>
  <c r="I282" i="4"/>
  <c r="M282" i="4"/>
  <c r="N282" i="4"/>
  <c r="I177" i="4"/>
  <c r="M177" i="4"/>
  <c r="N177" i="4"/>
  <c r="F177" i="4"/>
  <c r="I170" i="4"/>
  <c r="M170" i="4"/>
  <c r="N170" i="4"/>
  <c r="F170" i="4"/>
  <c r="I89" i="4"/>
  <c r="M89" i="4"/>
  <c r="N89" i="4"/>
  <c r="F89" i="4"/>
  <c r="K167" i="13"/>
  <c r="O167" i="13"/>
  <c r="P167" i="13"/>
  <c r="I166" i="13"/>
  <c r="J166" i="13"/>
  <c r="I33" i="13"/>
  <c r="J33" i="13"/>
  <c r="G16" i="14"/>
  <c r="H16" i="14"/>
  <c r="J16" i="14" l="1"/>
  <c r="N16" i="14" s="1"/>
  <c r="O16" i="14" s="1"/>
  <c r="L33" i="13"/>
  <c r="M33" i="13" s="1"/>
  <c r="N33" i="13" s="1"/>
  <c r="L166" i="13"/>
  <c r="M166" i="13" s="1"/>
  <c r="N166" i="13" s="1"/>
  <c r="Q166" i="13" s="1"/>
  <c r="R166" i="13" s="1"/>
  <c r="I57" i="16"/>
  <c r="H57" i="16"/>
  <c r="G301" i="4"/>
  <c r="H301" i="4"/>
  <c r="G281" i="4"/>
  <c r="H281" i="4"/>
  <c r="H264" i="4"/>
  <c r="G264" i="4"/>
  <c r="G265" i="4"/>
  <c r="H265" i="4"/>
  <c r="I191" i="4"/>
  <c r="M191" i="4"/>
  <c r="N191" i="4"/>
  <c r="F191" i="4"/>
  <c r="H189" i="4"/>
  <c r="G189" i="4"/>
  <c r="F150" i="4"/>
  <c r="Q33" i="13" l="1"/>
  <c r="R33" i="13" s="1"/>
  <c r="K16" i="14"/>
  <c r="J281" i="4"/>
  <c r="K281" i="4" s="1"/>
  <c r="J301" i="4"/>
  <c r="J265" i="4"/>
  <c r="K265" i="4" s="1"/>
  <c r="J189" i="4"/>
  <c r="K189" i="4" s="1"/>
  <c r="L265" i="4" l="1"/>
  <c r="O265" i="4" s="1"/>
  <c r="P265" i="4" s="1"/>
  <c r="L281" i="4"/>
  <c r="O281" i="4" s="1"/>
  <c r="P281" i="4" s="1"/>
  <c r="L189" i="4"/>
  <c r="O189" i="4" s="1"/>
  <c r="P189" i="4" s="1"/>
  <c r="K301" i="4"/>
  <c r="L301" i="4" l="1"/>
  <c r="O301" i="4" s="1"/>
  <c r="P301" i="4" s="1"/>
  <c r="H37" i="16" l="1"/>
  <c r="I37" i="16"/>
  <c r="H58" i="16"/>
  <c r="I58" i="16"/>
  <c r="I123" i="16"/>
  <c r="H123" i="16"/>
  <c r="I119" i="16"/>
  <c r="H119" i="16"/>
  <c r="I115" i="16"/>
  <c r="H115" i="16"/>
  <c r="I97" i="16"/>
  <c r="H97" i="16"/>
  <c r="I83" i="16"/>
  <c r="H83" i="16"/>
  <c r="I49" i="16"/>
  <c r="H49" i="16"/>
  <c r="I150" i="13"/>
  <c r="J150" i="13"/>
  <c r="K49" i="16" l="1"/>
  <c r="K50" i="16" s="1"/>
  <c r="L150" i="13"/>
  <c r="M150" i="13" s="1"/>
  <c r="N150" i="13" l="1"/>
  <c r="Q150" i="13" s="1"/>
  <c r="R150" i="13" s="1"/>
  <c r="G94" i="16" l="1"/>
  <c r="J94" i="16" l="1"/>
  <c r="H93" i="16"/>
  <c r="H94" i="16" s="1"/>
  <c r="I93" i="16"/>
  <c r="I94" i="16" s="1"/>
  <c r="I78" i="16"/>
  <c r="H78" i="16"/>
  <c r="P256" i="13"/>
  <c r="O256" i="13"/>
  <c r="K256" i="13"/>
  <c r="H256" i="13"/>
  <c r="J255" i="13"/>
  <c r="J256" i="13" s="1"/>
  <c r="I255" i="13"/>
  <c r="I256" i="13" s="1"/>
  <c r="J250" i="13"/>
  <c r="I250" i="13"/>
  <c r="I252" i="13" s="1"/>
  <c r="I145" i="13"/>
  <c r="J145" i="13"/>
  <c r="P126" i="13"/>
  <c r="L84" i="13"/>
  <c r="L85" i="13"/>
  <c r="M85" i="13" s="1"/>
  <c r="N85" i="13" s="1"/>
  <c r="I90" i="13"/>
  <c r="J90" i="13"/>
  <c r="I159" i="4"/>
  <c r="M159" i="4"/>
  <c r="N159" i="4"/>
  <c r="F159" i="4"/>
  <c r="H158" i="4"/>
  <c r="G158" i="4"/>
  <c r="J155" i="13"/>
  <c r="J157" i="13" s="1"/>
  <c r="H126" i="13"/>
  <c r="J122" i="13"/>
  <c r="J123" i="13"/>
  <c r="I123" i="13"/>
  <c r="Q85" i="13" l="1"/>
  <c r="R85" i="13" s="1"/>
  <c r="J158" i="4"/>
  <c r="K158" i="4" s="1"/>
  <c r="L158" i="4" s="1"/>
  <c r="K94" i="16"/>
  <c r="L250" i="13"/>
  <c r="L255" i="13"/>
  <c r="L256" i="13" s="1"/>
  <c r="L145" i="13"/>
  <c r="M145" i="13" s="1"/>
  <c r="N145" i="13" s="1"/>
  <c r="M84" i="13"/>
  <c r="N84" i="13" s="1"/>
  <c r="L123" i="13"/>
  <c r="M123" i="13" s="1"/>
  <c r="N123" i="13" s="1"/>
  <c r="L90" i="13"/>
  <c r="M90" i="13" s="1"/>
  <c r="N90" i="13" s="1"/>
  <c r="I311" i="4"/>
  <c r="M250" i="13" l="1"/>
  <c r="N250" i="13" s="1"/>
  <c r="O158" i="4"/>
  <c r="P158" i="4" s="1"/>
  <c r="Q84" i="13"/>
  <c r="R84" i="13" s="1"/>
  <c r="L93" i="16"/>
  <c r="L94" i="16" s="1"/>
  <c r="M255" i="13"/>
  <c r="Q123" i="13"/>
  <c r="R123" i="13" s="1"/>
  <c r="N195" i="4"/>
  <c r="I195" i="4"/>
  <c r="F195" i="4"/>
  <c r="H194" i="4"/>
  <c r="H195" i="4" s="1"/>
  <c r="G194" i="4"/>
  <c r="G195" i="4" s="1"/>
  <c r="M256" i="13" l="1"/>
  <c r="N255" i="13"/>
  <c r="N256" i="13" s="1"/>
  <c r="Q145" i="13"/>
  <c r="J194" i="4"/>
  <c r="Q255" i="13" l="1"/>
  <c r="Q256" i="13" s="1"/>
  <c r="R145" i="13"/>
  <c r="J195" i="4"/>
  <c r="K194" i="4"/>
  <c r="R255" i="13" l="1"/>
  <c r="R256" i="13" s="1"/>
  <c r="K195" i="4"/>
  <c r="L194" i="4"/>
  <c r="L195" i="4" l="1"/>
  <c r="O194" i="4"/>
  <c r="O195" i="4" s="1"/>
  <c r="P194" i="4" l="1"/>
  <c r="P195" i="4" s="1"/>
  <c r="J246" i="13" l="1"/>
  <c r="J247" i="13" s="1"/>
  <c r="I246" i="13"/>
  <c r="I247" i="13" s="1"/>
  <c r="L246" i="13" l="1"/>
  <c r="L247" i="13" s="1"/>
  <c r="I17" i="13"/>
  <c r="J17" i="13"/>
  <c r="I18" i="13"/>
  <c r="J18" i="13"/>
  <c r="K11" i="13"/>
  <c r="O11" i="13"/>
  <c r="P11" i="13"/>
  <c r="H11" i="13"/>
  <c r="A14" i="13"/>
  <c r="K20" i="13"/>
  <c r="O20" i="13"/>
  <c r="I155" i="4"/>
  <c r="M155" i="4"/>
  <c r="N155" i="4"/>
  <c r="F155" i="4"/>
  <c r="J220" i="13"/>
  <c r="I220" i="13"/>
  <c r="J111" i="13"/>
  <c r="I111" i="13"/>
  <c r="K109" i="13"/>
  <c r="O109" i="13"/>
  <c r="P109" i="13"/>
  <c r="H109" i="13"/>
  <c r="J77" i="13"/>
  <c r="I77" i="13"/>
  <c r="G299" i="4"/>
  <c r="H299" i="4"/>
  <c r="G298" i="4"/>
  <c r="H298" i="4"/>
  <c r="G280" i="4"/>
  <c r="H280" i="4"/>
  <c r="G263" i="4"/>
  <c r="G266" i="4"/>
  <c r="H263" i="4"/>
  <c r="I26" i="4"/>
  <c r="J112" i="13" l="1"/>
  <c r="I112" i="13"/>
  <c r="M246" i="13"/>
  <c r="N246" i="13" s="1"/>
  <c r="L17" i="13"/>
  <c r="M17" i="13" s="1"/>
  <c r="N17" i="13" s="1"/>
  <c r="L220" i="13"/>
  <c r="M220" i="13" s="1"/>
  <c r="N220" i="13" s="1"/>
  <c r="L18" i="13"/>
  <c r="M18" i="13" s="1"/>
  <c r="L111" i="13"/>
  <c r="L112" i="13" s="1"/>
  <c r="L77" i="13"/>
  <c r="M77" i="13" s="1"/>
  <c r="J299" i="4"/>
  <c r="K299" i="4" s="1"/>
  <c r="L299" i="4" s="1"/>
  <c r="J298" i="4"/>
  <c r="K298" i="4" s="1"/>
  <c r="L298" i="4" s="1"/>
  <c r="J280" i="4"/>
  <c r="K280" i="4" s="1"/>
  <c r="L280" i="4" s="1"/>
  <c r="J264" i="4"/>
  <c r="J263" i="4"/>
  <c r="K263" i="4" s="1"/>
  <c r="L263" i="4" s="1"/>
  <c r="O263" i="4" s="1"/>
  <c r="N18" i="13" l="1"/>
  <c r="Q18" i="13" s="1"/>
  <c r="R18" i="13" s="1"/>
  <c r="Q220" i="13"/>
  <c r="R220" i="13" s="1"/>
  <c r="Q17" i="13"/>
  <c r="R17" i="13" s="1"/>
  <c r="M247" i="13"/>
  <c r="K264" i="4"/>
  <c r="L264" i="4" s="1"/>
  <c r="O264" i="4" s="1"/>
  <c r="M111" i="13"/>
  <c r="K26" i="13"/>
  <c r="O26" i="13"/>
  <c r="H202" i="4"/>
  <c r="G202" i="4"/>
  <c r="N111" i="13" l="1"/>
  <c r="N112" i="13" s="1"/>
  <c r="M112" i="13"/>
  <c r="Q246" i="13"/>
  <c r="Q247" i="13" s="1"/>
  <c r="N247" i="13"/>
  <c r="O299" i="4"/>
  <c r="P299" i="4" s="1"/>
  <c r="O298" i="4"/>
  <c r="P298" i="4" s="1"/>
  <c r="J202" i="4"/>
  <c r="P263" i="4"/>
  <c r="K202" i="4" l="1"/>
  <c r="R246" i="13"/>
  <c r="R247" i="13" s="1"/>
  <c r="Q111" i="13"/>
  <c r="O280" i="4"/>
  <c r="L202" i="4" l="1"/>
  <c r="O202" i="4" s="1"/>
  <c r="Q112" i="13"/>
  <c r="P264" i="4"/>
  <c r="R111" i="13"/>
  <c r="P280" i="4"/>
  <c r="R112" i="13" l="1"/>
  <c r="P202" i="4"/>
  <c r="H61" i="13" l="1"/>
  <c r="F327" i="4"/>
  <c r="G59" i="16" l="1"/>
  <c r="G46" i="16"/>
  <c r="K119" i="13" l="1"/>
  <c r="O119" i="13"/>
  <c r="P119" i="13"/>
  <c r="H119" i="13"/>
  <c r="I51" i="13"/>
  <c r="J51" i="13"/>
  <c r="I104" i="13"/>
  <c r="J104" i="13"/>
  <c r="I327" i="4"/>
  <c r="M327" i="4"/>
  <c r="M349" i="4" s="1"/>
  <c r="N327" i="4"/>
  <c r="G326" i="4"/>
  <c r="H326" i="4"/>
  <c r="G243" i="4"/>
  <c r="H243" i="4"/>
  <c r="H135" i="4"/>
  <c r="G135" i="4"/>
  <c r="J326" i="4" l="1"/>
  <c r="K326" i="4" s="1"/>
  <c r="L326" i="4" s="1"/>
  <c r="L104" i="13"/>
  <c r="M104" i="13" s="1"/>
  <c r="N104" i="13" s="1"/>
  <c r="L51" i="13"/>
  <c r="M51" i="13" s="1"/>
  <c r="J243" i="4"/>
  <c r="J135" i="4"/>
  <c r="K135" i="4" s="1"/>
  <c r="L135" i="4" s="1"/>
  <c r="O326" i="4" l="1"/>
  <c r="P326" i="4" s="1"/>
  <c r="Q104" i="13"/>
  <c r="R104" i="13" s="1"/>
  <c r="N51" i="13"/>
  <c r="Q51" i="13" s="1"/>
  <c r="R51" i="13" s="1"/>
  <c r="O135" i="4"/>
  <c r="P135" i="4" s="1"/>
  <c r="K243" i="4"/>
  <c r="L243" i="4" l="1"/>
  <c r="O243" i="4" s="1"/>
  <c r="P243" i="4" s="1"/>
  <c r="K97" i="16"/>
  <c r="K98" i="16" s="1"/>
  <c r="K87" i="16"/>
  <c r="K88" i="16" s="1"/>
  <c r="L114" i="16" l="1"/>
  <c r="K260" i="13"/>
  <c r="H124" i="16" l="1"/>
  <c r="I124" i="16"/>
  <c r="J124" i="16"/>
  <c r="G124" i="16"/>
  <c r="J59" i="16"/>
  <c r="H46" i="16"/>
  <c r="I46" i="16"/>
  <c r="J46" i="16"/>
  <c r="K37" i="16"/>
  <c r="L37" i="16" l="1"/>
  <c r="H269" i="13"/>
  <c r="K269" i="13"/>
  <c r="O269" i="13"/>
  <c r="P269" i="13"/>
  <c r="J151" i="13"/>
  <c r="J152" i="13" s="1"/>
  <c r="I151" i="13"/>
  <c r="J31" i="13"/>
  <c r="I31" i="13"/>
  <c r="L31" i="13" l="1"/>
  <c r="M31" i="13" s="1"/>
  <c r="N31" i="13" s="1"/>
  <c r="L151" i="13"/>
  <c r="M151" i="13" s="1"/>
  <c r="N151" i="13" s="1"/>
  <c r="H214" i="13"/>
  <c r="Q151" i="13" l="1"/>
  <c r="R151" i="13" s="1"/>
  <c r="Q31" i="13"/>
  <c r="R31" i="13" s="1"/>
  <c r="K45" i="16"/>
  <c r="K46" i="16" s="1"/>
  <c r="F220" i="4" l="1"/>
  <c r="I220" i="4"/>
  <c r="N220" i="4"/>
  <c r="H219" i="4"/>
  <c r="G219" i="4"/>
  <c r="J219" i="4" l="1"/>
  <c r="K219" i="4" l="1"/>
  <c r="K124" i="16"/>
  <c r="G116" i="16"/>
  <c r="L219" i="4" l="1"/>
  <c r="O219" i="4" s="1"/>
  <c r="P219" i="4" s="1"/>
  <c r="L123" i="16"/>
  <c r="L124" i="16" s="1"/>
  <c r="I224" i="13"/>
  <c r="J224" i="13"/>
  <c r="J213" i="13"/>
  <c r="I213" i="13"/>
  <c r="L224" i="13" l="1"/>
  <c r="L213" i="13"/>
  <c r="M224" i="13" l="1"/>
  <c r="M213" i="13"/>
  <c r="I239" i="4"/>
  <c r="N239" i="4"/>
  <c r="F239" i="4"/>
  <c r="I234" i="4"/>
  <c r="N234" i="4"/>
  <c r="F234" i="4"/>
  <c r="I229" i="4"/>
  <c r="N229" i="4"/>
  <c r="F229" i="4"/>
  <c r="I225" i="4"/>
  <c r="F225" i="4"/>
  <c r="I210" i="4"/>
  <c r="N210" i="4"/>
  <c r="F210" i="4"/>
  <c r="I199" i="4"/>
  <c r="N199" i="4"/>
  <c r="F199" i="4"/>
  <c r="I186" i="4"/>
  <c r="N186" i="4"/>
  <c r="F186" i="4"/>
  <c r="I181" i="4"/>
  <c r="N181" i="4"/>
  <c r="F181" i="4"/>
  <c r="I162" i="4"/>
  <c r="N162" i="4"/>
  <c r="F162" i="4"/>
  <c r="I150" i="4"/>
  <c r="N150" i="4"/>
  <c r="F142" i="4"/>
  <c r="I142" i="4"/>
  <c r="N142" i="4"/>
  <c r="I105" i="4"/>
  <c r="N105" i="4"/>
  <c r="F105" i="4"/>
  <c r="I93" i="4"/>
  <c r="N93" i="4"/>
  <c r="F93" i="4"/>
  <c r="I77" i="4"/>
  <c r="N77" i="4"/>
  <c r="F77" i="4"/>
  <c r="I71" i="4"/>
  <c r="N71" i="4"/>
  <c r="F71" i="4"/>
  <c r="I55" i="4"/>
  <c r="N55" i="4"/>
  <c r="F55" i="4"/>
  <c r="G51" i="4"/>
  <c r="H51" i="4"/>
  <c r="I51" i="4"/>
  <c r="N51" i="4"/>
  <c r="F51" i="4"/>
  <c r="I40" i="4"/>
  <c r="N40" i="4"/>
  <c r="F40" i="4"/>
  <c r="I30" i="4"/>
  <c r="N30" i="4"/>
  <c r="F30" i="4"/>
  <c r="N26" i="4"/>
  <c r="K214" i="13"/>
  <c r="O214" i="13"/>
  <c r="P214" i="13"/>
  <c r="K179" i="13"/>
  <c r="O179" i="13"/>
  <c r="P179" i="13"/>
  <c r="I214" i="4"/>
  <c r="N214" i="4"/>
  <c r="F214" i="4"/>
  <c r="H149" i="4"/>
  <c r="I118" i="4"/>
  <c r="N118" i="4"/>
  <c r="N213" i="13" l="1"/>
  <c r="Q213" i="13" s="1"/>
  <c r="R213" i="13" s="1"/>
  <c r="N224" i="13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I64" i="13"/>
  <c r="J64" i="13"/>
  <c r="I14" i="13"/>
  <c r="I15" i="13"/>
  <c r="Q224" i="13" l="1"/>
  <c r="K105" i="16"/>
  <c r="K106" i="16" s="1"/>
  <c r="K12" i="16"/>
  <c r="K13" i="16" s="1"/>
  <c r="L64" i="13"/>
  <c r="M64" i="13" s="1"/>
  <c r="N64" i="13" s="1"/>
  <c r="Q64" i="13" s="1"/>
  <c r="R224" i="13" l="1"/>
  <c r="R64" i="13"/>
  <c r="I321" i="4" l="1"/>
  <c r="N321" i="4"/>
  <c r="F321" i="4"/>
  <c r="I312" i="4"/>
  <c r="I349" i="4" s="1"/>
  <c r="N312" i="4"/>
  <c r="F312" i="4"/>
  <c r="F349" i="4" s="1"/>
  <c r="G300" i="4"/>
  <c r="H300" i="4"/>
  <c r="H265" i="13"/>
  <c r="K126" i="13"/>
  <c r="O126" i="13"/>
  <c r="K265" i="13"/>
  <c r="J264" i="13"/>
  <c r="I264" i="13"/>
  <c r="I125" i="13"/>
  <c r="J125" i="13"/>
  <c r="L125" i="13" l="1"/>
  <c r="J300" i="4"/>
  <c r="K300" i="4" s="1"/>
  <c r="L300" i="4" s="1"/>
  <c r="L264" i="13"/>
  <c r="J93" i="13"/>
  <c r="J95" i="13" s="1"/>
  <c r="I93" i="13"/>
  <c r="I95" i="13" s="1"/>
  <c r="H106" i="16"/>
  <c r="I106" i="16"/>
  <c r="J106" i="16"/>
  <c r="G106" i="16"/>
  <c r="M264" i="13" l="1"/>
  <c r="Q264" i="13" s="1"/>
  <c r="R264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8" i="16" l="1"/>
  <c r="I98" i="16"/>
  <c r="J98" i="16"/>
  <c r="G98" i="16"/>
  <c r="L97" i="16"/>
  <c r="L98" i="16" s="1"/>
  <c r="O260" i="13"/>
  <c r="P260" i="13"/>
  <c r="H260" i="13"/>
  <c r="K234" i="13"/>
  <c r="O234" i="13"/>
  <c r="P234" i="13"/>
  <c r="H234" i="13"/>
  <c r="K230" i="13"/>
  <c r="O230" i="13"/>
  <c r="P230" i="13"/>
  <c r="H230" i="13"/>
  <c r="K194" i="13"/>
  <c r="O194" i="13"/>
  <c r="P194" i="13"/>
  <c r="H194" i="13"/>
  <c r="K189" i="13"/>
  <c r="O189" i="13"/>
  <c r="P189" i="13"/>
  <c r="H189" i="13"/>
  <c r="K183" i="13"/>
  <c r="O183" i="13"/>
  <c r="P183" i="13"/>
  <c r="H183" i="13"/>
  <c r="K116" i="13"/>
  <c r="O116" i="13"/>
  <c r="P116" i="13"/>
  <c r="H116" i="13"/>
  <c r="K99" i="13"/>
  <c r="O99" i="13"/>
  <c r="H99" i="13"/>
  <c r="J165" i="13"/>
  <c r="J167" i="13" s="1"/>
  <c r="I165" i="13"/>
  <c r="I167" i="13" s="1"/>
  <c r="P25" i="13"/>
  <c r="H205" i="4"/>
  <c r="G205" i="4"/>
  <c r="H115" i="4"/>
  <c r="G115" i="4"/>
  <c r="J40" i="13"/>
  <c r="I40" i="13"/>
  <c r="P26" i="13" l="1"/>
  <c r="J115" i="4"/>
  <c r="K115" i="4" s="1"/>
  <c r="L115" i="4" s="1"/>
  <c r="L165" i="13"/>
  <c r="L167" i="13" s="1"/>
  <c r="L40" i="13"/>
  <c r="M40" i="13" s="1"/>
  <c r="N40" i="13" s="1"/>
  <c r="J205" i="4"/>
  <c r="K205" i="4" s="1"/>
  <c r="L205" i="4" s="1"/>
  <c r="O205" i="4" l="1"/>
  <c r="P205" i="4" s="1"/>
  <c r="O115" i="4"/>
  <c r="P115" i="4" s="1"/>
  <c r="Q40" i="13"/>
  <c r="M165" i="13"/>
  <c r="M167" i="13" l="1"/>
  <c r="N165" i="13"/>
  <c r="N167" i="13" s="1"/>
  <c r="R40" i="13"/>
  <c r="I204" i="13"/>
  <c r="J204" i="13"/>
  <c r="I202" i="13"/>
  <c r="J202" i="13"/>
  <c r="I141" i="13"/>
  <c r="J141" i="13"/>
  <c r="I136" i="13"/>
  <c r="J136" i="13"/>
  <c r="I39" i="13"/>
  <c r="J39" i="13"/>
  <c r="G286" i="4"/>
  <c r="H286" i="4"/>
  <c r="I20" i="16"/>
  <c r="I21" i="16" s="1"/>
  <c r="H20" i="16"/>
  <c r="J21" i="16"/>
  <c r="G21" i="16"/>
  <c r="L20" i="16" l="1"/>
  <c r="H21" i="16"/>
  <c r="Q165" i="13"/>
  <c r="Q167" i="13" s="1"/>
  <c r="L141" i="13"/>
  <c r="L204" i="13"/>
  <c r="M204" i="13" s="1"/>
  <c r="N204" i="13" s="1"/>
  <c r="L202" i="13"/>
  <c r="L136" i="13"/>
  <c r="M136" i="13" s="1"/>
  <c r="L39" i="13"/>
  <c r="M39" i="13" s="1"/>
  <c r="N39" i="13" s="1"/>
  <c r="J286" i="4"/>
  <c r="K21" i="16" l="1"/>
  <c r="N136" i="13"/>
  <c r="Q136" i="13" s="1"/>
  <c r="K286" i="4"/>
  <c r="O286" i="4" s="1"/>
  <c r="P286" i="4" s="1"/>
  <c r="R165" i="13"/>
  <c r="R167" i="13" s="1"/>
  <c r="Q39" i="13"/>
  <c r="R39" i="13" s="1"/>
  <c r="Q204" i="13"/>
  <c r="R204" i="13" s="1"/>
  <c r="M141" i="13"/>
  <c r="N141" i="13" s="1"/>
  <c r="M202" i="13"/>
  <c r="L21" i="16"/>
  <c r="N202" i="13" l="1"/>
  <c r="R136" i="13"/>
  <c r="J60" i="13"/>
  <c r="J61" i="13" s="1"/>
  <c r="I60" i="13"/>
  <c r="I61" i="13" s="1"/>
  <c r="Q141" i="13" l="1"/>
  <c r="Q202" i="13"/>
  <c r="L60" i="13"/>
  <c r="L61" i="13" s="1"/>
  <c r="R141" i="13" l="1"/>
  <c r="R202" i="13"/>
  <c r="M60" i="13"/>
  <c r="M61" i="13" s="1"/>
  <c r="N60" i="13" l="1"/>
  <c r="N61" i="13" s="1"/>
  <c r="Q60" i="13" l="1"/>
  <c r="Q61" i="13" s="1"/>
  <c r="R60" i="13" l="1"/>
  <c r="R61" i="13" s="1"/>
  <c r="G103" i="4"/>
  <c r="J103" i="4" l="1"/>
  <c r="K103" i="4" l="1"/>
  <c r="L103" i="4" l="1"/>
  <c r="O103" i="4" l="1"/>
  <c r="P103" i="4" l="1"/>
  <c r="J50" i="16"/>
  <c r="I50" i="16"/>
  <c r="H50" i="16"/>
  <c r="G50" i="16"/>
  <c r="J263" i="13"/>
  <c r="J265" i="13" s="1"/>
  <c r="I263" i="13"/>
  <c r="I265" i="13" s="1"/>
  <c r="J240" i="13"/>
  <c r="I240" i="13"/>
  <c r="I178" i="13"/>
  <c r="J178" i="13"/>
  <c r="J160" i="13"/>
  <c r="I160" i="13"/>
  <c r="J25" i="13"/>
  <c r="I25" i="13"/>
  <c r="L49" i="16" l="1"/>
  <c r="L50" i="16" s="1"/>
  <c r="L263" i="13"/>
  <c r="L265" i="13" s="1"/>
  <c r="L240" i="13"/>
  <c r="L178" i="13"/>
  <c r="M178" i="13" s="1"/>
  <c r="N178" i="13" s="1"/>
  <c r="L160" i="13"/>
  <c r="L25" i="13"/>
  <c r="H25" i="4"/>
  <c r="G25" i="4"/>
  <c r="G11" i="4"/>
  <c r="H11" i="4"/>
  <c r="M160" i="13" l="1"/>
  <c r="N160" i="13" s="1"/>
  <c r="M263" i="13"/>
  <c r="M240" i="13"/>
  <c r="Q178" i="13"/>
  <c r="R178" i="13" s="1"/>
  <c r="M25" i="13"/>
  <c r="N25" i="13" s="1"/>
  <c r="J25" i="4"/>
  <c r="K25" i="4" s="1"/>
  <c r="L25" i="4" s="1"/>
  <c r="J11" i="4"/>
  <c r="N240" i="13" l="1"/>
  <c r="K11" i="4"/>
  <c r="L11" i="4" s="1"/>
  <c r="O11" i="4" s="1"/>
  <c r="M265" i="13"/>
  <c r="N263" i="13"/>
  <c r="N265" i="13" s="1"/>
  <c r="Q240" i="13" l="1"/>
  <c r="P11" i="4"/>
  <c r="Q160" i="13"/>
  <c r="Q263" i="13"/>
  <c r="Q265" i="13" s="1"/>
  <c r="Q25" i="13"/>
  <c r="R25" i="13" l="1"/>
  <c r="R160" i="13"/>
  <c r="O25" i="4"/>
  <c r="R263" i="13"/>
  <c r="R265" i="13" s="1"/>
  <c r="R240" i="13"/>
  <c r="P25" i="4" l="1"/>
  <c r="K61" i="16" l="1"/>
  <c r="K62" i="16" s="1"/>
  <c r="K8" i="16"/>
  <c r="K9" i="16" s="1"/>
  <c r="J229" i="13"/>
  <c r="J230" i="13" s="1"/>
  <c r="J182" i="13"/>
  <c r="J183" i="13" s="1"/>
  <c r="J219" i="13"/>
  <c r="I219" i="13"/>
  <c r="J161" i="13"/>
  <c r="J162" i="13" s="1"/>
  <c r="I161" i="13"/>
  <c r="I162" i="13" s="1"/>
  <c r="J118" i="13"/>
  <c r="J119" i="13" s="1"/>
  <c r="I118" i="13"/>
  <c r="I119" i="13" s="1"/>
  <c r="J23" i="13"/>
  <c r="J14" i="13"/>
  <c r="H29" i="4"/>
  <c r="H30" i="4" s="1"/>
  <c r="G346" i="4"/>
  <c r="H346" i="4"/>
  <c r="G260" i="4"/>
  <c r="H260" i="4"/>
  <c r="G261" i="4"/>
  <c r="H261" i="4"/>
  <c r="G262" i="4"/>
  <c r="H262" i="4"/>
  <c r="G259" i="4"/>
  <c r="H259" i="4"/>
  <c r="J261" i="4" l="1"/>
  <c r="J346" i="4"/>
  <c r="L219" i="13"/>
  <c r="L161" i="13"/>
  <c r="L162" i="13" s="1"/>
  <c r="L118" i="13"/>
  <c r="L119" i="13" s="1"/>
  <c r="J260" i="4"/>
  <c r="J262" i="4"/>
  <c r="J259" i="4"/>
  <c r="K259" i="4" s="1"/>
  <c r="L259" i="4" s="1"/>
  <c r="O259" i="4" s="1"/>
  <c r="H92" i="4"/>
  <c r="G14" i="4"/>
  <c r="H14" i="4"/>
  <c r="K262" i="4" l="1"/>
  <c r="K260" i="4"/>
  <c r="K346" i="4"/>
  <c r="L346" i="4" s="1"/>
  <c r="K261" i="4"/>
  <c r="M118" i="13"/>
  <c r="M219" i="13"/>
  <c r="N219" i="13" s="1"/>
  <c r="M161" i="13"/>
  <c r="J14" i="4"/>
  <c r="K14" i="4" s="1"/>
  <c r="L14" i="4" s="1"/>
  <c r="O14" i="4" s="1"/>
  <c r="L261" i="4" l="1"/>
  <c r="O261" i="4" s="1"/>
  <c r="P261" i="4" s="1"/>
  <c r="L260" i="4"/>
  <c r="O260" i="4" s="1"/>
  <c r="P260" i="4" s="1"/>
  <c r="L262" i="4"/>
  <c r="O262" i="4" s="1"/>
  <c r="P262" i="4" s="1"/>
  <c r="M162" i="13"/>
  <c r="N161" i="13"/>
  <c r="N162" i="13" s="1"/>
  <c r="M119" i="13"/>
  <c r="N118" i="13"/>
  <c r="N119" i="13" s="1"/>
  <c r="O346" i="4"/>
  <c r="P346" i="4" s="1"/>
  <c r="P14" i="4"/>
  <c r="Q250" i="13"/>
  <c r="P259" i="4"/>
  <c r="R250" i="13" l="1"/>
  <c r="Q118" i="13"/>
  <c r="Q119" i="13" s="1"/>
  <c r="Q219" i="13"/>
  <c r="Q161" i="13"/>
  <c r="Q162" i="13" s="1"/>
  <c r="R118" i="13" l="1"/>
  <c r="R119" i="13" s="1"/>
  <c r="R219" i="13"/>
  <c r="R161" i="13"/>
  <c r="R162" i="13" s="1"/>
  <c r="K101" i="16" l="1"/>
  <c r="K102" i="16" s="1"/>
  <c r="K17" i="16"/>
  <c r="P146" i="13"/>
  <c r="L14" i="13"/>
  <c r="G343" i="4"/>
  <c r="H343" i="4"/>
  <c r="J50" i="4"/>
  <c r="J88" i="4"/>
  <c r="K88" i="4" s="1"/>
  <c r="L88" i="4" s="1"/>
  <c r="J92" i="4"/>
  <c r="J117" i="4"/>
  <c r="K117" i="4" s="1"/>
  <c r="L117" i="4" s="1"/>
  <c r="J133" i="4"/>
  <c r="J140" i="4"/>
  <c r="O1000189" i="4"/>
  <c r="J51" i="4" l="1"/>
  <c r="K50" i="4"/>
  <c r="K51" i="4" s="1"/>
  <c r="O117" i="4"/>
  <c r="P117" i="4" s="1"/>
  <c r="M14" i="13"/>
  <c r="N14" i="13" s="1"/>
  <c r="K140" i="4"/>
  <c r="L140" i="4" s="1"/>
  <c r="K133" i="4"/>
  <c r="K92" i="4"/>
  <c r="L92" i="4" s="1"/>
  <c r="O88" i="4"/>
  <c r="J343" i="4"/>
  <c r="K343" i="4" s="1"/>
  <c r="L133" i="4" l="1"/>
  <c r="O133" i="4" s="1"/>
  <c r="O343" i="4"/>
  <c r="P343" i="4" s="1"/>
  <c r="L50" i="4"/>
  <c r="L51" i="4" s="1"/>
  <c r="O140" i="4" l="1"/>
  <c r="P140" i="4" s="1"/>
  <c r="Q14" i="13"/>
  <c r="O92" i="4"/>
  <c r="O93" i="4" s="1"/>
  <c r="O50" i="4"/>
  <c r="O51" i="4" s="1"/>
  <c r="I229" i="13" l="1"/>
  <c r="I230" i="13" s="1"/>
  <c r="L229" i="13" l="1"/>
  <c r="L230" i="13" s="1"/>
  <c r="H238" i="4"/>
  <c r="M229" i="13" l="1"/>
  <c r="M230" i="13" l="1"/>
  <c r="N229" i="13"/>
  <c r="N230" i="13" s="1"/>
  <c r="R14" i="13"/>
  <c r="Q229" i="13" l="1"/>
  <c r="Q230" i="13" s="1"/>
  <c r="H74" i="4"/>
  <c r="G74" i="4"/>
  <c r="R229" i="13" l="1"/>
  <c r="R230" i="13" s="1"/>
  <c r="J74" i="4"/>
  <c r="K74" i="4" s="1"/>
  <c r="L74" i="4" s="1"/>
  <c r="P99" i="13" l="1"/>
  <c r="H104" i="4"/>
  <c r="G104" i="4"/>
  <c r="H141" i="4"/>
  <c r="H142" i="4" s="1"/>
  <c r="G141" i="4"/>
  <c r="G142" i="4" s="1"/>
  <c r="G242" i="4"/>
  <c r="H242" i="4"/>
  <c r="G10" i="4"/>
  <c r="H10" i="4"/>
  <c r="J104" i="4" l="1"/>
  <c r="J141" i="4"/>
  <c r="J142" i="4" s="1"/>
  <c r="J242" i="4"/>
  <c r="K242" i="4" s="1"/>
  <c r="L242" i="4" s="1"/>
  <c r="O242" i="4" s="1"/>
  <c r="J10" i="4"/>
  <c r="K10" i="4" s="1"/>
  <c r="L10" i="4" s="1"/>
  <c r="O74" i="4" l="1"/>
  <c r="K104" i="4"/>
  <c r="L104" i="4" s="1"/>
  <c r="O10" i="4"/>
  <c r="K141" i="4"/>
  <c r="L141" i="4" s="1"/>
  <c r="K142" i="4" l="1"/>
  <c r="L142" i="4"/>
  <c r="P74" i="4"/>
  <c r="P10" i="4"/>
  <c r="G79" i="16"/>
  <c r="G74" i="16"/>
  <c r="B8" i="16"/>
  <c r="H84" i="16"/>
  <c r="I84" i="16"/>
  <c r="H79" i="16"/>
  <c r="I79" i="16"/>
  <c r="I120" i="16"/>
  <c r="H120" i="16"/>
  <c r="G120" i="16"/>
  <c r="P242" i="4" l="1"/>
  <c r="O104" i="4"/>
  <c r="L58" i="16"/>
  <c r="O141" i="4"/>
  <c r="O142" i="4" s="1"/>
  <c r="P104" i="4" l="1"/>
  <c r="I23" i="13"/>
  <c r="J15" i="13"/>
  <c r="N225" i="4" l="1"/>
  <c r="N349" i="4" s="1"/>
  <c r="L23" i="13"/>
  <c r="L15" i="13"/>
  <c r="M15" i="13" l="1"/>
  <c r="N15" i="13" s="1"/>
  <c r="M23" i="13"/>
  <c r="G176" i="4"/>
  <c r="H176" i="4"/>
  <c r="N23" i="13" l="1"/>
  <c r="J176" i="4"/>
  <c r="K176" i="4" s="1"/>
  <c r="L176" i="4" s="1"/>
  <c r="Q15" i="13" l="1"/>
  <c r="Q23" i="13"/>
  <c r="O176" i="4"/>
  <c r="P176" i="4" s="1"/>
  <c r="J108" i="13"/>
  <c r="J109" i="13" s="1"/>
  <c r="I108" i="13"/>
  <c r="I109" i="13" s="1"/>
  <c r="I205" i="13"/>
  <c r="J205" i="13"/>
  <c r="I188" i="13"/>
  <c r="J188" i="13"/>
  <c r="I124" i="13"/>
  <c r="J124" i="13"/>
  <c r="L124" i="13" l="1"/>
  <c r="R15" i="13"/>
  <c r="L205" i="13"/>
  <c r="M205" i="13" s="1"/>
  <c r="N205" i="13" s="1"/>
  <c r="L188" i="13"/>
  <c r="M188" i="13" s="1"/>
  <c r="N188" i="13" s="1"/>
  <c r="L108" i="13"/>
  <c r="L109" i="13" s="1"/>
  <c r="M124" i="13" l="1"/>
  <c r="Q205" i="13"/>
  <c r="R205" i="13" s="1"/>
  <c r="Q188" i="13"/>
  <c r="M108" i="13"/>
  <c r="M109" i="13" l="1"/>
  <c r="N108" i="13"/>
  <c r="N109" i="13" s="1"/>
  <c r="N124" i="13"/>
  <c r="Q124" i="13" s="1"/>
  <c r="R124" i="13" s="1"/>
  <c r="R188" i="13"/>
  <c r="L105" i="16"/>
  <c r="L106" i="16" s="1"/>
  <c r="Q108" i="13" l="1"/>
  <c r="Q109" i="13" s="1"/>
  <c r="J16" i="13"/>
  <c r="J20" i="13" s="1"/>
  <c r="I16" i="13"/>
  <c r="I20" i="13" s="1"/>
  <c r="R108" i="13" l="1"/>
  <c r="R109" i="13" s="1"/>
  <c r="L16" i="13"/>
  <c r="L20" i="13" s="1"/>
  <c r="M16" i="13" l="1"/>
  <c r="N16" i="13" s="1"/>
  <c r="G296" i="4"/>
  <c r="H296" i="4"/>
  <c r="M20" i="13" l="1"/>
  <c r="N20" i="13"/>
  <c r="J296" i="4"/>
  <c r="K296" i="4" s="1"/>
  <c r="L296" i="4" s="1"/>
  <c r="H96" i="4"/>
  <c r="G96" i="4"/>
  <c r="H76" i="4"/>
  <c r="G76" i="4"/>
  <c r="G59" i="4"/>
  <c r="H59" i="4"/>
  <c r="P88" i="4"/>
  <c r="Q16" i="13" l="1"/>
  <c r="Q20" i="13" s="1"/>
  <c r="O296" i="4"/>
  <c r="P296" i="4" s="1"/>
  <c r="J76" i="4"/>
  <c r="J59" i="4"/>
  <c r="J96" i="4"/>
  <c r="K96" i="4" l="1"/>
  <c r="K76" i="4"/>
  <c r="K59" i="4"/>
  <c r="L59" i="4" s="1"/>
  <c r="R16" i="13"/>
  <c r="R20" i="13" s="1"/>
  <c r="J83" i="13"/>
  <c r="J86" i="13" s="1"/>
  <c r="I83" i="13"/>
  <c r="I86" i="13" s="1"/>
  <c r="J29" i="13"/>
  <c r="I29" i="13"/>
  <c r="L76" i="4" l="1"/>
  <c r="O76" i="4" s="1"/>
  <c r="P76" i="4" s="1"/>
  <c r="L96" i="4"/>
  <c r="O96" i="4" s="1"/>
  <c r="P96" i="4" s="1"/>
  <c r="L29" i="13"/>
  <c r="L83" i="13"/>
  <c r="L86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68" i="4"/>
  <c r="G168" i="4"/>
  <c r="H165" i="4"/>
  <c r="G165" i="4"/>
  <c r="H123" i="4"/>
  <c r="G123" i="4"/>
  <c r="H24" i="4"/>
  <c r="G24" i="4"/>
  <c r="H39" i="4"/>
  <c r="G39" i="4"/>
  <c r="O59" i="4" l="1"/>
  <c r="L65" i="16"/>
  <c r="L66" i="16" s="1"/>
  <c r="M83" i="13"/>
  <c r="M86" i="13" s="1"/>
  <c r="J39" i="4"/>
  <c r="J168" i="4"/>
  <c r="K168" i="4" s="1"/>
  <c r="L168" i="4" s="1"/>
  <c r="M29" i="13"/>
  <c r="N29" i="13" s="1"/>
  <c r="J123" i="4"/>
  <c r="J24" i="4"/>
  <c r="J165" i="4"/>
  <c r="L69" i="16"/>
  <c r="L70" i="16" s="1"/>
  <c r="L77" i="16"/>
  <c r="L61" i="16"/>
  <c r="L62" i="16" s="1"/>
  <c r="N83" i="13" l="1"/>
  <c r="N86" i="13" s="1"/>
  <c r="K24" i="4"/>
  <c r="L24" i="4" s="1"/>
  <c r="P59" i="4"/>
  <c r="K39" i="4"/>
  <c r="L39" i="4" s="1"/>
  <c r="K165" i="4"/>
  <c r="L165" i="4" s="1"/>
  <c r="K123" i="4"/>
  <c r="L123" i="4" s="1"/>
  <c r="O168" i="4"/>
  <c r="P168" i="4" s="1"/>
  <c r="O39" i="4" l="1"/>
  <c r="P39" i="4" s="1"/>
  <c r="O123" i="4"/>
  <c r="Q83" i="13"/>
  <c r="Q86" i="13" s="1"/>
  <c r="Q29" i="13"/>
  <c r="I155" i="13"/>
  <c r="I157" i="13" s="1"/>
  <c r="O24" i="4" l="1"/>
  <c r="R29" i="13"/>
  <c r="L155" i="13"/>
  <c r="L157" i="13" s="1"/>
  <c r="R83" i="13"/>
  <c r="R86" i="13" s="1"/>
  <c r="O165" i="4"/>
  <c r="P123" i="4"/>
  <c r="P24" i="4" l="1"/>
  <c r="M155" i="13"/>
  <c r="P165" i="4"/>
  <c r="M157" i="13" l="1"/>
  <c r="N155" i="13"/>
  <c r="N157" i="13" s="1"/>
  <c r="K74" i="16"/>
  <c r="Q155" i="13" l="1"/>
  <c r="Q157" i="13" s="1"/>
  <c r="J144" i="13" l="1"/>
  <c r="J146" i="13" s="1"/>
  <c r="I144" i="13"/>
  <c r="I146" i="13" s="1"/>
  <c r="J225" i="13"/>
  <c r="J226" i="13" s="1"/>
  <c r="I225" i="13"/>
  <c r="I226" i="13" s="1"/>
  <c r="L144" i="13" l="1"/>
  <c r="L146" i="13" s="1"/>
  <c r="L225" i="13"/>
  <c r="L226" i="13" s="1"/>
  <c r="K53" i="16"/>
  <c r="K54" i="16" s="1"/>
  <c r="H74" i="16"/>
  <c r="I74" i="16"/>
  <c r="J74" i="16"/>
  <c r="K59" i="16"/>
  <c r="L57" i="16" l="1"/>
  <c r="L59" i="16" s="1"/>
  <c r="M144" i="13"/>
  <c r="M225" i="13"/>
  <c r="J135" i="13"/>
  <c r="J137" i="13" s="1"/>
  <c r="I135" i="13"/>
  <c r="I137" i="13" s="1"/>
  <c r="I140" i="13"/>
  <c r="I142" i="13" s="1"/>
  <c r="J140" i="13"/>
  <c r="I212" i="13"/>
  <c r="J212" i="13"/>
  <c r="G213" i="4"/>
  <c r="H213" i="4"/>
  <c r="M146" i="13" l="1"/>
  <c r="N225" i="13"/>
  <c r="N226" i="13" s="1"/>
  <c r="M226" i="13"/>
  <c r="J142" i="13"/>
  <c r="L140" i="13"/>
  <c r="L142" i="13" s="1"/>
  <c r="L212" i="13"/>
  <c r="M212" i="13" s="1"/>
  <c r="N212" i="13" s="1"/>
  <c r="L135" i="13"/>
  <c r="L137" i="13" s="1"/>
  <c r="J213" i="4"/>
  <c r="K213" i="4" l="1"/>
  <c r="L213" i="4" s="1"/>
  <c r="Q225" i="13"/>
  <c r="Q226" i="13" s="1"/>
  <c r="Q212" i="13"/>
  <c r="M140" i="13"/>
  <c r="M135" i="13"/>
  <c r="J57" i="13"/>
  <c r="I57" i="13"/>
  <c r="J89" i="13"/>
  <c r="J91" i="13" s="1"/>
  <c r="I89" i="13"/>
  <c r="I91" i="13" s="1"/>
  <c r="J78" i="13"/>
  <c r="I78" i="13"/>
  <c r="J251" i="13"/>
  <c r="J252" i="13" s="1"/>
  <c r="H331" i="4"/>
  <c r="H334" i="4"/>
  <c r="H335" i="4"/>
  <c r="H336" i="4"/>
  <c r="H337" i="4"/>
  <c r="H333" i="4"/>
  <c r="H338" i="4"/>
  <c r="H339" i="4"/>
  <c r="H340" i="4"/>
  <c r="H344" i="4"/>
  <c r="H341" i="4"/>
  <c r="H345" i="4"/>
  <c r="H342" i="4"/>
  <c r="H332" i="4"/>
  <c r="G324" i="4"/>
  <c r="H324" i="4"/>
  <c r="J38" i="13"/>
  <c r="I38" i="13"/>
  <c r="J72" i="13"/>
  <c r="I72" i="13"/>
  <c r="I73" i="13" s="1"/>
  <c r="J11" i="13"/>
  <c r="G9" i="16"/>
  <c r="J9" i="16"/>
  <c r="I9" i="16"/>
  <c r="G247" i="4"/>
  <c r="H247" i="4"/>
  <c r="G248" i="4"/>
  <c r="H248" i="4"/>
  <c r="G249" i="4"/>
  <c r="H249" i="4"/>
  <c r="G250" i="4"/>
  <c r="H250" i="4"/>
  <c r="G251" i="4"/>
  <c r="H251" i="4"/>
  <c r="G254" i="4"/>
  <c r="H254" i="4"/>
  <c r="G255" i="4"/>
  <c r="H255" i="4"/>
  <c r="G256" i="4"/>
  <c r="H256" i="4"/>
  <c r="G253" i="4"/>
  <c r="H253" i="4"/>
  <c r="G252" i="4"/>
  <c r="H252" i="4"/>
  <c r="H266" i="4"/>
  <c r="G257" i="4"/>
  <c r="H257" i="4"/>
  <c r="G258" i="4"/>
  <c r="H258" i="4"/>
  <c r="G246" i="4"/>
  <c r="G241" i="4"/>
  <c r="H241" i="4"/>
  <c r="G244" i="4"/>
  <c r="H244" i="4"/>
  <c r="G245" i="4"/>
  <c r="H245" i="4"/>
  <c r="H246" i="4"/>
  <c r="H105" i="4"/>
  <c r="H98" i="4"/>
  <c r="G97" i="4"/>
  <c r="H274" i="4" l="1"/>
  <c r="G274" i="4"/>
  <c r="M137" i="13"/>
  <c r="N135" i="13"/>
  <c r="N137" i="13" s="1"/>
  <c r="J73" i="13"/>
  <c r="L72" i="13"/>
  <c r="M142" i="13"/>
  <c r="N140" i="13"/>
  <c r="N142" i="13" s="1"/>
  <c r="H347" i="4"/>
  <c r="O213" i="4"/>
  <c r="O214" i="4" s="1"/>
  <c r="R212" i="13"/>
  <c r="J244" i="4"/>
  <c r="K244" i="4" s="1"/>
  <c r="L244" i="4" s="1"/>
  <c r="O244" i="4" s="1"/>
  <c r="L78" i="13"/>
  <c r="R225" i="13"/>
  <c r="R226" i="13" s="1"/>
  <c r="L89" i="13"/>
  <c r="L91" i="13" s="1"/>
  <c r="L57" i="13"/>
  <c r="L38" i="13"/>
  <c r="L251" i="13"/>
  <c r="L252" i="13" s="1"/>
  <c r="L10" i="13"/>
  <c r="J248" i="4"/>
  <c r="K248" i="4" s="1"/>
  <c r="L248" i="4" s="1"/>
  <c r="O248" i="4" s="1"/>
  <c r="J257" i="4"/>
  <c r="K257" i="4" s="1"/>
  <c r="L257" i="4" s="1"/>
  <c r="O257" i="4" s="1"/>
  <c r="J256" i="4"/>
  <c r="K256" i="4" s="1"/>
  <c r="L256" i="4" s="1"/>
  <c r="O256" i="4" s="1"/>
  <c r="J241" i="4"/>
  <c r="J258" i="4"/>
  <c r="K258" i="4" s="1"/>
  <c r="L258" i="4" s="1"/>
  <c r="O258" i="4" s="1"/>
  <c r="J266" i="4"/>
  <c r="K266" i="4" s="1"/>
  <c r="L266" i="4" s="1"/>
  <c r="O266" i="4" s="1"/>
  <c r="J251" i="4"/>
  <c r="K251" i="4" s="1"/>
  <c r="L251" i="4" s="1"/>
  <c r="O251" i="4" s="1"/>
  <c r="J252" i="4"/>
  <c r="K252" i="4" s="1"/>
  <c r="L252" i="4" s="1"/>
  <c r="O252" i="4" s="1"/>
  <c r="J255" i="4"/>
  <c r="K255" i="4" s="1"/>
  <c r="L255" i="4" s="1"/>
  <c r="O255" i="4" s="1"/>
  <c r="J250" i="4"/>
  <c r="K250" i="4" s="1"/>
  <c r="L250" i="4" s="1"/>
  <c r="O250" i="4" s="1"/>
  <c r="J247" i="4"/>
  <c r="K247" i="4" s="1"/>
  <c r="L247" i="4" s="1"/>
  <c r="O247" i="4" s="1"/>
  <c r="J253" i="4"/>
  <c r="K253" i="4" s="1"/>
  <c r="L253" i="4" s="1"/>
  <c r="O253" i="4" s="1"/>
  <c r="J254" i="4"/>
  <c r="K254" i="4" s="1"/>
  <c r="L254" i="4" s="1"/>
  <c r="O254" i="4" s="1"/>
  <c r="J249" i="4"/>
  <c r="K249" i="4" s="1"/>
  <c r="L249" i="4" s="1"/>
  <c r="O249" i="4" s="1"/>
  <c r="J246" i="4"/>
  <c r="K246" i="4" s="1"/>
  <c r="L246" i="4" s="1"/>
  <c r="O246" i="4" s="1"/>
  <c r="J245" i="4"/>
  <c r="K245" i="4" s="1"/>
  <c r="L245" i="4" s="1"/>
  <c r="O245" i="4" s="1"/>
  <c r="J324" i="4"/>
  <c r="K324" i="4" s="1"/>
  <c r="L324" i="4" s="1"/>
  <c r="R155" i="13"/>
  <c r="R157" i="13" s="1"/>
  <c r="L87" i="16"/>
  <c r="L88" i="16" s="1"/>
  <c r="L12" i="16"/>
  <c r="L13" i="16" s="1"/>
  <c r="L8" i="16"/>
  <c r="L9" i="16" s="1"/>
  <c r="H9" i="16"/>
  <c r="G8" i="4"/>
  <c r="G9" i="4"/>
  <c r="H9" i="4"/>
  <c r="H12" i="4"/>
  <c r="G12" i="4"/>
  <c r="G13" i="4"/>
  <c r="H13" i="4"/>
  <c r="O13" i="4" l="1"/>
  <c r="O12" i="4"/>
  <c r="J274" i="4"/>
  <c r="G18" i="4"/>
  <c r="H18" i="4"/>
  <c r="L73" i="13"/>
  <c r="J8" i="4"/>
  <c r="K241" i="4"/>
  <c r="K274" i="4" s="1"/>
  <c r="O324" i="4"/>
  <c r="P213" i="4"/>
  <c r="P214" i="4" s="1"/>
  <c r="M78" i="13"/>
  <c r="M10" i="13"/>
  <c r="M89" i="13"/>
  <c r="M38" i="13"/>
  <c r="N38" i="13" s="1"/>
  <c r="Q135" i="13"/>
  <c r="Q137" i="13" s="1"/>
  <c r="M72" i="13"/>
  <c r="M57" i="13"/>
  <c r="Q140" i="13"/>
  <c r="Q142" i="13" s="1"/>
  <c r="M251" i="13"/>
  <c r="J12" i="4"/>
  <c r="J9" i="4"/>
  <c r="K9" i="4" s="1"/>
  <c r="L9" i="4" s="1"/>
  <c r="J13" i="4"/>
  <c r="N251" i="13" l="1"/>
  <c r="N252" i="13" s="1"/>
  <c r="M252" i="13"/>
  <c r="N77" i="13"/>
  <c r="Q77" i="13" s="1"/>
  <c r="R77" i="13" s="1"/>
  <c r="N78" i="13"/>
  <c r="J18" i="4"/>
  <c r="M73" i="13"/>
  <c r="N72" i="13"/>
  <c r="N89" i="13"/>
  <c r="M91" i="13"/>
  <c r="K8" i="4"/>
  <c r="K13" i="4"/>
  <c r="K12" i="4"/>
  <c r="P324" i="4"/>
  <c r="N10" i="13"/>
  <c r="L241" i="4"/>
  <c r="R140" i="13"/>
  <c r="R142" i="13" s="1"/>
  <c r="R135" i="13"/>
  <c r="R137" i="13" s="1"/>
  <c r="O9" i="4"/>
  <c r="J186" i="13"/>
  <c r="I186" i="13"/>
  <c r="I122" i="13"/>
  <c r="L122" i="13" s="1"/>
  <c r="M122" i="13" s="1"/>
  <c r="N122" i="13" s="1"/>
  <c r="L274" i="4" l="1"/>
  <c r="O241" i="4"/>
  <c r="O274" i="4" s="1"/>
  <c r="K18" i="4"/>
  <c r="N73" i="13"/>
  <c r="Q72" i="13"/>
  <c r="Q73" i="13" s="1"/>
  <c r="L8" i="4"/>
  <c r="L18" i="4" s="1"/>
  <c r="P9" i="4"/>
  <c r="P12" i="4"/>
  <c r="Q78" i="13"/>
  <c r="Q89" i="13"/>
  <c r="Q38" i="13"/>
  <c r="Q57" i="13"/>
  <c r="Q251" i="13"/>
  <c r="Q252" i="13" s="1"/>
  <c r="L186" i="13"/>
  <c r="Q10" i="13"/>
  <c r="H116" i="16"/>
  <c r="I116" i="16"/>
  <c r="P13" i="4" l="1"/>
  <c r="R57" i="13"/>
  <c r="R72" i="13"/>
  <c r="R73" i="13" s="1"/>
  <c r="R38" i="13"/>
  <c r="M186" i="13"/>
  <c r="N186" i="13" s="1"/>
  <c r="R10" i="13"/>
  <c r="O8" i="4"/>
  <c r="O18" i="4" s="1"/>
  <c r="J241" i="13"/>
  <c r="J243" i="13" s="1"/>
  <c r="J126" i="13"/>
  <c r="K82" i="16"/>
  <c r="J102" i="16"/>
  <c r="I102" i="16"/>
  <c r="H102" i="16"/>
  <c r="G102" i="16"/>
  <c r="J54" i="16"/>
  <c r="I54" i="16"/>
  <c r="H54" i="16"/>
  <c r="G54" i="16"/>
  <c r="P8" i="4" l="1"/>
  <c r="P18" i="4" s="1"/>
  <c r="L82" i="16"/>
  <c r="L73" i="16"/>
  <c r="L74" i="16" s="1"/>
  <c r="L101" i="16"/>
  <c r="L102" i="16" s="1"/>
  <c r="L53" i="16"/>
  <c r="L54" i="16" s="1"/>
  <c r="Q122" i="13" l="1"/>
  <c r="Q126" i="13" s="1"/>
  <c r="Q186" i="13"/>
  <c r="G295" i="4"/>
  <c r="H295" i="4"/>
  <c r="H311" i="4"/>
  <c r="H312" i="4" s="1"/>
  <c r="G311" i="4"/>
  <c r="G312" i="4" s="1"/>
  <c r="H175" i="4"/>
  <c r="G175" i="4"/>
  <c r="I182" i="13"/>
  <c r="I183" i="13" s="1"/>
  <c r="R122" i="13" l="1"/>
  <c r="R126" i="13" s="1"/>
  <c r="R186" i="13"/>
  <c r="L182" i="13"/>
  <c r="L183" i="13" s="1"/>
  <c r="J311" i="4"/>
  <c r="J295" i="4"/>
  <c r="K295" i="4" s="1"/>
  <c r="L295" i="4" s="1"/>
  <c r="J175" i="4"/>
  <c r="K175" i="4" s="1"/>
  <c r="L175" i="4" s="1"/>
  <c r="P258" i="4"/>
  <c r="J312" i="4" l="1"/>
  <c r="K311" i="4"/>
  <c r="L311" i="4" s="1"/>
  <c r="M182" i="13"/>
  <c r="M183" i="13" s="1"/>
  <c r="O295" i="4"/>
  <c r="P295" i="4" s="1"/>
  <c r="O175" i="4"/>
  <c r="P175" i="4" s="1"/>
  <c r="K312" i="4" l="1"/>
  <c r="L312" i="4"/>
  <c r="N182" i="13"/>
  <c r="N183" i="13" s="1"/>
  <c r="K38" i="16"/>
  <c r="G136" i="4"/>
  <c r="L36" i="16" l="1"/>
  <c r="L38" i="16" s="1"/>
  <c r="O311" i="4"/>
  <c r="O312" i="4" s="1"/>
  <c r="Q182" i="13"/>
  <c r="Q183" i="13" s="1"/>
  <c r="B12" i="16"/>
  <c r="B16" i="16" s="1"/>
  <c r="P141" i="4"/>
  <c r="P311" i="4" l="1"/>
  <c r="P312" i="4" s="1"/>
  <c r="R182" i="13"/>
  <c r="R183" i="13" s="1"/>
  <c r="B20" i="16" l="1"/>
  <c r="B23" i="16" s="1"/>
  <c r="B27" i="16" s="1"/>
  <c r="B31" i="16" s="1"/>
  <c r="B32" i="16" s="1"/>
  <c r="I211" i="13"/>
  <c r="J211" i="13"/>
  <c r="G65" i="4"/>
  <c r="H65" i="4"/>
  <c r="H20" i="14"/>
  <c r="G20" i="14"/>
  <c r="J98" i="13"/>
  <c r="J99" i="13" s="1"/>
  <c r="I98" i="13"/>
  <c r="I99" i="13" s="1"/>
  <c r="I103" i="13"/>
  <c r="J103" i="13"/>
  <c r="I102" i="13"/>
  <c r="G278" i="4"/>
  <c r="H278" i="4"/>
  <c r="I106" i="13" l="1"/>
  <c r="J20" i="14"/>
  <c r="L103" i="13"/>
  <c r="M103" i="13" s="1"/>
  <c r="N103" i="13" s="1"/>
  <c r="L211" i="13"/>
  <c r="L98" i="13"/>
  <c r="L99" i="13" s="1"/>
  <c r="J65" i="4"/>
  <c r="J278" i="4"/>
  <c r="K20" i="14" l="1"/>
  <c r="K278" i="4"/>
  <c r="K65" i="4"/>
  <c r="L65" i="4" s="1"/>
  <c r="Q103" i="13"/>
  <c r="R103" i="13" s="1"/>
  <c r="M211" i="13"/>
  <c r="N211" i="13" s="1"/>
  <c r="M98" i="13"/>
  <c r="M99" i="13" s="1"/>
  <c r="P241" i="4"/>
  <c r="L20" i="14" l="1"/>
  <c r="L278" i="4"/>
  <c r="O278" i="4" s="1"/>
  <c r="P278" i="4" s="1"/>
  <c r="O65" i="4"/>
  <c r="N98" i="13"/>
  <c r="N99" i="13" s="1"/>
  <c r="I206" i="13"/>
  <c r="I217" i="13"/>
  <c r="J217" i="13"/>
  <c r="J206" i="13"/>
  <c r="J203" i="13"/>
  <c r="I203" i="13"/>
  <c r="J192" i="13"/>
  <c r="I192" i="13"/>
  <c r="J37" i="13"/>
  <c r="J44" i="13" s="1"/>
  <c r="I37" i="13"/>
  <c r="I44" i="13" s="1"/>
  <c r="H285" i="4"/>
  <c r="H287" i="4"/>
  <c r="H288" i="4"/>
  <c r="H289" i="4"/>
  <c r="H293" i="4"/>
  <c r="H290" i="4"/>
  <c r="H292" i="4"/>
  <c r="H294" i="4"/>
  <c r="H291" i="4"/>
  <c r="H297" i="4"/>
  <c r="G285" i="4"/>
  <c r="G287" i="4"/>
  <c r="G288" i="4"/>
  <c r="G289" i="4"/>
  <c r="G293" i="4"/>
  <c r="G290" i="4"/>
  <c r="G292" i="4"/>
  <c r="G294" i="4"/>
  <c r="G291" i="4"/>
  <c r="G297" i="4"/>
  <c r="G284" i="4"/>
  <c r="H284" i="4"/>
  <c r="G69" i="4"/>
  <c r="H69" i="4"/>
  <c r="B36" i="16"/>
  <c r="B37" i="16" s="1"/>
  <c r="B41" i="16" s="1"/>
  <c r="B45" i="16" s="1"/>
  <c r="B49" i="16" s="1"/>
  <c r="K999975" i="16"/>
  <c r="C16650" i="16"/>
  <c r="C16652" i="16" s="1"/>
  <c r="K41" i="16"/>
  <c r="K42" i="16" s="1"/>
  <c r="J28" i="16"/>
  <c r="G28" i="16"/>
  <c r="K28" i="16"/>
  <c r="J17" i="16"/>
  <c r="G17" i="16"/>
  <c r="I17" i="16"/>
  <c r="H17" i="16"/>
  <c r="L16" i="16"/>
  <c r="G126" i="16" l="1"/>
  <c r="L17" i="16"/>
  <c r="J214" i="13"/>
  <c r="J221" i="13"/>
  <c r="I214" i="13"/>
  <c r="I221" i="13"/>
  <c r="I208" i="13"/>
  <c r="J208" i="13"/>
  <c r="N20" i="14"/>
  <c r="L45" i="16"/>
  <c r="L46" i="16" s="1"/>
  <c r="L27" i="16"/>
  <c r="L28" i="16" s="1"/>
  <c r="L41" i="16"/>
  <c r="L42" i="16" s="1"/>
  <c r="Q211" i="13"/>
  <c r="Q98" i="13"/>
  <c r="Q99" i="13" s="1"/>
  <c r="L37" i="13"/>
  <c r="L206" i="13"/>
  <c r="L203" i="13"/>
  <c r="L192" i="13"/>
  <c r="L217" i="13"/>
  <c r="J294" i="4"/>
  <c r="K294" i="4" s="1"/>
  <c r="L294" i="4" s="1"/>
  <c r="J290" i="4"/>
  <c r="K290" i="4" s="1"/>
  <c r="L290" i="4" s="1"/>
  <c r="J285" i="4"/>
  <c r="J288" i="4"/>
  <c r="K288" i="4" s="1"/>
  <c r="L288" i="4" s="1"/>
  <c r="J297" i="4"/>
  <c r="K297" i="4" s="1"/>
  <c r="L297" i="4" s="1"/>
  <c r="J69" i="4"/>
  <c r="K69" i="4" s="1"/>
  <c r="L69" i="4" s="1"/>
  <c r="J291" i="4"/>
  <c r="K291" i="4" s="1"/>
  <c r="L291" i="4" s="1"/>
  <c r="J289" i="4"/>
  <c r="K289" i="4" s="1"/>
  <c r="L289" i="4" s="1"/>
  <c r="J292" i="4"/>
  <c r="K292" i="4" s="1"/>
  <c r="L292" i="4" s="1"/>
  <c r="J287" i="4"/>
  <c r="K287" i="4" s="1"/>
  <c r="L287" i="4" s="1"/>
  <c r="J284" i="4"/>
  <c r="J293" i="4"/>
  <c r="K293" i="4" s="1"/>
  <c r="L293" i="4" s="1"/>
  <c r="I28" i="16"/>
  <c r="I126" i="16" s="1"/>
  <c r="L32" i="16"/>
  <c r="L33" i="16" s="1"/>
  <c r="H28" i="16"/>
  <c r="H126" i="16" s="1"/>
  <c r="L214" i="13" l="1"/>
  <c r="M217" i="13"/>
  <c r="L221" i="13"/>
  <c r="M37" i="13"/>
  <c r="L44" i="13"/>
  <c r="L208" i="13"/>
  <c r="O20" i="14"/>
  <c r="K284" i="4"/>
  <c r="K285" i="4"/>
  <c r="L285" i="4" s="1"/>
  <c r="R211" i="13"/>
  <c r="R98" i="13"/>
  <c r="R99" i="13" s="1"/>
  <c r="M192" i="13"/>
  <c r="N192" i="13" s="1"/>
  <c r="M203" i="13"/>
  <c r="O292" i="4"/>
  <c r="P292" i="4" s="1"/>
  <c r="O297" i="4"/>
  <c r="P297" i="4" s="1"/>
  <c r="O291" i="4"/>
  <c r="P291" i="4" s="1"/>
  <c r="O289" i="4"/>
  <c r="P289" i="4" s="1"/>
  <c r="O290" i="4"/>
  <c r="O294" i="4"/>
  <c r="P294" i="4" s="1"/>
  <c r="O288" i="4"/>
  <c r="O293" i="4"/>
  <c r="P293" i="4" s="1"/>
  <c r="M206" i="13"/>
  <c r="N206" i="13" s="1"/>
  <c r="M221" i="13" l="1"/>
  <c r="N217" i="13"/>
  <c r="N221" i="13" s="1"/>
  <c r="N37" i="13"/>
  <c r="N44" i="13" s="1"/>
  <c r="M44" i="13"/>
  <c r="N203" i="13"/>
  <c r="N208" i="13" s="1"/>
  <c r="M208" i="13"/>
  <c r="M214" i="13"/>
  <c r="N214" i="13"/>
  <c r="L284" i="4"/>
  <c r="P288" i="4"/>
  <c r="O287" i="4"/>
  <c r="P287" i="4" s="1"/>
  <c r="O285" i="4"/>
  <c r="O69" i="4"/>
  <c r="P290" i="4"/>
  <c r="G82" i="4"/>
  <c r="H82" i="4"/>
  <c r="G325" i="4"/>
  <c r="G327" i="4" s="1"/>
  <c r="H325" i="4"/>
  <c r="H327" i="4" s="1"/>
  <c r="Q37" i="13" l="1"/>
  <c r="Q44" i="13" s="1"/>
  <c r="P285" i="4"/>
  <c r="Q217" i="13"/>
  <c r="R37" i="13"/>
  <c r="R44" i="13" s="1"/>
  <c r="Q203" i="13"/>
  <c r="Q192" i="13"/>
  <c r="O284" i="4"/>
  <c r="Q206" i="13"/>
  <c r="J82" i="4"/>
  <c r="J325" i="4"/>
  <c r="I187" i="13"/>
  <c r="I189" i="13" s="1"/>
  <c r="J187" i="13"/>
  <c r="J189" i="13" s="1"/>
  <c r="H233" i="4"/>
  <c r="G233" i="4"/>
  <c r="H232" i="4"/>
  <c r="G232" i="4"/>
  <c r="G218" i="4"/>
  <c r="H218" i="4"/>
  <c r="J170" i="13"/>
  <c r="J171" i="13" s="1"/>
  <c r="I170" i="13"/>
  <c r="I171" i="13" s="1"/>
  <c r="Q214" i="13" l="1"/>
  <c r="Q221" i="13"/>
  <c r="Q208" i="13"/>
  <c r="J327" i="4"/>
  <c r="K325" i="4"/>
  <c r="L325" i="4" s="1"/>
  <c r="H234" i="4"/>
  <c r="G234" i="4"/>
  <c r="R192" i="13"/>
  <c r="P284" i="4"/>
  <c r="J232" i="4"/>
  <c r="K232" i="4" s="1"/>
  <c r="L232" i="4" s="1"/>
  <c r="R206" i="13"/>
  <c r="L187" i="13"/>
  <c r="L189" i="13" s="1"/>
  <c r="L170" i="13"/>
  <c r="L171" i="13" s="1"/>
  <c r="J233" i="4"/>
  <c r="K233" i="4" s="1"/>
  <c r="L233" i="4" s="1"/>
  <c r="K82" i="4"/>
  <c r="L82" i="4" s="1"/>
  <c r="J218" i="4"/>
  <c r="K218" i="4" s="1"/>
  <c r="L218" i="4" s="1"/>
  <c r="P252" i="4"/>
  <c r="R78" i="13"/>
  <c r="I241" i="13"/>
  <c r="I243" i="13" s="1"/>
  <c r="R217" i="13"/>
  <c r="R214" i="13" l="1"/>
  <c r="R221" i="13"/>
  <c r="K327" i="4"/>
  <c r="L327" i="4"/>
  <c r="O232" i="4"/>
  <c r="P232" i="4" s="1"/>
  <c r="M170" i="13"/>
  <c r="N170" i="13" s="1"/>
  <c r="J234" i="4"/>
  <c r="M187" i="13"/>
  <c r="N187" i="13" s="1"/>
  <c r="O233" i="4"/>
  <c r="P233" i="4" s="1"/>
  <c r="O218" i="4"/>
  <c r="L241" i="13"/>
  <c r="L243" i="13" s="1"/>
  <c r="R89" i="13"/>
  <c r="N171" i="13" l="1"/>
  <c r="M171" i="13"/>
  <c r="P218" i="4"/>
  <c r="K234" i="4"/>
  <c r="L234" i="4"/>
  <c r="M189" i="13"/>
  <c r="M241" i="13"/>
  <c r="M243" i="13" s="1"/>
  <c r="O325" i="4"/>
  <c r="O327" i="4" s="1"/>
  <c r="O82" i="4"/>
  <c r="Q170" i="13" l="1"/>
  <c r="Q171" i="13" s="1"/>
  <c r="Q187" i="13"/>
  <c r="Q189" i="13" s="1"/>
  <c r="N189" i="13"/>
  <c r="N241" i="13"/>
  <c r="P325" i="4"/>
  <c r="P327" i="4" s="1"/>
  <c r="O234" i="4"/>
  <c r="P82" i="4"/>
  <c r="J193" i="13"/>
  <c r="J194" i="13" s="1"/>
  <c r="I194" i="13"/>
  <c r="J174" i="13"/>
  <c r="I174" i="13"/>
  <c r="I30" i="13"/>
  <c r="J30" i="13"/>
  <c r="J102" i="13"/>
  <c r="J106" i="13" s="1"/>
  <c r="J50" i="13"/>
  <c r="J52" i="13" s="1"/>
  <c r="I50" i="13"/>
  <c r="I52" i="13" s="1"/>
  <c r="I24" i="13"/>
  <c r="I26" i="13" s="1"/>
  <c r="J24" i="13"/>
  <c r="J26" i="13" s="1"/>
  <c r="Q241" i="13" l="1"/>
  <c r="Q243" i="13" s="1"/>
  <c r="N243" i="13"/>
  <c r="L30" i="13"/>
  <c r="R187" i="13"/>
  <c r="R189" i="13" s="1"/>
  <c r="L50" i="13"/>
  <c r="L52" i="13" s="1"/>
  <c r="L24" i="13"/>
  <c r="L26" i="13" s="1"/>
  <c r="L174" i="13"/>
  <c r="L102" i="13"/>
  <c r="L106" i="13" s="1"/>
  <c r="L193" i="13"/>
  <c r="L194" i="13" s="1"/>
  <c r="P234" i="4"/>
  <c r="M30" i="13" l="1"/>
  <c r="N30" i="13" s="1"/>
  <c r="M50" i="13"/>
  <c r="M52" i="13" s="1"/>
  <c r="M174" i="13"/>
  <c r="R241" i="13"/>
  <c r="R243" i="13" s="1"/>
  <c r="M193" i="13"/>
  <c r="N193" i="13" s="1"/>
  <c r="M102" i="13"/>
  <c r="M24" i="13"/>
  <c r="M26" i="13" s="1"/>
  <c r="R170" i="13"/>
  <c r="R171" i="13" s="1"/>
  <c r="N102" i="13" l="1"/>
  <c r="N106" i="13" s="1"/>
  <c r="M106" i="13"/>
  <c r="N50" i="13"/>
  <c r="N52" i="13" s="1"/>
  <c r="N24" i="13"/>
  <c r="N26" i="13" s="1"/>
  <c r="N194" i="13"/>
  <c r="M194" i="13"/>
  <c r="N174" i="13"/>
  <c r="H15" i="14"/>
  <c r="H21" i="14" s="1"/>
  <c r="G342" i="4"/>
  <c r="G345" i="4"/>
  <c r="G340" i="4"/>
  <c r="G339" i="4"/>
  <c r="G336" i="4"/>
  <c r="J336" i="4" s="1"/>
  <c r="G341" i="4"/>
  <c r="G338" i="4"/>
  <c r="G333" i="4"/>
  <c r="G335" i="4"/>
  <c r="G344" i="4"/>
  <c r="G337" i="4"/>
  <c r="J337" i="4" s="1"/>
  <c r="G334" i="4"/>
  <c r="G190" i="4"/>
  <c r="G331" i="4"/>
  <c r="G332" i="4"/>
  <c r="G347" i="4" l="1"/>
  <c r="Q30" i="13"/>
  <c r="K336" i="4"/>
  <c r="L336" i="4" s="1"/>
  <c r="K337" i="4"/>
  <c r="L337" i="4" s="1"/>
  <c r="J331" i="4"/>
  <c r="Q50" i="13"/>
  <c r="Q52" i="13" s="1"/>
  <c r="Q174" i="13"/>
  <c r="Q193" i="13"/>
  <c r="Q194" i="13" s="1"/>
  <c r="Q102" i="13"/>
  <c r="Q106" i="13" s="1"/>
  <c r="Q24" i="13"/>
  <c r="Q26" i="13" s="1"/>
  <c r="J335" i="4"/>
  <c r="K335" i="4" s="1"/>
  <c r="L335" i="4" s="1"/>
  <c r="J345" i="4"/>
  <c r="J339" i="4"/>
  <c r="J344" i="4"/>
  <c r="J332" i="4"/>
  <c r="K332" i="4" s="1"/>
  <c r="L332" i="4" s="1"/>
  <c r="J338" i="4"/>
  <c r="J333" i="4"/>
  <c r="J340" i="4"/>
  <c r="J342" i="4"/>
  <c r="K342" i="4" s="1"/>
  <c r="J341" i="4"/>
  <c r="K341" i="4" s="1"/>
  <c r="L341" i="4" s="1"/>
  <c r="J334" i="4"/>
  <c r="K334" i="4" s="1"/>
  <c r="L334" i="4" s="1"/>
  <c r="P244" i="4"/>
  <c r="P257" i="4"/>
  <c r="P253" i="4"/>
  <c r="K331" i="4" l="1"/>
  <c r="L331" i="4" s="1"/>
  <c r="J347" i="4"/>
  <c r="R30" i="13"/>
  <c r="O337" i="4"/>
  <c r="P337" i="4" s="1"/>
  <c r="K340" i="4"/>
  <c r="L340" i="4" s="1"/>
  <c r="K344" i="4"/>
  <c r="L344" i="4" s="1"/>
  <c r="K333" i="4"/>
  <c r="L333" i="4" s="1"/>
  <c r="K339" i="4"/>
  <c r="L339" i="4" s="1"/>
  <c r="K338" i="4"/>
  <c r="L338" i="4" s="1"/>
  <c r="K345" i="4"/>
  <c r="L345" i="4" s="1"/>
  <c r="R174" i="13"/>
  <c r="R50" i="13"/>
  <c r="R52" i="13" s="1"/>
  <c r="R102" i="13"/>
  <c r="R106" i="13" s="1"/>
  <c r="R193" i="13"/>
  <c r="R194" i="13" s="1"/>
  <c r="O342" i="4"/>
  <c r="P342" i="4" s="1"/>
  <c r="O336" i="4"/>
  <c r="P336" i="4" s="1"/>
  <c r="R24" i="13"/>
  <c r="G198" i="4"/>
  <c r="G199" i="4" s="1"/>
  <c r="H307" i="4"/>
  <c r="H308" i="4" s="1"/>
  <c r="G307" i="4"/>
  <c r="H320" i="4"/>
  <c r="H321" i="4" s="1"/>
  <c r="G320" i="4"/>
  <c r="G321" i="4" s="1"/>
  <c r="H316" i="4"/>
  <c r="H317" i="4" s="1"/>
  <c r="G316" i="4"/>
  <c r="G317" i="4" s="1"/>
  <c r="H277" i="4"/>
  <c r="H282" i="4" s="1"/>
  <c r="G277" i="4"/>
  <c r="G282" i="4" s="1"/>
  <c r="H203" i="4"/>
  <c r="H206" i="4" s="1"/>
  <c r="G203" i="4"/>
  <c r="G206" i="4" s="1"/>
  <c r="G308" i="4" l="1"/>
  <c r="L347" i="4"/>
  <c r="O331" i="4"/>
  <c r="K347" i="4"/>
  <c r="O345" i="4"/>
  <c r="P345" i="4" s="1"/>
  <c r="O344" i="4"/>
  <c r="P344" i="4" s="1"/>
  <c r="O339" i="4"/>
  <c r="P339" i="4" s="1"/>
  <c r="O333" i="4"/>
  <c r="P333" i="4" s="1"/>
  <c r="O338" i="4"/>
  <c r="P338" i="4" s="1"/>
  <c r="O340" i="4"/>
  <c r="P340" i="4" s="1"/>
  <c r="O335" i="4"/>
  <c r="O334" i="4"/>
  <c r="O341" i="4"/>
  <c r="P341" i="4" s="1"/>
  <c r="J203" i="4"/>
  <c r="J206" i="4" s="1"/>
  <c r="J320" i="4"/>
  <c r="K320" i="4" s="1"/>
  <c r="J316" i="4"/>
  <c r="J317" i="4" s="1"/>
  <c r="J307" i="4"/>
  <c r="J308" i="4" s="1"/>
  <c r="J277" i="4"/>
  <c r="K277" i="4" l="1"/>
  <c r="K282" i="4" s="1"/>
  <c r="J282" i="4"/>
  <c r="K307" i="4"/>
  <c r="K203" i="4"/>
  <c r="K316" i="4"/>
  <c r="L316" i="4" s="1"/>
  <c r="J321" i="4"/>
  <c r="O332" i="4"/>
  <c r="O347" i="4" s="1"/>
  <c r="L307" i="4" l="1"/>
  <c r="L308" i="4" s="1"/>
  <c r="K308" i="4"/>
  <c r="K206" i="4"/>
  <c r="L203" i="4"/>
  <c r="L206" i="4" s="1"/>
  <c r="L317" i="4"/>
  <c r="K317" i="4"/>
  <c r="L320" i="4"/>
  <c r="L321" i="4" s="1"/>
  <c r="K321" i="4"/>
  <c r="L277" i="4"/>
  <c r="L282" i="4" s="1"/>
  <c r="H93" i="4"/>
  <c r="G93" i="4"/>
  <c r="H121" i="4"/>
  <c r="G121" i="4"/>
  <c r="O307" i="4" l="1"/>
  <c r="O320" i="4"/>
  <c r="O321" i="4" s="1"/>
  <c r="O203" i="4"/>
  <c r="O206" i="4" s="1"/>
  <c r="J93" i="4"/>
  <c r="O316" i="4"/>
  <c r="O317" i="4" s="1"/>
  <c r="O277" i="4"/>
  <c r="O282" i="4" s="1"/>
  <c r="J121" i="4"/>
  <c r="K121" i="4" l="1"/>
  <c r="L121" i="4" s="1"/>
  <c r="P203" i="4"/>
  <c r="P206" i="4" s="1"/>
  <c r="P320" i="4"/>
  <c r="P321" i="4" s="1"/>
  <c r="P307" i="4"/>
  <c r="P316" i="4"/>
  <c r="P317" i="4" s="1"/>
  <c r="P277" i="4"/>
  <c r="P282" i="4" s="1"/>
  <c r="J115" i="13"/>
  <c r="J116" i="13" s="1"/>
  <c r="I115" i="13"/>
  <c r="I116" i="13" s="1"/>
  <c r="I76" i="13"/>
  <c r="I80" i="13" s="1"/>
  <c r="J76" i="13"/>
  <c r="J80" i="13" s="1"/>
  <c r="P50" i="4"/>
  <c r="P51" i="4" s="1"/>
  <c r="K93" i="4" l="1"/>
  <c r="L93" i="4"/>
  <c r="L76" i="13"/>
  <c r="L80" i="13" s="1"/>
  <c r="L115" i="13"/>
  <c r="L116" i="13" s="1"/>
  <c r="O121" i="4" l="1"/>
  <c r="P121" i="4" s="1"/>
  <c r="M76" i="13"/>
  <c r="M115" i="13"/>
  <c r="M116" i="13" s="1"/>
  <c r="N76" i="13" l="1"/>
  <c r="M80" i="13"/>
  <c r="N79" i="13" s="1"/>
  <c r="Q79" i="13" s="1"/>
  <c r="R79" i="13" s="1"/>
  <c r="N115" i="13"/>
  <c r="N116" i="13" s="1"/>
  <c r="N80" i="13" l="1"/>
  <c r="Q76" i="13"/>
  <c r="Q80" i="13" s="1"/>
  <c r="Q115" i="13"/>
  <c r="Q116" i="13" s="1"/>
  <c r="G174" i="4"/>
  <c r="H174" i="4"/>
  <c r="G166" i="4"/>
  <c r="H166" i="4"/>
  <c r="R76" i="13" l="1"/>
  <c r="R80" i="13" s="1"/>
  <c r="R115" i="13"/>
  <c r="R116" i="13" s="1"/>
  <c r="J166" i="4"/>
  <c r="J174" i="4"/>
  <c r="K174" i="4" s="1"/>
  <c r="L174" i="4" s="1"/>
  <c r="P255" i="4"/>
  <c r="G110" i="4"/>
  <c r="H110" i="4"/>
  <c r="K166" i="4" l="1"/>
  <c r="L166" i="4" s="1"/>
  <c r="O174" i="4"/>
  <c r="J110" i="4"/>
  <c r="K110" i="4" s="1"/>
  <c r="L110" i="4" s="1"/>
  <c r="G54" i="4"/>
  <c r="P174" i="4" l="1"/>
  <c r="O110" i="4"/>
  <c r="P110" i="4" s="1"/>
  <c r="I175" i="13"/>
  <c r="J175" i="13"/>
  <c r="O166" i="4" l="1"/>
  <c r="L175" i="13"/>
  <c r="M175" i="13" s="1"/>
  <c r="N175" i="13" s="1"/>
  <c r="P166" i="4" l="1"/>
  <c r="Q175" i="13"/>
  <c r="G114" i="4"/>
  <c r="H114" i="4"/>
  <c r="G109" i="4"/>
  <c r="H109" i="4"/>
  <c r="J109" i="4" l="1"/>
  <c r="K109" i="4" s="1"/>
  <c r="J114" i="4"/>
  <c r="K114" i="4" l="1"/>
  <c r="J176" i="13"/>
  <c r="I176" i="13"/>
  <c r="H97" i="4"/>
  <c r="J97" i="4" s="1"/>
  <c r="K97" i="4" s="1"/>
  <c r="L97" i="4" s="1"/>
  <c r="G44" i="4"/>
  <c r="H128" i="4"/>
  <c r="G149" i="4"/>
  <c r="G128" i="4"/>
  <c r="G37" i="4"/>
  <c r="H37" i="4"/>
  <c r="G180" i="4"/>
  <c r="G181" i="4" s="1"/>
  <c r="H180" i="4"/>
  <c r="H181" i="4" s="1"/>
  <c r="H54" i="4"/>
  <c r="J54" i="4" s="1"/>
  <c r="K54" i="4" s="1"/>
  <c r="L54" i="4" s="1"/>
  <c r="G23" i="4"/>
  <c r="H23" i="4"/>
  <c r="H26" i="4" s="1"/>
  <c r="G81" i="4"/>
  <c r="H81" i="4"/>
  <c r="G45" i="4"/>
  <c r="H45" i="4"/>
  <c r="G86" i="4"/>
  <c r="H86" i="4"/>
  <c r="H100" i="4" l="1"/>
  <c r="L114" i="4"/>
  <c r="L176" i="13"/>
  <c r="M176" i="13" s="1"/>
  <c r="N176" i="13" s="1"/>
  <c r="O97" i="4"/>
  <c r="J128" i="4"/>
  <c r="J149" i="4"/>
  <c r="K149" i="4" s="1"/>
  <c r="J23" i="4"/>
  <c r="J81" i="4"/>
  <c r="K81" i="4" s="1"/>
  <c r="L81" i="4" s="1"/>
  <c r="J86" i="4"/>
  <c r="J37" i="4"/>
  <c r="K37" i="4" s="1"/>
  <c r="L37" i="4" s="1"/>
  <c r="J45" i="4"/>
  <c r="J180" i="4"/>
  <c r="J181" i="4" s="1"/>
  <c r="R251" i="13"/>
  <c r="R252" i="13" s="1"/>
  <c r="P97" i="4" l="1"/>
  <c r="K86" i="4"/>
  <c r="K45" i="4"/>
  <c r="K23" i="4"/>
  <c r="O114" i="4"/>
  <c r="K128" i="4"/>
  <c r="Q176" i="13"/>
  <c r="L149" i="4"/>
  <c r="O149" i="4" s="1"/>
  <c r="O150" i="4" s="1"/>
  <c r="K180" i="4"/>
  <c r="K181" i="4" l="1"/>
  <c r="L180" i="4"/>
  <c r="L181" i="4" s="1"/>
  <c r="L128" i="4"/>
  <c r="O128" i="4" s="1"/>
  <c r="L45" i="4"/>
  <c r="O45" i="4" s="1"/>
  <c r="P45" i="4" s="1"/>
  <c r="L23" i="4"/>
  <c r="L86" i="4"/>
  <c r="P114" i="4"/>
  <c r="O37" i="4"/>
  <c r="R176" i="13"/>
  <c r="O54" i="4"/>
  <c r="O55" i="4" s="1"/>
  <c r="O23" i="4" l="1"/>
  <c r="O86" i="4"/>
  <c r="O180" i="4"/>
  <c r="O181" i="4" s="1"/>
  <c r="O81" i="4"/>
  <c r="P180" i="4" l="1"/>
  <c r="P181" i="4" s="1"/>
  <c r="R203" i="13" l="1"/>
  <c r="R208" i="13" s="1"/>
  <c r="P65" i="4" l="1"/>
  <c r="P37" i="4"/>
  <c r="I32" i="13" l="1"/>
  <c r="I34" i="13" s="1"/>
  <c r="J32" i="13"/>
  <c r="J34" i="13" s="1"/>
  <c r="I177" i="13"/>
  <c r="J177" i="13"/>
  <c r="L177" i="13" l="1"/>
  <c r="L32" i="13"/>
  <c r="L34" i="13" s="1"/>
  <c r="J259" i="13"/>
  <c r="J260" i="13" s="1"/>
  <c r="I259" i="13"/>
  <c r="I260" i="13" s="1"/>
  <c r="M177" i="13" l="1"/>
  <c r="N177" i="13" s="1"/>
  <c r="L259" i="13"/>
  <c r="L260" i="13" s="1"/>
  <c r="M32" i="13"/>
  <c r="N32" i="13" s="1"/>
  <c r="R23" i="13"/>
  <c r="R26" i="13" s="1"/>
  <c r="H60" i="4"/>
  <c r="H173" i="4"/>
  <c r="G60" i="4"/>
  <c r="G61" i="4" s="1"/>
  <c r="G173" i="4"/>
  <c r="M34" i="13" l="1"/>
  <c r="N34" i="13"/>
  <c r="H61" i="4"/>
  <c r="H177" i="4"/>
  <c r="G177" i="4"/>
  <c r="J60" i="4"/>
  <c r="J61" i="4" s="1"/>
  <c r="M259" i="13"/>
  <c r="N259" i="13" s="1"/>
  <c r="J173" i="4"/>
  <c r="K173" i="4" s="1"/>
  <c r="L173" i="4" s="1"/>
  <c r="H159" i="4"/>
  <c r="G159" i="4"/>
  <c r="J177" i="4" l="1"/>
  <c r="K60" i="4"/>
  <c r="N260" i="13"/>
  <c r="M260" i="13"/>
  <c r="O173" i="4"/>
  <c r="Q177" i="13"/>
  <c r="Q179" i="13" s="1"/>
  <c r="Q32" i="13"/>
  <c r="Q34" i="13" s="1"/>
  <c r="J159" i="4"/>
  <c r="P86" i="4"/>
  <c r="K177" i="4" l="1"/>
  <c r="L177" i="4"/>
  <c r="K61" i="4"/>
  <c r="L60" i="4"/>
  <c r="O60" i="4" s="1"/>
  <c r="O61" i="4" s="1"/>
  <c r="P173" i="4"/>
  <c r="Q259" i="13"/>
  <c r="Q260" i="13" s="1"/>
  <c r="R177" i="13"/>
  <c r="R32" i="13"/>
  <c r="R34" i="13" s="1"/>
  <c r="K159" i="4"/>
  <c r="L61" i="4" l="1"/>
  <c r="O177" i="4"/>
  <c r="L159" i="4"/>
  <c r="R259" i="13"/>
  <c r="R260" i="13" s="1"/>
  <c r="J233" i="13"/>
  <c r="I233" i="13"/>
  <c r="J268" i="13"/>
  <c r="I268" i="13"/>
  <c r="I149" i="13"/>
  <c r="I152" i="13" s="1"/>
  <c r="J63" i="13"/>
  <c r="J65" i="13" s="1"/>
  <c r="I63" i="13"/>
  <c r="I65" i="13" s="1"/>
  <c r="I234" i="13" l="1"/>
  <c r="J234" i="13"/>
  <c r="J179" i="13"/>
  <c r="J269" i="13"/>
  <c r="I179" i="13"/>
  <c r="I269" i="13"/>
  <c r="P60" i="4"/>
  <c r="P61" i="4" s="1"/>
  <c r="P177" i="4"/>
  <c r="L149" i="13"/>
  <c r="L152" i="13" s="1"/>
  <c r="L233" i="13"/>
  <c r="L63" i="13"/>
  <c r="L65" i="13" s="1"/>
  <c r="L268" i="13"/>
  <c r="O159" i="4"/>
  <c r="P331" i="4"/>
  <c r="P332" i="4"/>
  <c r="G237" i="4"/>
  <c r="H237" i="4"/>
  <c r="H239" i="4" s="1"/>
  <c r="G238" i="4"/>
  <c r="H185" i="4"/>
  <c r="H186" i="4" s="1"/>
  <c r="G185" i="4"/>
  <c r="G228" i="4"/>
  <c r="H228" i="4"/>
  <c r="G224" i="4"/>
  <c r="H224" i="4"/>
  <c r="G217" i="4"/>
  <c r="G220" i="4" s="1"/>
  <c r="H217" i="4"/>
  <c r="H220" i="4" s="1"/>
  <c r="H198" i="4"/>
  <c r="H199" i="4" s="1"/>
  <c r="H161" i="4"/>
  <c r="G161" i="4"/>
  <c r="G162" i="4" s="1"/>
  <c r="H188" i="4"/>
  <c r="G188" i="4"/>
  <c r="H190" i="4"/>
  <c r="H169" i="4"/>
  <c r="G169" i="4"/>
  <c r="H154" i="4"/>
  <c r="H155" i="4" s="1"/>
  <c r="G154" i="4"/>
  <c r="G155" i="4" s="1"/>
  <c r="H124" i="4"/>
  <c r="G124" i="4"/>
  <c r="H134" i="4"/>
  <c r="G134" i="4"/>
  <c r="G137" i="4" s="1"/>
  <c r="H129" i="4"/>
  <c r="H130" i="4" s="1"/>
  <c r="G129" i="4"/>
  <c r="G130" i="4" s="1"/>
  <c r="H136" i="4"/>
  <c r="H167" i="4"/>
  <c r="G167" i="4"/>
  <c r="H108" i="4"/>
  <c r="H112" i="4" s="1"/>
  <c r="G108" i="4"/>
  <c r="G112" i="4" s="1"/>
  <c r="H122" i="4"/>
  <c r="G122" i="4"/>
  <c r="G98" i="4"/>
  <c r="G100" i="4" s="1"/>
  <c r="H87" i="4"/>
  <c r="G87" i="4"/>
  <c r="H43" i="4"/>
  <c r="G43" i="4"/>
  <c r="H44" i="4"/>
  <c r="H116" i="4"/>
  <c r="H118" i="4" s="1"/>
  <c r="G116" i="4"/>
  <c r="G118" i="4" s="1"/>
  <c r="H150" i="4"/>
  <c r="G105" i="4"/>
  <c r="G80" i="4"/>
  <c r="G83" i="4" s="1"/>
  <c r="H80" i="4"/>
  <c r="G145" i="4"/>
  <c r="G146" i="4" s="1"/>
  <c r="H145" i="4"/>
  <c r="H146" i="4" s="1"/>
  <c r="G21" i="4"/>
  <c r="G26" i="4" s="1"/>
  <c r="G29" i="4"/>
  <c r="G30" i="4" s="1"/>
  <c r="G75" i="4"/>
  <c r="G77" i="4" s="1"/>
  <c r="H75" i="4"/>
  <c r="H77" i="4" s="1"/>
  <c r="G70" i="4"/>
  <c r="G71" i="4" s="1"/>
  <c r="H70" i="4"/>
  <c r="H71" i="4" s="1"/>
  <c r="G46" i="4"/>
  <c r="H46" i="4"/>
  <c r="G38" i="4"/>
  <c r="G40" i="4" s="1"/>
  <c r="H38" i="4"/>
  <c r="H40" i="4" s="1"/>
  <c r="H66" i="4"/>
  <c r="H67" i="4" s="1"/>
  <c r="G66" i="4"/>
  <c r="G67" i="4" s="1"/>
  <c r="H125" i="4" l="1"/>
  <c r="G125" i="4"/>
  <c r="H137" i="4"/>
  <c r="G47" i="4"/>
  <c r="H47" i="4"/>
  <c r="H83" i="4"/>
  <c r="G170" i="4"/>
  <c r="H170" i="4"/>
  <c r="G89" i="4"/>
  <c r="H89" i="4"/>
  <c r="H191" i="4"/>
  <c r="J188" i="4"/>
  <c r="K188" i="4" s="1"/>
  <c r="L188" i="4" s="1"/>
  <c r="G191" i="4"/>
  <c r="L234" i="13"/>
  <c r="H162" i="4"/>
  <c r="L179" i="13"/>
  <c r="L269" i="13"/>
  <c r="G186" i="4"/>
  <c r="G225" i="4"/>
  <c r="G239" i="4"/>
  <c r="G150" i="4"/>
  <c r="H229" i="4"/>
  <c r="G229" i="4"/>
  <c r="G55" i="4"/>
  <c r="H55" i="4"/>
  <c r="H225" i="4"/>
  <c r="G214" i="4"/>
  <c r="H214" i="4"/>
  <c r="J44" i="4"/>
  <c r="J98" i="4"/>
  <c r="J100" i="4" s="1"/>
  <c r="J105" i="4"/>
  <c r="J29" i="4"/>
  <c r="M233" i="13"/>
  <c r="M149" i="13"/>
  <c r="M152" i="13" s="1"/>
  <c r="M268" i="13"/>
  <c r="N268" i="13" s="1"/>
  <c r="M63" i="13"/>
  <c r="M65" i="13" s="1"/>
  <c r="J43" i="4"/>
  <c r="J224" i="4"/>
  <c r="J87" i="4"/>
  <c r="J167" i="4"/>
  <c r="J66" i="4"/>
  <c r="J67" i="4" s="1"/>
  <c r="P159" i="4"/>
  <c r="J116" i="4"/>
  <c r="K116" i="4" s="1"/>
  <c r="L116" i="4" s="1"/>
  <c r="J134" i="4"/>
  <c r="J108" i="4"/>
  <c r="J112" i="4" s="1"/>
  <c r="J46" i="4"/>
  <c r="J145" i="4"/>
  <c r="J169" i="4"/>
  <c r="J161" i="4"/>
  <c r="J162" i="4" s="1"/>
  <c r="J238" i="4"/>
  <c r="K238" i="4" s="1"/>
  <c r="L238" i="4" s="1"/>
  <c r="J198" i="4"/>
  <c r="J217" i="4"/>
  <c r="J237" i="4"/>
  <c r="K237" i="4" s="1"/>
  <c r="J80" i="4"/>
  <c r="J190" i="4"/>
  <c r="K190" i="4" s="1"/>
  <c r="L190" i="4" s="1"/>
  <c r="J228" i="4"/>
  <c r="K228" i="4" s="1"/>
  <c r="L228" i="4" s="1"/>
  <c r="O228" i="4" s="1"/>
  <c r="J70" i="4"/>
  <c r="J75" i="4"/>
  <c r="J124" i="4"/>
  <c r="J136" i="4"/>
  <c r="J38" i="4"/>
  <c r="J21" i="4"/>
  <c r="J122" i="4"/>
  <c r="J129" i="4"/>
  <c r="J154" i="4"/>
  <c r="J155" i="4" s="1"/>
  <c r="J185" i="4"/>
  <c r="P246" i="4"/>
  <c r="P256" i="4"/>
  <c r="P247" i="4"/>
  <c r="P254" i="4"/>
  <c r="P251" i="4"/>
  <c r="P249" i="4"/>
  <c r="P250" i="4"/>
  <c r="P248" i="4"/>
  <c r="P149" i="4"/>
  <c r="P150" i="4" s="1"/>
  <c r="P92" i="4"/>
  <c r="P93" i="4" s="1"/>
  <c r="P334" i="4"/>
  <c r="P335" i="4"/>
  <c r="G15" i="14"/>
  <c r="G21" i="14" s="1"/>
  <c r="J125" i="4" l="1"/>
  <c r="J137" i="4"/>
  <c r="K129" i="4"/>
  <c r="J130" i="4"/>
  <c r="J118" i="4"/>
  <c r="J47" i="4"/>
  <c r="K145" i="4"/>
  <c r="L145" i="4" s="1"/>
  <c r="O145" i="4" s="1"/>
  <c r="P145" i="4" s="1"/>
  <c r="J146" i="4"/>
  <c r="P347" i="4"/>
  <c r="J83" i="4"/>
  <c r="K239" i="4"/>
  <c r="J15" i="14"/>
  <c r="J21" i="14" s="1"/>
  <c r="J170" i="4"/>
  <c r="K124" i="4"/>
  <c r="L124" i="4" s="1"/>
  <c r="K98" i="4"/>
  <c r="L98" i="4" s="1"/>
  <c r="J89" i="4"/>
  <c r="J191" i="4"/>
  <c r="J220" i="4"/>
  <c r="K217" i="4"/>
  <c r="K229" i="4"/>
  <c r="K214" i="4"/>
  <c r="J30" i="4"/>
  <c r="K29" i="4"/>
  <c r="K30" i="4" s="1"/>
  <c r="K224" i="4"/>
  <c r="J199" i="4"/>
  <c r="K198" i="4"/>
  <c r="L198" i="4" s="1"/>
  <c r="J71" i="4"/>
  <c r="K70" i="4"/>
  <c r="J77" i="4"/>
  <c r="K75" i="4"/>
  <c r="K66" i="4"/>
  <c r="K43" i="4"/>
  <c r="K46" i="4"/>
  <c r="L46" i="4" s="1"/>
  <c r="J40" i="4"/>
  <c r="K38" i="4"/>
  <c r="J26" i="4"/>
  <c r="K21" i="4"/>
  <c r="M234" i="13"/>
  <c r="J225" i="4"/>
  <c r="M179" i="13"/>
  <c r="M269" i="13"/>
  <c r="J239" i="4"/>
  <c r="J55" i="4"/>
  <c r="J229" i="4"/>
  <c r="J150" i="4"/>
  <c r="K44" i="4"/>
  <c r="L44" i="4" s="1"/>
  <c r="J186" i="4"/>
  <c r="J214" i="4"/>
  <c r="K134" i="4"/>
  <c r="L134" i="4" s="1"/>
  <c r="K150" i="4"/>
  <c r="K167" i="4"/>
  <c r="L167" i="4" s="1"/>
  <c r="K87" i="4"/>
  <c r="N63" i="13"/>
  <c r="N65" i="13" s="1"/>
  <c r="K118" i="4"/>
  <c r="N149" i="13"/>
  <c r="N152" i="13" s="1"/>
  <c r="N233" i="13"/>
  <c r="O190" i="4"/>
  <c r="O188" i="4"/>
  <c r="K185" i="4"/>
  <c r="L185" i="4" s="1"/>
  <c r="K154" i="4"/>
  <c r="K161" i="4"/>
  <c r="K162" i="4" s="1"/>
  <c r="K191" i="4"/>
  <c r="K169" i="4"/>
  <c r="L169" i="4" s="1"/>
  <c r="K136" i="4"/>
  <c r="K122" i="4"/>
  <c r="L122" i="4" s="1"/>
  <c r="K108" i="4"/>
  <c r="K80" i="4"/>
  <c r="K22" i="4"/>
  <c r="L22" i="4" s="1"/>
  <c r="P69" i="4"/>
  <c r="P142" i="4"/>
  <c r="P266" i="4"/>
  <c r="P245" i="4"/>
  <c r="P54" i="4"/>
  <c r="P55" i="4" s="1"/>
  <c r="P23" i="4"/>
  <c r="P128" i="4"/>
  <c r="P81" i="4"/>
  <c r="P133" i="4"/>
  <c r="L224" i="4" l="1"/>
  <c r="O224" i="4" s="1"/>
  <c r="P224" i="4" s="1"/>
  <c r="K155" i="4"/>
  <c r="L154" i="4"/>
  <c r="P274" i="4"/>
  <c r="L125" i="4"/>
  <c r="K220" i="4"/>
  <c r="L217" i="4"/>
  <c r="L220" i="4" s="1"/>
  <c r="L136" i="4"/>
  <c r="L137" i="4" s="1"/>
  <c r="L108" i="4"/>
  <c r="K112" i="4"/>
  <c r="K146" i="4"/>
  <c r="L146" i="4"/>
  <c r="K125" i="4"/>
  <c r="K89" i="4"/>
  <c r="L87" i="4"/>
  <c r="L89" i="4" s="1"/>
  <c r="K67" i="4"/>
  <c r="L66" i="4"/>
  <c r="L67" i="4" s="1"/>
  <c r="K137" i="4"/>
  <c r="L129" i="4"/>
  <c r="K130" i="4"/>
  <c r="O116" i="4"/>
  <c r="L118" i="4"/>
  <c r="L100" i="4"/>
  <c r="K100" i="4"/>
  <c r="K77" i="4"/>
  <c r="L75" i="4"/>
  <c r="L77" i="4" s="1"/>
  <c r="K71" i="4"/>
  <c r="L70" i="4"/>
  <c r="L71" i="4" s="1"/>
  <c r="L43" i="4"/>
  <c r="L47" i="4" s="1"/>
  <c r="K47" i="4"/>
  <c r="K40" i="4"/>
  <c r="L38" i="4"/>
  <c r="L40" i="4" s="1"/>
  <c r="O191" i="4"/>
  <c r="K83" i="4"/>
  <c r="K26" i="4"/>
  <c r="K170" i="4"/>
  <c r="K225" i="4"/>
  <c r="P188" i="4"/>
  <c r="K55" i="4"/>
  <c r="O46" i="4"/>
  <c r="P46" i="4" s="1"/>
  <c r="N234" i="13"/>
  <c r="P190" i="4"/>
  <c r="L191" i="4"/>
  <c r="K199" i="4"/>
  <c r="L199" i="4"/>
  <c r="K15" i="14"/>
  <c r="K21" i="14" s="1"/>
  <c r="L55" i="4"/>
  <c r="K105" i="4"/>
  <c r="L105" i="4"/>
  <c r="N179" i="13"/>
  <c r="N269" i="13"/>
  <c r="K186" i="4"/>
  <c r="L237" i="4"/>
  <c r="L239" i="4" s="1"/>
  <c r="L150" i="4"/>
  <c r="L29" i="4"/>
  <c r="L30" i="4" s="1"/>
  <c r="L80" i="4"/>
  <c r="L83" i="4" s="1"/>
  <c r="O134" i="4"/>
  <c r="L155" i="4"/>
  <c r="L161" i="4"/>
  <c r="L21" i="4"/>
  <c r="L26" i="4" s="1"/>
  <c r="Q149" i="13"/>
  <c r="Q152" i="13" s="1"/>
  <c r="Q268" i="13"/>
  <c r="Q269" i="13" s="1"/>
  <c r="Q233" i="13"/>
  <c r="Q234" i="13" s="1"/>
  <c r="Q63" i="13"/>
  <c r="Q65" i="13" s="1"/>
  <c r="L186" i="4"/>
  <c r="L225" i="4" l="1"/>
  <c r="L15" i="14"/>
  <c r="L21" i="14" s="1"/>
  <c r="O66" i="4"/>
  <c r="O67" i="4" s="1"/>
  <c r="L130" i="4"/>
  <c r="O129" i="4"/>
  <c r="P116" i="4"/>
  <c r="P118" i="4" s="1"/>
  <c r="O118" i="4"/>
  <c r="O43" i="4"/>
  <c r="P191" i="4"/>
  <c r="O124" i="4"/>
  <c r="L170" i="4"/>
  <c r="O98" i="4"/>
  <c r="O100" i="4" s="1"/>
  <c r="L229" i="4"/>
  <c r="L162" i="4"/>
  <c r="O161" i="4"/>
  <c r="O162" i="4" s="1"/>
  <c r="O44" i="4"/>
  <c r="O237" i="4"/>
  <c r="O167" i="4"/>
  <c r="O80" i="4"/>
  <c r="L214" i="4"/>
  <c r="O87" i="4"/>
  <c r="O89" i="4" s="1"/>
  <c r="O29" i="4"/>
  <c r="O105" i="4"/>
  <c r="P134" i="4"/>
  <c r="R268" i="13"/>
  <c r="R269" i="13" s="1"/>
  <c r="R233" i="13"/>
  <c r="R234" i="13" s="1"/>
  <c r="R149" i="13"/>
  <c r="R152" i="13" s="1"/>
  <c r="R63" i="13"/>
  <c r="R65" i="13" s="1"/>
  <c r="O185" i="4"/>
  <c r="O186" i="4" s="1"/>
  <c r="O238" i="4"/>
  <c r="O225" i="4"/>
  <c r="O217" i="4"/>
  <c r="O220" i="4" s="1"/>
  <c r="O229" i="4"/>
  <c r="O154" i="4"/>
  <c r="O155" i="4" s="1"/>
  <c r="O198" i="4"/>
  <c r="O199" i="4" s="1"/>
  <c r="O169" i="4"/>
  <c r="O136" i="4"/>
  <c r="O137" i="4" s="1"/>
  <c r="O122" i="4"/>
  <c r="O22" i="4"/>
  <c r="O70" i="4"/>
  <c r="O71" i="4" s="1"/>
  <c r="O75" i="4"/>
  <c r="O77" i="4" s="1"/>
  <c r="O38" i="4"/>
  <c r="O40" i="4" s="1"/>
  <c r="O21" i="4"/>
  <c r="I11" i="13"/>
  <c r="N15" i="14" l="1"/>
  <c r="N21" i="14" s="1"/>
  <c r="P66" i="4"/>
  <c r="P67" i="4" s="1"/>
  <c r="O30" i="4"/>
  <c r="P29" i="4"/>
  <c r="P30" i="4" s="1"/>
  <c r="O130" i="4"/>
  <c r="P129" i="4"/>
  <c r="P130" i="4" s="1"/>
  <c r="O125" i="4"/>
  <c r="O47" i="4"/>
  <c r="O170" i="4"/>
  <c r="O146" i="4"/>
  <c r="O83" i="4"/>
  <c r="O26" i="4"/>
  <c r="O239" i="4"/>
  <c r="P124" i="4"/>
  <c r="P98" i="4"/>
  <c r="P100" i="4" s="1"/>
  <c r="P237" i="4"/>
  <c r="P44" i="4"/>
  <c r="P47" i="4" s="1"/>
  <c r="P167" i="4"/>
  <c r="P80" i="4"/>
  <c r="P87" i="4"/>
  <c r="P89" i="4" s="1"/>
  <c r="I126" i="13"/>
  <c r="P105" i="4"/>
  <c r="L9" i="13"/>
  <c r="L11" i="13" s="1"/>
  <c r="P185" i="4"/>
  <c r="P186" i="4" s="1"/>
  <c r="P238" i="4"/>
  <c r="P217" i="4"/>
  <c r="P220" i="4" s="1"/>
  <c r="P225" i="4"/>
  <c r="P228" i="4"/>
  <c r="P229" i="4" s="1"/>
  <c r="P161" i="4"/>
  <c r="P162" i="4" s="1"/>
  <c r="P154" i="4"/>
  <c r="P155" i="4" s="1"/>
  <c r="P198" i="4"/>
  <c r="P199" i="4" s="1"/>
  <c r="P169" i="4"/>
  <c r="P136" i="4"/>
  <c r="P137" i="4" s="1"/>
  <c r="P122" i="4"/>
  <c r="P38" i="4"/>
  <c r="P40" i="4" s="1"/>
  <c r="P70" i="4"/>
  <c r="P71" i="4" s="1"/>
  <c r="P75" i="4"/>
  <c r="P77" i="4" s="1"/>
  <c r="P21" i="4"/>
  <c r="P22" i="4"/>
  <c r="O15" i="14" l="1"/>
  <c r="O21" i="14" s="1"/>
  <c r="O23" i="14" s="1"/>
  <c r="P125" i="4"/>
  <c r="P83" i="4"/>
  <c r="P146" i="4"/>
  <c r="P170" i="4"/>
  <c r="P26" i="4"/>
  <c r="P239" i="4"/>
  <c r="L126" i="13"/>
  <c r="M9" i="13"/>
  <c r="M11" i="13" s="1"/>
  <c r="M126" i="13" l="1"/>
  <c r="N9" i="13"/>
  <c r="N11" i="13" s="1"/>
  <c r="Q1048208" i="13"/>
  <c r="B64880" i="13"/>
  <c r="B64882" i="13" s="1"/>
  <c r="N126" i="13" l="1"/>
  <c r="Q9" i="13"/>
  <c r="Q11" i="13" s="1"/>
  <c r="R9" i="13" l="1"/>
  <c r="R11" i="13" s="1"/>
  <c r="R175" i="13"/>
  <c r="R179" i="13" s="1"/>
  <c r="B16864" i="4"/>
  <c r="B16866" i="4" s="1"/>
  <c r="H209" i="4"/>
  <c r="G209" i="4"/>
  <c r="G210" i="4" l="1"/>
  <c r="G349" i="4" s="1"/>
  <c r="H210" i="4"/>
  <c r="H349" i="4" s="1"/>
  <c r="J209" i="4"/>
  <c r="J210" i="4" s="1"/>
  <c r="J349" i="4" s="1"/>
  <c r="K209" i="4" l="1"/>
  <c r="K210" i="4" l="1"/>
  <c r="K349" i="4" s="1"/>
  <c r="L209" i="4"/>
  <c r="L210" i="4" s="1"/>
  <c r="M877146" i="14"/>
  <c r="O209" i="4" l="1"/>
  <c r="O210" i="4" s="1"/>
  <c r="P209" i="4" l="1"/>
  <c r="P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93" i="16" l="1"/>
  <c r="B97" i="16" s="1"/>
  <c r="B101" i="16" s="1"/>
  <c r="B105" i="16" s="1"/>
  <c r="B109" i="16" s="1"/>
  <c r="B114" i="16" s="1"/>
  <c r="B115" i="16" l="1"/>
  <c r="B119" i="16" s="1"/>
  <c r="B123" i="16" s="1"/>
  <c r="O264" i="13" l="1"/>
  <c r="O265" i="13" l="1"/>
  <c r="P265" i="13" l="1"/>
  <c r="O300" i="4" l="1"/>
  <c r="O308" i="4" s="1"/>
  <c r="P300" i="4" l="1"/>
  <c r="P308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5" i="13" s="1"/>
  <c r="L78" i="16" l="1"/>
  <c r="L79" i="16" s="1"/>
  <c r="J79" i="16"/>
  <c r="A21" i="4" l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K115" i="16"/>
  <c r="K116" i="16" s="1"/>
  <c r="J116" i="16"/>
  <c r="A42" i="4" l="1"/>
  <c r="L115" i="16"/>
  <c r="L116" i="16" s="1"/>
  <c r="A43" i="4" l="1"/>
  <c r="A44" i="4" s="1"/>
  <c r="A45" i="4" s="1"/>
  <c r="A46" i="4" s="1"/>
  <c r="A50" i="4" s="1"/>
  <c r="A54" i="4" s="1"/>
  <c r="A58" i="4" s="1"/>
  <c r="A59" i="4" s="1"/>
  <c r="A60" i="4" l="1"/>
  <c r="A64" i="4" l="1"/>
  <c r="A65" i="4" s="1"/>
  <c r="A66" i="4" l="1"/>
  <c r="A69" i="4" s="1"/>
  <c r="A70" i="4" s="1"/>
  <c r="A74" i="4" s="1"/>
  <c r="A75" i="4" s="1"/>
  <c r="A76" i="4" s="1"/>
  <c r="A80" i="4" s="1"/>
  <c r="A81" i="4" s="1"/>
  <c r="A82" i="4" s="1"/>
  <c r="A86" i="4" s="1"/>
  <c r="A87" i="4" l="1"/>
  <c r="A88" i="4" s="1"/>
  <c r="A92" i="4" l="1"/>
  <c r="A96" i="4" s="1"/>
  <c r="A97" i="4" l="1"/>
  <c r="A98" i="4" s="1"/>
  <c r="A99" i="4" s="1"/>
  <c r="A103" i="4" s="1"/>
  <c r="A104" i="4" s="1"/>
  <c r="A108" i="4" s="1"/>
  <c r="A109" i="4" l="1"/>
  <c r="A110" i="4" s="1"/>
  <c r="A111" i="4" l="1"/>
  <c r="A114" i="4" s="1"/>
  <c r="A115" i="4" s="1"/>
  <c r="A116" i="4" s="1"/>
  <c r="A117" i="4" s="1"/>
  <c r="A121" i="4" s="1"/>
  <c r="A122" i="4" l="1"/>
  <c r="A123" i="4" s="1"/>
  <c r="A124" i="4" s="1"/>
  <c r="A128" i="4" l="1"/>
  <c r="A129" i="4" s="1"/>
  <c r="A133" i="4" s="1"/>
  <c r="A134" i="4" s="1"/>
  <c r="A135" i="4" s="1"/>
  <c r="A136" i="4" s="1"/>
  <c r="A140" i="4" s="1"/>
  <c r="A141" i="4" s="1"/>
  <c r="A145" i="4" l="1"/>
  <c r="A149" i="4" s="1"/>
  <c r="A154" i="4" s="1"/>
  <c r="A158" i="4" l="1"/>
  <c r="A161" i="4" s="1"/>
  <c r="A165" i="4" s="1"/>
  <c r="A166" i="4" s="1"/>
  <c r="A167" i="4" s="1"/>
  <c r="A168" i="4" s="1"/>
  <c r="A169" i="4" s="1"/>
  <c r="A173" i="4" l="1"/>
  <c r="A174" i="4" s="1"/>
  <c r="A175" i="4" s="1"/>
  <c r="A176" i="4" s="1"/>
  <c r="A180" i="4" s="1"/>
  <c r="A184" i="4" s="1"/>
  <c r="A185" i="4" s="1"/>
  <c r="A188" i="4" s="1"/>
  <c r="A189" i="4" s="1"/>
  <c r="A190" i="4" s="1"/>
  <c r="A194" i="4" s="1"/>
  <c r="A198" i="4" s="1"/>
  <c r="A202" i="4" s="1"/>
  <c r="A203" i="4" s="1"/>
  <c r="A213" i="4"/>
  <c r="A217" i="4" s="1"/>
  <c r="A218" i="4" s="1"/>
  <c r="A219" i="4" s="1"/>
  <c r="A224" i="4" s="1"/>
  <c r="A228" i="4" s="1"/>
  <c r="A232" i="4" s="1"/>
  <c r="A233" i="4" s="1"/>
  <c r="A237" i="4" s="1"/>
  <c r="A238" i="4" s="1"/>
  <c r="A241" i="4" s="1"/>
  <c r="O108" i="4"/>
  <c r="L109" i="4"/>
  <c r="A242" i="4" l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O109" i="4"/>
  <c r="P109" i="4" s="1"/>
  <c r="L112" i="4"/>
  <c r="L349" i="4" s="1"/>
  <c r="P108" i="4"/>
  <c r="A259" i="4" l="1"/>
  <c r="A260" i="4" s="1"/>
  <c r="A261" i="4" s="1"/>
  <c r="A262" i="4" s="1"/>
  <c r="A263" i="4" s="1"/>
  <c r="O112" i="4"/>
  <c r="O349" i="4" s="1"/>
  <c r="P112" i="4"/>
  <c r="P349" i="4" s="1"/>
  <c r="K120" i="16"/>
  <c r="K126" i="16" s="1"/>
  <c r="J120" i="16"/>
  <c r="J126" i="16" s="1"/>
  <c r="A264" i="4" l="1"/>
  <c r="A265" i="4" s="1"/>
  <c r="A266" i="4" s="1"/>
  <c r="A267" i="4" s="1"/>
  <c r="A268" i="4" s="1"/>
  <c r="A269" i="4" s="1"/>
  <c r="A270" i="4" s="1"/>
  <c r="A271" i="4" s="1"/>
  <c r="L119" i="16"/>
  <c r="L120" i="16" s="1"/>
  <c r="L126" i="16" s="1"/>
  <c r="A272" i="4" l="1"/>
  <c r="A273" i="4" l="1"/>
  <c r="A277" i="4" s="1"/>
  <c r="A278" i="4" s="1"/>
  <c r="A279" i="4" s="1"/>
  <c r="A280" i="4" s="1"/>
  <c r="A281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l="1"/>
  <c r="A307" i="4" l="1"/>
  <c r="A311" i="4" s="1"/>
  <c r="N91" i="13"/>
  <c r="A315" i="4" l="1"/>
  <c r="A316" i="4" s="1"/>
  <c r="A320" i="4" s="1"/>
  <c r="A324" i="4" s="1"/>
  <c r="A325" i="4" s="1"/>
  <c r="A326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Q90" i="13"/>
  <c r="Q91" i="13" s="1"/>
  <c r="A56" i="13"/>
  <c r="A60" i="13" s="1"/>
  <c r="A63" i="13" s="1"/>
  <c r="A64" i="13" s="1"/>
  <c r="A68" i="13" s="1"/>
  <c r="A72" i="13" s="1"/>
  <c r="A76" i="13" s="1"/>
  <c r="A77" i="13" s="1"/>
  <c r="A78" i="13" s="1"/>
  <c r="A79" i="13" s="1"/>
  <c r="A83" i="13" s="1"/>
  <c r="A84" i="13" s="1"/>
  <c r="A85" i="13" s="1"/>
  <c r="A89" i="13" s="1"/>
  <c r="A90" i="13" s="1"/>
  <c r="A93" i="13" s="1"/>
  <c r="A94" i="13" s="1"/>
  <c r="A98" i="13" s="1"/>
  <c r="A102" i="13" s="1"/>
  <c r="A103" i="13" s="1"/>
  <c r="A104" i="13" s="1"/>
  <c r="A105" i="13" s="1"/>
  <c r="A108" i="13" s="1"/>
  <c r="A111" i="13" s="1"/>
  <c r="A115" i="13" s="1"/>
  <c r="A118" i="13" s="1"/>
  <c r="A122" i="13" s="1"/>
  <c r="A123" i="13" s="1"/>
  <c r="A124" i="13" s="1"/>
  <c r="A125" i="13" s="1"/>
  <c r="A130" i="13" l="1"/>
  <c r="A131" i="13" s="1"/>
  <c r="A135" i="13" s="1"/>
  <c r="A136" i="13" s="1"/>
  <c r="R90" i="13"/>
  <c r="R91" i="13" s="1"/>
  <c r="A140" i="13" l="1"/>
  <c r="A141" i="13" s="1"/>
  <c r="A144" i="13" s="1"/>
  <c r="A145" i="13" s="1"/>
  <c r="A149" i="13" s="1"/>
  <c r="A150" i="13" s="1"/>
  <c r="A151" i="13" s="1"/>
  <c r="A155" i="13" s="1"/>
  <c r="A156" i="13" s="1"/>
  <c r="A160" i="13" s="1"/>
  <c r="A161" i="13" s="1"/>
  <c r="A165" i="13" s="1"/>
  <c r="A166" i="13" s="1"/>
  <c r="A170" i="13" s="1"/>
  <c r="A174" i="13" s="1"/>
  <c r="A175" i="13" s="1"/>
  <c r="A176" i="13" s="1"/>
  <c r="A177" i="13" s="1"/>
  <c r="A178" i="13" s="1"/>
  <c r="A182" i="13" s="1"/>
  <c r="A186" i="13" s="1"/>
  <c r="A187" i="13" s="1"/>
  <c r="A188" i="13" s="1"/>
  <c r="A192" i="13" s="1"/>
  <c r="A193" i="13" s="1"/>
  <c r="A197" i="13" s="1"/>
  <c r="A198" i="13" l="1"/>
  <c r="A202" i="13" s="1"/>
  <c r="A203" i="13" s="1"/>
  <c r="A204" i="13" s="1"/>
  <c r="A205" i="13" s="1"/>
  <c r="A206" i="13" s="1"/>
  <c r="A207" i="13" s="1"/>
  <c r="A211" i="13" s="1"/>
  <c r="A212" i="13" s="1"/>
  <c r="A213" i="13" s="1"/>
  <c r="A217" i="13" s="1"/>
  <c r="A218" i="13" s="1"/>
  <c r="A225" i="13" l="1"/>
  <c r="A229" i="13" s="1"/>
  <c r="A233" i="13" s="1"/>
  <c r="A237" i="13" s="1"/>
  <c r="A240" i="13" s="1"/>
  <c r="A241" i="13" s="1"/>
  <c r="A242" i="13" l="1"/>
  <c r="A245" i="13" s="1"/>
  <c r="A246" i="13" s="1"/>
  <c r="A250" i="13" s="1"/>
  <c r="A251" i="13" l="1"/>
  <c r="A255" i="13" s="1"/>
  <c r="A259" i="13" s="1"/>
  <c r="A263" i="13" s="1"/>
  <c r="A264" i="13" s="1"/>
  <c r="A268" i="13" s="1"/>
  <c r="N144" i="13" l="1"/>
  <c r="N146" i="13" s="1"/>
  <c r="O146" i="13"/>
  <c r="Q144" i="13" l="1"/>
  <c r="Q146" i="13" l="1"/>
  <c r="R144" i="13"/>
  <c r="R146" i="13" s="1"/>
  <c r="R271" i="13"/>
  <c r="O271" i="13"/>
  <c r="I271" i="13"/>
  <c r="P271" i="13"/>
  <c r="M271" i="13"/>
  <c r="N271" i="13"/>
  <c r="J271" i="13"/>
  <c r="Q271" i="13"/>
  <c r="K271" i="13"/>
  <c r="L271" i="13"/>
  <c r="H271" i="13"/>
</calcChain>
</file>

<file path=xl/sharedStrings.xml><?xml version="1.0" encoding="utf-8"?>
<sst xmlns="http://schemas.openxmlformats.org/spreadsheetml/2006/main" count="2076" uniqueCount="675">
  <si>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</si>
  <si>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</si>
  <si>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</si>
  <si>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</si>
  <si>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</si>
  <si>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</si>
  <si>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</si>
  <si>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</si>
  <si>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</si>
  <si>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</si>
  <si>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</si>
  <si>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</si>
  <si>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</si>
  <si>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</si>
  <si>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</si>
  <si>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</si>
  <si>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</si>
  <si>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</si>
  <si>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</si>
  <si>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</si>
  <si>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</si>
  <si>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</si>
  <si>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</si>
  <si>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</si>
  <si>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</si>
  <si>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</si>
  <si>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</si>
  <si>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</si>
  <si>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</si>
  <si>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</si>
  <si>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</si>
  <si>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</si>
  <si>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</si>
  <si>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</si>
  <si>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</si>
  <si>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</si>
  <si>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</si>
  <si>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</si>
  <si>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</si>
  <si>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</si>
  <si>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</si>
  <si>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</si>
  <si>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</si>
  <si>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</si>
  <si>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</si>
  <si>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</si>
  <si>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</si>
  <si>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</si>
  <si>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</si>
  <si>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</si>
  <si>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</si>
  <si>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</si>
  <si>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</si>
  <si>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</si>
  <si>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</si>
  <si>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</si>
  <si>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</si>
  <si>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</si>
  <si>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</si>
  <si>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</si>
  <si>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</si>
  <si>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</si>
  <si>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</si>
  <si>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</si>
  <si>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</si>
  <si>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</si>
  <si>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</si>
  <si>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</si>
  <si>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</si>
  <si>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</si>
  <si>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</si>
  <si>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</si>
  <si>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</si>
  <si>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</si>
  <si>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</si>
  <si>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</si>
  <si>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</si>
  <si>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</si>
  <si>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</si>
  <si>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</si>
  <si>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</si>
  <si>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</si>
  <si>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</si>
  <si>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</si>
  <si>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</si>
  <si>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</si>
  <si>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</si>
  <si>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</si>
  <si>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</si>
  <si>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</si>
  <si>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</si>
  <si>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</si>
  <si>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</si>
  <si>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</si>
  <si>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</si>
  <si>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</si>
  <si>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</si>
  <si>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</si>
  <si>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</si>
  <si>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</si>
  <si>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</si>
  <si>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</si>
  <si>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</si>
  <si>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</si>
  <si>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</si>
  <si>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</si>
  <si>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</si>
  <si>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</si>
  <si>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</si>
  <si>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</si>
  <si>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</si>
  <si>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</si>
  <si>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</si>
  <si>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</si>
  <si>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</si>
  <si>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</si>
  <si>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</si>
  <si>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</si>
  <si>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</si>
  <si>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</si>
  <si>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</si>
  <si>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</si>
  <si>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</si>
  <si>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</si>
  <si>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</si>
  <si>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</si>
  <si>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</si>
  <si>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</si>
  <si>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</si>
  <si>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</si>
  <si>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</si>
  <si>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</si>
  <si>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</si>
  <si>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</si>
  <si>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</si>
  <si>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</si>
  <si>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</si>
  <si>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</si>
  <si>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</si>
  <si>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</si>
  <si>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</si>
  <si>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</si>
  <si>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</si>
  <si>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</si>
  <si>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</si>
  <si>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</si>
  <si>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</si>
  <si>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</si>
  <si>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</si>
  <si>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</si>
  <si>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</si>
  <si>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</si>
  <si>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</si>
  <si>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</si>
  <si>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</si>
  <si>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</si>
  <si>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</si>
  <si>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</si>
  <si>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</si>
  <si>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</si>
  <si>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</si>
  <si>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</si>
  <si>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</si>
  <si>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</si>
  <si>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</si>
  <si>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</si>
  <si>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</si>
  <si>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</si>
  <si>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</si>
  <si>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</si>
  <si>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</si>
  <si>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</si>
  <si>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</si>
  <si>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</si>
  <si>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</si>
  <si>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</si>
  <si>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</si>
  <si>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</si>
  <si>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</si>
  <si>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</si>
  <si>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</si>
  <si>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</si>
  <si>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</si>
  <si>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</si>
  <si>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</si>
  <si>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</si>
  <si>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</si>
  <si>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</si>
  <si>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</si>
  <si>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</si>
  <si>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</si>
  <si>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</si>
  <si>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</si>
  <si>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</si>
  <si>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</si>
  <si>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</si>
  <si>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</si>
  <si>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</si>
  <si>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</si>
  <si>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</si>
  <si>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</si>
  <si>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</si>
  <si>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</si>
  <si>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</si>
  <si>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</si>
  <si>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</si>
  <si>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</si>
  <si>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</si>
  <si>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</si>
  <si>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</si>
  <si>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</si>
  <si>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</si>
  <si>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</si>
  <si>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</si>
  <si>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</si>
  <si>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</si>
  <si>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</si>
  <si>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</si>
  <si>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</si>
  <si>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</si>
  <si>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</si>
  <si>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</si>
  <si>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</si>
  <si>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</si>
  <si>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</si>
  <si>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</si>
  <si>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</si>
  <si>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</si>
  <si>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</si>
  <si>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</si>
  <si>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</si>
  <si>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</si>
  <si>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</si>
  <si>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</si>
  <si>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</si>
  <si>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</si>
  <si>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</si>
  <si>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</si>
  <si>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</si>
  <si>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</si>
  <si>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</si>
  <si>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</si>
  <si>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</si>
  <si>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</si>
  <si>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</si>
  <si>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</si>
  <si>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</si>
  <si>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</si>
  <si>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</si>
  <si>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</si>
  <si>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</si>
  <si>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</si>
  <si>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</si>
  <si>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</si>
  <si>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</si>
  <si>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</si>
  <si>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</si>
  <si>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</si>
  <si>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</si>
  <si>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</si>
  <si>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</si>
  <si>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</si>
  <si>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</si>
  <si>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</si>
  <si>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</si>
  <si>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</si>
  <si>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</si>
  <si>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</si>
  <si>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</si>
  <si>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</si>
  <si>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</si>
  <si>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</si>
  <si>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</si>
  <si>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</si>
  <si>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</si>
  <si>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</si>
  <si>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</si>
  <si>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</si>
  <si>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</si>
  <si>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</si>
  <si>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</si>
  <si>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</si>
  <si>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</si>
  <si>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</si>
  <si>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</si>
  <si>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</si>
  <si>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</si>
  <si>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</si>
  <si>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</si>
  <si>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</si>
  <si>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</si>
  <si>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</si>
  <si>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</si>
  <si>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</si>
  <si>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</si>
  <si>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</si>
  <si>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</si>
  <si>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</si>
  <si>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</si>
  <si>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</si>
  <si>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</si>
  <si>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</si>
  <si>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</si>
  <si>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</si>
  <si>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</si>
  <si>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</si>
  <si>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</si>
  <si>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</si>
  <si>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</si>
  <si>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</si>
  <si>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</si>
  <si>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</si>
  <si>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</si>
  <si>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</si>
  <si>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</si>
  <si>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</si>
  <si>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</si>
  <si>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</si>
  <si>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</si>
  <si>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</si>
  <si>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</si>
  <si>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</si>
  <si>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</si>
  <si>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</si>
  <si>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</si>
  <si>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</si>
  <si>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</si>
  <si>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</si>
  <si>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</si>
  <si>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</si>
  <si>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</si>
  <si>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</si>
  <si>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</si>
  <si>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</si>
  <si>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</si>
  <si>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</si>
  <si>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</si>
  <si>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</si>
  <si>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</si>
  <si>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</si>
  <si>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</si>
  <si>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</si>
  <si>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</si>
  <si>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</si>
  <si>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</si>
  <si>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</si>
  <si>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</si>
  <si>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</si>
  <si>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</si>
  <si>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</si>
  <si>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</si>
  <si>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</si>
  <si>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</si>
  <si>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</si>
  <si>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</si>
  <si>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</si>
  <si>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</si>
  <si>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</si>
  <si>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</si>
  <si>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</si>
  <si>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</si>
  <si>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</si>
  <si>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</si>
  <si>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</si>
  <si>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</si>
  <si>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</si>
  <si>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</si>
  <si>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</si>
  <si>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</si>
  <si>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</si>
  <si>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</si>
  <si>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</si>
  <si>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</si>
  <si>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</si>
  <si>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</si>
  <si>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</si>
  <si>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</si>
  <si>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</si>
  <si>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</si>
  <si>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</si>
  <si>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</si>
  <si>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</si>
  <si>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</si>
  <si>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</si>
  <si>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</si>
  <si>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</si>
  <si>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</si>
  <si>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</si>
  <si>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</si>
  <si>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</si>
  <si>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</si>
  <si>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</si>
  <si>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</si>
  <si>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</si>
  <si>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</si>
  <si>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</si>
  <si>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</si>
  <si>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</si>
  <si>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</si>
  <si>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</si>
  <si>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</si>
  <si>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</si>
  <si>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</si>
  <si>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</si>
  <si>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</si>
  <si>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</si>
  <si>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</si>
  <si>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</si>
  <si>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</si>
  <si>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</si>
  <si>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</si>
  <si>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</si>
  <si>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</si>
  <si>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</si>
  <si>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</si>
  <si>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</si>
  <si>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</si>
  <si>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</si>
  <si>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</si>
  <si>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</si>
  <si>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</si>
  <si>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</si>
  <si>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</si>
  <si>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</si>
  <si>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</si>
  <si>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</si>
  <si>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</si>
  <si>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</si>
  <si>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</si>
  <si>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</si>
  <si>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</si>
  <si>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</si>
  <si>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</si>
  <si>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</si>
  <si>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</si>
  <si>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</si>
  <si>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</si>
  <si>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</si>
  <si>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</si>
  <si>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</si>
  <si>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</si>
  <si>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</si>
  <si>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</si>
  <si>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</si>
  <si>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</si>
  <si>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</si>
  <si>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</si>
  <si>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</si>
  <si>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</si>
  <si>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</si>
  <si>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</si>
  <si>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</si>
  <si>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</si>
  <si>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</si>
  <si>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</si>
  <si>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</si>
  <si>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</si>
  <si>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</si>
  <si>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</si>
  <si>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</si>
  <si>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</si>
  <si>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</si>
  <si>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</si>
  <si>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</si>
  <si>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</si>
  <si>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</si>
  <si>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</si>
  <si>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</si>
  <si>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</si>
  <si>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</si>
  <si>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</si>
  <si>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</si>
  <si>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</si>
  <si>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</si>
  <si>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</si>
  <si>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</si>
  <si>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</si>
  <si>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</si>
  <si>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</si>
  <si>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</si>
  <si>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</si>
  <si>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</si>
  <si>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</si>
  <si>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</si>
  <si>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</si>
  <si>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</si>
  <si>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</si>
  <si>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</si>
  <si>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</si>
  <si>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</si>
  <si>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</si>
  <si>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</si>
  <si>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</si>
  <si>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</si>
  <si>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</si>
  <si>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</si>
  <si>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</si>
  <si>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</si>
  <si>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</si>
  <si>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</si>
  <si>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</si>
  <si>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</si>
  <si>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</si>
  <si>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</si>
  <si>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</si>
  <si>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</si>
  <si>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</si>
  <si>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</si>
  <si>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</si>
  <si>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</si>
  <si>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</si>
  <si>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</si>
  <si>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</si>
  <si>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</si>
  <si>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</si>
  <si>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</si>
  <si>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</si>
  <si>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</si>
  <si>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</si>
  <si>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</si>
  <si>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</si>
  <si>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</si>
  <si>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</si>
  <si>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</si>
  <si>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</si>
  <si>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</si>
  <si>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</si>
  <si>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</si>
  <si>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</si>
  <si>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</si>
  <si>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</si>
  <si>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</si>
  <si>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</si>
  <si>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</si>
  <si>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</si>
  <si>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</si>
  <si>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</si>
  <si>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</si>
  <si>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</si>
  <si>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</si>
  <si>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</si>
  <si>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</si>
  <si>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</si>
  <si>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</si>
  <si>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</si>
  <si>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</si>
  <si>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</si>
  <si>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</si>
  <si>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</si>
  <si>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</si>
  <si>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</si>
  <si>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</si>
  <si>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</si>
  <si>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</si>
  <si>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</si>
  <si>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</si>
  <si>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</si>
  <si>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</si>
  <si>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</si>
  <si>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</si>
  <si>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</si>
  <si>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</si>
  <si>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</si>
  <si>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</si>
  <si>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</si>
  <si>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</si>
  <si>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</si>
  <si>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</si>
  <si>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</si>
  <si>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</si>
  <si>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</si>
  <si>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</si>
  <si>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</si>
  <si>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</si>
  <si>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</si>
  <si>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</si>
  <si>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</si>
  <si>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</si>
  <si>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</si>
  <si>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</si>
  <si>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</si>
  <si>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</si>
  <si>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</si>
  <si>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</si>
  <si>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</si>
  <si>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</si>
  <si>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</si>
  <si>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</si>
  <si>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</si>
  <si>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</si>
  <si>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</si>
  <si>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</si>
  <si>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</si>
  <si>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</si>
  <si>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</si>
  <si>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</si>
  <si>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</si>
  <si>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</si>
  <si>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</si>
  <si>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</si>
  <si>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</si>
  <si>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</si>
  <si>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</si>
  <si>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</si>
  <si>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</si>
  <si>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</si>
  <si>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</si>
  <si>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</si>
  <si>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</si>
  <si>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</si>
  <si>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</si>
  <si>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</si>
  <si>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</si>
  <si>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</si>
  <si>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 xml:space="preserve">ENCARGADO DEPARTAMENTO DE RECURSOS HUMANOS  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</si>
  <si>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</si>
  <si>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</si>
  <si>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</si>
  <si>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</si>
  <si>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</si>
  <si>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</si>
  <si>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03 DE DICIEMBRE DEL 2025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</si>
  <si>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</si>
  <si>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</si>
  <si>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</si>
  <si>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</si>
  <si>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</si>
  <si>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</si>
  <si>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</si>
  <si>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</si>
  <si>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</si>
  <si>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</si>
  <si>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</si>
  <si>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</si>
  <si>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</si>
  <si>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</si>
  <si>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</si>
  <si>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</si>
  <si>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</si>
  <si>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</si>
  <si>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</si>
  <si>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</si>
  <si>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</si>
  <si>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</si>
  <si>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</si>
  <si>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</si>
  <si>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</si>
  <si>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</si>
  <si>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</si>
  <si>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</si>
  <si>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</si>
  <si>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</si>
  <si>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</si>
  <si>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</si>
  <si>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</si>
  <si>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</si>
  <si>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</si>
  <si>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</si>
  <si>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</si>
  <si>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</si>
  <si>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</si>
  <si>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</si>
  <si>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</si>
  <si>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</si>
  <si>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</si>
  <si>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</si>
  <si>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</si>
  <si>
    <t>Correspondiente al mes de noviembre del año 2025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</si>
  <si>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</si>
  <si>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</si>
  <si>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</si>
  <si>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</si>
  <si>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</si>
  <si>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</si>
  <si>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01 DE MARZO 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</si>
</sst>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2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7" fillId="0" borderId="32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43" fontId="0" fillId="0" borderId="0" xfId="3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2419894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349</xdr:row>
      <xdr:rowOff>139472</xdr:rowOff>
    </xdr:from>
    <xdr:to>
      <xdr:col>3</xdr:col>
      <xdr:colOff>1998983</xdr:colOff>
      <xdr:row>352</xdr:row>
      <xdr:rowOff>244203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271</xdr:row>
      <xdr:rowOff>181428</xdr:rowOff>
    </xdr:from>
    <xdr:to>
      <xdr:col>3</xdr:col>
      <xdr:colOff>2454709</xdr:colOff>
      <xdr:row>274</xdr:row>
      <xdr:rowOff>79332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126</xdr:row>
      <xdr:rowOff>216694</xdr:rowOff>
    </xdr:from>
    <xdr:to>
      <xdr:col>4</xdr:col>
      <xdr:colOff>2320317</xdr:colOff>
      <xdr:row>131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142332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890111</xdr:colOff>
      <xdr:row>20</xdr:row>
      <xdr:rowOff>51913</xdr:rowOff>
    </xdr:from>
    <xdr:to>
      <xdr:col>3</xdr:col>
      <xdr:colOff>2302219</xdr:colOff>
      <xdr:row>22</xdr:row>
      <xdr:rowOff>412870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0142" y="8552976"/>
          <a:ext cx="1408298" cy="13629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2412274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19</xdr:row>
      <xdr:rowOff>139472</xdr:rowOff>
    </xdr:from>
    <xdr:to>
      <xdr:col>3</xdr:col>
      <xdr:colOff>2006603</xdr:colOff>
      <xdr:row>22</xdr:row>
      <xdr:rowOff>238490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1000189"/>
  <sheetViews>
    <sheetView showGridLines="0" view="pageBreakPreview" zoomScale="40" zoomScaleNormal="85" zoomScaleSheetLayoutView="40" workbookViewId="0">
      <pane xSplit="4" ySplit="3" topLeftCell="E76" activePane="bottomRight" state="frozen"/>
      <selection pane="topRight" activeCell="E1" sqref="E1"/>
      <selection pane="bottomLeft" activeCell="A4" sqref="A4"/>
      <selection pane="bottomRight" activeCell="A3" sqref="A3:P3"/>
    </sheetView>
  </sheetViews>
  <sheetFormatPr baseColWidth="10" defaultColWidth="11.42578125" defaultRowHeight="35.1" customHeight="1" x14ac:dyDescent="0.2"/>
  <cols>
    <col min="1" max="1" width="7.1406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3.28515625" style="113" bestFit="1" customWidth="1"/>
    <col min="18" max="16384" width="11.42578125" style="113"/>
  </cols>
  <sheetData>
    <row r="1" spans="1:58" ht="26.25" customHeight="1" x14ac:dyDescent="0.2">
      <c r="A1" s="348" t="s">
        <v>336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</row>
    <row r="2" spans="1:58" ht="26.25" customHeight="1" x14ac:dyDescent="0.2">
      <c r="A2" s="349" t="s">
        <v>340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</row>
    <row r="3" spans="1:58" ht="21.75" customHeight="1" x14ac:dyDescent="0.2">
      <c r="A3" s="350" t="s">
        <v>667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</row>
    <row r="4" spans="1:58" ht="35.1" customHeight="1" thickBot="1" x14ac:dyDescent="0.25">
      <c r="A4" s="142"/>
      <c r="B4" s="142"/>
      <c r="C4" s="109"/>
      <c r="D4" s="147"/>
      <c r="E4" s="147"/>
      <c r="F4" s="109"/>
    </row>
    <row r="5" spans="1:58" ht="35.1" customHeight="1" thickBot="1" x14ac:dyDescent="0.25">
      <c r="A5" s="214" t="s">
        <v>447</v>
      </c>
      <c r="B5" s="215"/>
      <c r="C5" s="214"/>
      <c r="D5" s="215"/>
      <c r="E5" s="215"/>
      <c r="F5" s="216"/>
      <c r="G5" s="353" t="s">
        <v>99</v>
      </c>
      <c r="H5" s="354"/>
      <c r="I5" s="354"/>
      <c r="J5" s="355"/>
      <c r="K5" s="98"/>
      <c r="L5" s="153"/>
      <c r="M5" s="153"/>
      <c r="N5" s="153"/>
      <c r="O5" s="153"/>
      <c r="P5" s="153"/>
    </row>
    <row r="6" spans="1:58" s="217" customFormat="1" ht="35.1" customHeight="1" thickBot="1" x14ac:dyDescent="0.25">
      <c r="A6" s="19" t="s">
        <v>0</v>
      </c>
      <c r="B6" s="19" t="s">
        <v>302</v>
      </c>
      <c r="C6" s="19" t="s">
        <v>348</v>
      </c>
      <c r="D6" s="19" t="s">
        <v>362</v>
      </c>
      <c r="E6" s="19" t="s">
        <v>93</v>
      </c>
      <c r="F6" s="79" t="s">
        <v>102</v>
      </c>
      <c r="G6" s="80" t="s">
        <v>1</v>
      </c>
      <c r="H6" s="81" t="s">
        <v>2</v>
      </c>
      <c r="I6" s="84" t="s">
        <v>453</v>
      </c>
      <c r="J6" s="85" t="s">
        <v>454</v>
      </c>
      <c r="K6" s="82" t="s">
        <v>455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58" s="215" customFormat="1" ht="35.1" customHeight="1" thickBot="1" x14ac:dyDescent="0.25">
      <c r="A7" s="218" t="s">
        <v>205</v>
      </c>
      <c r="B7" s="219"/>
      <c r="C7" s="219"/>
      <c r="D7" s="219"/>
      <c r="E7" s="219"/>
      <c r="F7" s="219"/>
      <c r="G7" s="220"/>
      <c r="H7" s="220"/>
      <c r="I7" s="220"/>
      <c r="J7" s="220"/>
      <c r="K7" s="219"/>
      <c r="L7" s="219"/>
      <c r="M7" s="219"/>
      <c r="N7" s="219"/>
      <c r="O7" s="219"/>
      <c r="P7" s="221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</row>
    <row r="8" spans="1:58" s="228" customFormat="1" ht="35.1" customHeight="1" x14ac:dyDescent="0.2">
      <c r="A8" s="223">
        <v>1</v>
      </c>
      <c r="B8" s="224" t="s">
        <v>204</v>
      </c>
      <c r="C8" s="223" t="s">
        <v>346</v>
      </c>
      <c r="D8" s="224" t="s">
        <v>200</v>
      </c>
      <c r="E8" s="91" t="s">
        <v>363</v>
      </c>
      <c r="F8" s="225">
        <v>245000</v>
      </c>
      <c r="G8" s="225">
        <f t="shared" ref="G8:G17" si="0">F8*2.87%</f>
        <v>7031.5</v>
      </c>
      <c r="H8" s="226">
        <v>6589.1391999999996</v>
      </c>
      <c r="I8" s="225">
        <v>1715.46</v>
      </c>
      <c r="J8" s="225">
        <f t="shared" ref="J8:J17" si="1">+G8+H8+I8</f>
        <v>15336.099200000001</v>
      </c>
      <c r="K8" s="225">
        <f t="shared" ref="K8:K17" si="2">+F8-J8</f>
        <v>229663.9008</v>
      </c>
      <c r="L8" s="225">
        <f>+IF(K8*12&lt;=416220.01,0,IF(K8*12&lt;=624329.01,(((K8*12-416220.01)*0.15)/12),IF((K8*12&lt;=867123.01),(31216+0.2*(K8*12-624329.01))/12,((79776+0.25*(K8*12-867123.01))/12))))</f>
        <v>45998.912491666677</v>
      </c>
      <c r="M8" s="225"/>
      <c r="N8" s="227">
        <v>25</v>
      </c>
      <c r="O8" s="225">
        <f t="shared" ref="O8:O17" si="3">+N8+I8+H8+G8+L8</f>
        <v>61360.011691666674</v>
      </c>
      <c r="P8" s="227">
        <f t="shared" ref="P8:P17" si="4">+F8-O8</f>
        <v>183639.98830833333</v>
      </c>
    </row>
    <row r="9" spans="1:58" s="229" customFormat="1" ht="35.1" customHeight="1" x14ac:dyDescent="0.2">
      <c r="A9" s="73">
        <v>2</v>
      </c>
      <c r="B9" s="72" t="s">
        <v>201</v>
      </c>
      <c r="C9" s="73" t="s">
        <v>347</v>
      </c>
      <c r="D9" s="72" t="s">
        <v>85</v>
      </c>
      <c r="E9" s="91" t="s">
        <v>534</v>
      </c>
      <c r="F9" s="226">
        <v>140000</v>
      </c>
      <c r="G9" s="226">
        <f t="shared" si="0"/>
        <v>4018</v>
      </c>
      <c r="H9" s="226">
        <f t="shared" ref="H9:H17" si="5">+F9*3.04%</f>
        <v>4256</v>
      </c>
      <c r="I9" s="225">
        <v>1715.46</v>
      </c>
      <c r="J9" s="225">
        <f t="shared" si="1"/>
        <v>9989.4599999999991</v>
      </c>
      <c r="K9" s="225">
        <f t="shared" si="2"/>
        <v>130010.54000000001</v>
      </c>
      <c r="L9" s="225">
        <f t="shared" ref="L9:L17" si="6">+IF(K9*12&lt;=416220.01,0,IF(K9*12&lt;=624329.01,(((K9*12-416220.01)*0.15)/12),IF((K9*12&lt;=867123.01),(31216+0.2*(K9*12-624329.01))/12,((79776+0.25*(K9*12-867123.01))/12))))</f>
        <v>21085.572291666667</v>
      </c>
      <c r="M9" s="225"/>
      <c r="N9" s="231">
        <v>25</v>
      </c>
      <c r="O9" s="225">
        <f t="shared" si="3"/>
        <v>31100.032291666666</v>
      </c>
      <c r="P9" s="227">
        <f t="shared" si="4"/>
        <v>108899.96770833334</v>
      </c>
    </row>
    <row r="10" spans="1:58" s="229" customFormat="1" ht="35.1" customHeight="1" x14ac:dyDescent="0.2">
      <c r="A10" s="223">
        <f t="shared" ref="A10:A17" si="7">+A9+1</f>
        <v>3</v>
      </c>
      <c r="B10" s="224" t="s">
        <v>442</v>
      </c>
      <c r="C10" s="223" t="s">
        <v>347</v>
      </c>
      <c r="D10" s="232" t="s">
        <v>85</v>
      </c>
      <c r="E10" s="72" t="s">
        <v>534</v>
      </c>
      <c r="F10" s="225">
        <v>120000</v>
      </c>
      <c r="G10" s="225">
        <f t="shared" si="0"/>
        <v>3444</v>
      </c>
      <c r="H10" s="225">
        <f t="shared" si="5"/>
        <v>3648</v>
      </c>
      <c r="I10" s="225"/>
      <c r="J10" s="225">
        <f t="shared" si="1"/>
        <v>7092</v>
      </c>
      <c r="K10" s="225">
        <f t="shared" si="2"/>
        <v>112908</v>
      </c>
      <c r="L10" s="225">
        <f t="shared" si="6"/>
        <v>16809.937291666665</v>
      </c>
      <c r="M10" s="225"/>
      <c r="N10" s="231">
        <v>25</v>
      </c>
      <c r="O10" s="225">
        <f t="shared" si="3"/>
        <v>23926.937291666665</v>
      </c>
      <c r="P10" s="227">
        <f t="shared" si="4"/>
        <v>96073.062708333338</v>
      </c>
    </row>
    <row r="11" spans="1:58" s="229" customFormat="1" ht="35.1" customHeight="1" x14ac:dyDescent="0.2">
      <c r="A11" s="73">
        <v>4</v>
      </c>
      <c r="B11" s="224" t="s">
        <v>497</v>
      </c>
      <c r="C11" s="223" t="s">
        <v>347</v>
      </c>
      <c r="D11" s="230" t="s">
        <v>661</v>
      </c>
      <c r="E11" s="72" t="s">
        <v>534</v>
      </c>
      <c r="F11" s="225">
        <v>50000</v>
      </c>
      <c r="G11" s="225">
        <f>F11*2.87%</f>
        <v>1435</v>
      </c>
      <c r="H11" s="225">
        <f>+F11*3.04%</f>
        <v>1520</v>
      </c>
      <c r="I11" s="225"/>
      <c r="J11" s="225">
        <f>+G11+H11+I11</f>
        <v>2955</v>
      </c>
      <c r="K11" s="225">
        <f>+F11-J11</f>
        <v>47045</v>
      </c>
      <c r="L11" s="225">
        <f t="shared" si="6"/>
        <v>1853.9998749999997</v>
      </c>
      <c r="M11" s="225"/>
      <c r="N11" s="231">
        <v>225</v>
      </c>
      <c r="O11" s="225">
        <f t="shared" si="3"/>
        <v>5033.9998749999995</v>
      </c>
      <c r="P11" s="231">
        <f t="shared" si="4"/>
        <v>44966.000124999999</v>
      </c>
    </row>
    <row r="12" spans="1:58" s="229" customFormat="1" ht="35.1" customHeight="1" x14ac:dyDescent="0.2">
      <c r="A12" s="223">
        <f t="shared" si="7"/>
        <v>5</v>
      </c>
      <c r="B12" s="224" t="s">
        <v>202</v>
      </c>
      <c r="C12" s="223" t="s">
        <v>347</v>
      </c>
      <c r="D12" s="230" t="s">
        <v>70</v>
      </c>
      <c r="E12" s="72" t="s">
        <v>101</v>
      </c>
      <c r="F12" s="225">
        <v>41500</v>
      </c>
      <c r="G12" s="225">
        <f t="shared" si="0"/>
        <v>1191.05</v>
      </c>
      <c r="H12" s="225">
        <f t="shared" si="5"/>
        <v>1261.5999999999999</v>
      </c>
      <c r="I12" s="225"/>
      <c r="J12" s="225">
        <f t="shared" si="1"/>
        <v>2452.6499999999996</v>
      </c>
      <c r="K12" s="225">
        <f t="shared" si="2"/>
        <v>39047.35</v>
      </c>
      <c r="L12" s="225">
        <v>0</v>
      </c>
      <c r="M12" s="225"/>
      <c r="N12" s="231">
        <v>5286.61</v>
      </c>
      <c r="O12" s="225">
        <f t="shared" si="3"/>
        <v>7739.2599999999993</v>
      </c>
      <c r="P12" s="231">
        <f t="shared" si="4"/>
        <v>33760.74</v>
      </c>
    </row>
    <row r="13" spans="1:58" s="229" customFormat="1" ht="35.1" customHeight="1" x14ac:dyDescent="0.2">
      <c r="A13" s="73">
        <v>6</v>
      </c>
      <c r="B13" s="224" t="s">
        <v>203</v>
      </c>
      <c r="C13" s="223" t="s">
        <v>347</v>
      </c>
      <c r="D13" s="230" t="s">
        <v>70</v>
      </c>
      <c r="E13" s="72" t="s">
        <v>101</v>
      </c>
      <c r="F13" s="225">
        <v>41500</v>
      </c>
      <c r="G13" s="225">
        <f t="shared" si="0"/>
        <v>1191.05</v>
      </c>
      <c r="H13" s="225">
        <f t="shared" si="5"/>
        <v>1261.5999999999999</v>
      </c>
      <c r="I13" s="225"/>
      <c r="J13" s="225">
        <f t="shared" si="1"/>
        <v>2452.6499999999996</v>
      </c>
      <c r="K13" s="225">
        <f t="shared" si="2"/>
        <v>39047.35</v>
      </c>
      <c r="L13" s="225">
        <v>0</v>
      </c>
      <c r="M13" s="225"/>
      <c r="N13" s="231">
        <v>12872.19</v>
      </c>
      <c r="O13" s="225">
        <f t="shared" si="3"/>
        <v>15324.84</v>
      </c>
      <c r="P13" s="231">
        <f t="shared" si="4"/>
        <v>26175.16</v>
      </c>
    </row>
    <row r="14" spans="1:58" s="229" customFormat="1" ht="35.1" customHeight="1" x14ac:dyDescent="0.2">
      <c r="A14" s="223">
        <f t="shared" si="7"/>
        <v>7</v>
      </c>
      <c r="B14" s="224" t="s">
        <v>458</v>
      </c>
      <c r="C14" s="223" t="s">
        <v>347</v>
      </c>
      <c r="D14" s="230" t="s">
        <v>70</v>
      </c>
      <c r="E14" s="72" t="s">
        <v>100</v>
      </c>
      <c r="F14" s="225">
        <v>41500</v>
      </c>
      <c r="G14" s="225">
        <f t="shared" si="0"/>
        <v>1191.05</v>
      </c>
      <c r="H14" s="225">
        <f t="shared" si="5"/>
        <v>1261.5999999999999</v>
      </c>
      <c r="I14" s="225"/>
      <c r="J14" s="225">
        <f t="shared" si="1"/>
        <v>2452.6499999999996</v>
      </c>
      <c r="K14" s="225">
        <f t="shared" si="2"/>
        <v>39047.35</v>
      </c>
      <c r="L14" s="225">
        <f t="shared" si="6"/>
        <v>654.35237499999926</v>
      </c>
      <c r="M14" s="225"/>
      <c r="N14" s="231">
        <v>3225</v>
      </c>
      <c r="O14" s="225">
        <f t="shared" si="3"/>
        <v>6332.002375</v>
      </c>
      <c r="P14" s="231">
        <f t="shared" si="4"/>
        <v>35167.997625000004</v>
      </c>
    </row>
    <row r="15" spans="1:58" s="229" customFormat="1" ht="35.1" customHeight="1" x14ac:dyDescent="0.2">
      <c r="A15" s="223">
        <f t="shared" si="7"/>
        <v>8</v>
      </c>
      <c r="B15" s="224" t="s">
        <v>181</v>
      </c>
      <c r="C15" s="223" t="s">
        <v>347</v>
      </c>
      <c r="D15" s="230" t="s">
        <v>70</v>
      </c>
      <c r="E15" s="72" t="s">
        <v>100</v>
      </c>
      <c r="F15" s="225">
        <v>38000</v>
      </c>
      <c r="G15" s="225">
        <f t="shared" si="0"/>
        <v>1090.5999999999999</v>
      </c>
      <c r="H15" s="225">
        <f t="shared" si="5"/>
        <v>1155.2</v>
      </c>
      <c r="I15" s="225"/>
      <c r="J15" s="225">
        <f t="shared" si="1"/>
        <v>2245.8000000000002</v>
      </c>
      <c r="K15" s="225">
        <f t="shared" si="2"/>
        <v>35754.199999999997</v>
      </c>
      <c r="L15" s="225">
        <v>0</v>
      </c>
      <c r="M15" s="225"/>
      <c r="N15" s="231">
        <v>8225</v>
      </c>
      <c r="O15" s="225">
        <f t="shared" si="3"/>
        <v>10470.800000000001</v>
      </c>
      <c r="P15" s="231">
        <f t="shared" si="4"/>
        <v>27529.199999999997</v>
      </c>
    </row>
    <row r="16" spans="1:58" s="229" customFormat="1" ht="35.1" customHeight="1" x14ac:dyDescent="0.2">
      <c r="A16" s="223">
        <f t="shared" si="7"/>
        <v>9</v>
      </c>
      <c r="B16" s="224" t="s">
        <v>650</v>
      </c>
      <c r="C16" s="223" t="s">
        <v>347</v>
      </c>
      <c r="D16" s="230" t="s">
        <v>70</v>
      </c>
      <c r="E16" s="72" t="s">
        <v>100</v>
      </c>
      <c r="F16" s="225">
        <v>38000</v>
      </c>
      <c r="G16" s="225">
        <f t="shared" si="0"/>
        <v>1090.5999999999999</v>
      </c>
      <c r="H16" s="225">
        <f t="shared" si="5"/>
        <v>1155.2</v>
      </c>
      <c r="I16" s="225"/>
      <c r="J16" s="225">
        <f t="shared" si="1"/>
        <v>2245.8000000000002</v>
      </c>
      <c r="K16" s="225">
        <f t="shared" si="2"/>
        <v>35754.199999999997</v>
      </c>
      <c r="L16" s="225">
        <f t="shared" si="6"/>
        <v>160.37987499999943</v>
      </c>
      <c r="M16" s="225"/>
      <c r="N16" s="231">
        <v>1225</v>
      </c>
      <c r="O16" s="225">
        <f t="shared" si="3"/>
        <v>3631.1798749999994</v>
      </c>
      <c r="P16" s="231">
        <f t="shared" si="4"/>
        <v>34368.820124999998</v>
      </c>
    </row>
    <row r="17" spans="1:17" s="229" customFormat="1" ht="35.1" customHeight="1" x14ac:dyDescent="0.2">
      <c r="A17" s="223">
        <f t="shared" si="7"/>
        <v>10</v>
      </c>
      <c r="B17" s="224" t="s">
        <v>651</v>
      </c>
      <c r="C17" s="223" t="s">
        <v>347</v>
      </c>
      <c r="D17" s="230" t="s">
        <v>70</v>
      </c>
      <c r="E17" s="72" t="s">
        <v>100</v>
      </c>
      <c r="F17" s="225">
        <v>38000</v>
      </c>
      <c r="G17" s="225">
        <f t="shared" si="0"/>
        <v>1090.5999999999999</v>
      </c>
      <c r="H17" s="225">
        <f t="shared" si="5"/>
        <v>1155.2</v>
      </c>
      <c r="I17" s="225"/>
      <c r="J17" s="225">
        <f t="shared" si="1"/>
        <v>2245.8000000000002</v>
      </c>
      <c r="K17" s="225">
        <f t="shared" si="2"/>
        <v>35754.199999999997</v>
      </c>
      <c r="L17" s="225">
        <f t="shared" si="6"/>
        <v>160.37987499999943</v>
      </c>
      <c r="M17" s="225"/>
      <c r="N17" s="231">
        <v>16155</v>
      </c>
      <c r="O17" s="225">
        <f t="shared" si="3"/>
        <v>18561.179874999998</v>
      </c>
      <c r="P17" s="231">
        <f t="shared" si="4"/>
        <v>19438.820125000002</v>
      </c>
    </row>
    <row r="18" spans="1:17" s="229" customFormat="1" ht="35.1" customHeight="1" x14ac:dyDescent="0.2">
      <c r="A18" s="233" t="s">
        <v>103</v>
      </c>
      <c r="B18" s="234"/>
      <c r="C18" s="234"/>
      <c r="D18" s="234"/>
      <c r="E18" s="234"/>
      <c r="F18" s="235">
        <f t="shared" ref="F18:P18" si="8">SUM(F8:F17)</f>
        <v>793500</v>
      </c>
      <c r="G18" s="235">
        <f t="shared" si="8"/>
        <v>22773.449999999993</v>
      </c>
      <c r="H18" s="235">
        <f t="shared" si="8"/>
        <v>23263.539199999999</v>
      </c>
      <c r="I18" s="235">
        <f t="shared" si="8"/>
        <v>3430.92</v>
      </c>
      <c r="J18" s="235">
        <f t="shared" si="8"/>
        <v>49467.909200000016</v>
      </c>
      <c r="K18" s="235">
        <f t="shared" si="8"/>
        <v>744032.09079999977</v>
      </c>
      <c r="L18" s="235">
        <f t="shared" si="8"/>
        <v>86723.534075000003</v>
      </c>
      <c r="M18" s="235">
        <f t="shared" si="8"/>
        <v>0</v>
      </c>
      <c r="N18" s="235">
        <f t="shared" si="8"/>
        <v>47288.800000000003</v>
      </c>
      <c r="O18" s="235">
        <f t="shared" si="8"/>
        <v>183480.24327499999</v>
      </c>
      <c r="P18" s="235">
        <f t="shared" si="8"/>
        <v>610019.75672499987</v>
      </c>
      <c r="Q18" s="336"/>
    </row>
    <row r="19" spans="1:17" s="229" customFormat="1" ht="35.1" customHeight="1" thickBot="1" x14ac:dyDescent="0.25">
      <c r="A19" s="237"/>
      <c r="B19" s="151"/>
      <c r="C19" s="212"/>
      <c r="D19" s="238"/>
      <c r="E19" s="238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7" s="229" customFormat="1" ht="35.1" customHeight="1" thickBot="1" x14ac:dyDescent="0.25">
      <c r="A20" s="239" t="s">
        <v>126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1"/>
    </row>
    <row r="21" spans="1:17" s="236" customFormat="1" ht="35.1" customHeight="1" x14ac:dyDescent="0.2">
      <c r="A21" s="73">
        <f>+A17+1</f>
        <v>11</v>
      </c>
      <c r="B21" s="224" t="s">
        <v>156</v>
      </c>
      <c r="C21" s="223" t="s">
        <v>347</v>
      </c>
      <c r="D21" s="230" t="s">
        <v>87</v>
      </c>
      <c r="E21" s="72" t="s">
        <v>101</v>
      </c>
      <c r="F21" s="225">
        <v>230000</v>
      </c>
      <c r="G21" s="225">
        <f>F21*2.87%</f>
        <v>6601</v>
      </c>
      <c r="H21" s="225">
        <v>6589.1391999999996</v>
      </c>
      <c r="I21" s="69">
        <v>1715.46</v>
      </c>
      <c r="J21" s="69">
        <f>+G21+H21+I21</f>
        <v>14905.599200000001</v>
      </c>
      <c r="K21" s="69">
        <f>+F21-J21</f>
        <v>215094.4008</v>
      </c>
      <c r="L21" s="69">
        <f>+IF(K21*12&lt;=416220.01,0,IF(K21*12&lt;=624329.01,(((K21*12-416220.01)*0.15)/12),IF((K21*12&lt;=867123.01),(31216+0.2*(K21*12-624329.01))/12,((79776+0.25*(K21*12-867123.01))/12))))</f>
        <v>42356.53749166667</v>
      </c>
      <c r="M21" s="69"/>
      <c r="N21" s="231">
        <v>25</v>
      </c>
      <c r="O21" s="225">
        <f>+N21+I21+H21+G21+L21</f>
        <v>57287.136691666674</v>
      </c>
      <c r="P21" s="227">
        <f>+F21-O21</f>
        <v>172712.86330833333</v>
      </c>
    </row>
    <row r="22" spans="1:17" s="216" customFormat="1" ht="35.1" customHeight="1" x14ac:dyDescent="0.2">
      <c r="A22" s="73">
        <f>+A21+1</f>
        <v>12</v>
      </c>
      <c r="B22" s="72" t="s">
        <v>40</v>
      </c>
      <c r="C22" s="73" t="s">
        <v>347</v>
      </c>
      <c r="D22" s="243" t="s">
        <v>593</v>
      </c>
      <c r="E22" s="72" t="s">
        <v>101</v>
      </c>
      <c r="F22" s="226">
        <v>120000</v>
      </c>
      <c r="G22" s="226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>+IF(K22*12&lt;=416220.01,0,IF(K22*12&lt;=624329.01,(((K22*12-416220.01)*0.15)/12),IF((K22*12&lt;=867123.01),(31216+0.2*(K22*12-624329.01))/12,((79776+0.25*(K22*12-867123.01))/12))))</f>
        <v>16809.937291666665</v>
      </c>
      <c r="M22" s="69"/>
      <c r="N22" s="231">
        <v>2225</v>
      </c>
      <c r="O22" s="225">
        <f>+N22+I22+H22+G22+L22</f>
        <v>26126.937291666665</v>
      </c>
      <c r="P22" s="87">
        <f>+F22-O22</f>
        <v>93873.062708333338</v>
      </c>
    </row>
    <row r="23" spans="1:17" s="242" customFormat="1" ht="35.1" customHeight="1" x14ac:dyDescent="0.2">
      <c r="A23" s="73">
        <f>+A22+1</f>
        <v>13</v>
      </c>
      <c r="B23" s="72" t="s">
        <v>55</v>
      </c>
      <c r="C23" s="73" t="s">
        <v>347</v>
      </c>
      <c r="D23" s="243" t="s">
        <v>593</v>
      </c>
      <c r="E23" s="72" t="s">
        <v>100</v>
      </c>
      <c r="F23" s="226">
        <v>110000</v>
      </c>
      <c r="G23" s="226">
        <f>F23*2.87%</f>
        <v>3157</v>
      </c>
      <c r="H23" s="226">
        <f>+F23*3.04%</f>
        <v>3344</v>
      </c>
      <c r="I23" s="226"/>
      <c r="J23" s="69">
        <f>+G23+H23+I23</f>
        <v>6501</v>
      </c>
      <c r="K23" s="69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69"/>
      <c r="N23" s="231">
        <v>1265</v>
      </c>
      <c r="O23" s="225">
        <f>+N23+I23+H23+G23+L23</f>
        <v>22223.687291666669</v>
      </c>
      <c r="P23" s="227">
        <f>+F23-O23</f>
        <v>87776.312708333338</v>
      </c>
    </row>
    <row r="24" spans="1:17" s="152" customFormat="1" ht="35.1" customHeight="1" x14ac:dyDescent="0.2">
      <c r="A24" s="223">
        <f>+A23+1</f>
        <v>14</v>
      </c>
      <c r="B24" s="264" t="s">
        <v>228</v>
      </c>
      <c r="C24" s="265" t="s">
        <v>347</v>
      </c>
      <c r="D24" s="243" t="s">
        <v>593</v>
      </c>
      <c r="E24" s="72" t="s">
        <v>100</v>
      </c>
      <c r="F24" s="266">
        <v>110000</v>
      </c>
      <c r="G24" s="226">
        <f>F24*2.87%</f>
        <v>3157</v>
      </c>
      <c r="H24" s="226">
        <f>+F24*3.04%</f>
        <v>3344</v>
      </c>
      <c r="I24" s="226">
        <v>0</v>
      </c>
      <c r="J24" s="225">
        <f>+G24+H24+I24</f>
        <v>6501</v>
      </c>
      <c r="K24" s="225">
        <f>+F24-J24</f>
        <v>103499</v>
      </c>
      <c r="L24" s="69">
        <f>+IF(K24*12&lt;=416220.01,0,IF(K24*12&lt;=624329.01,(((K24*12-416220.01)*0.15)/12),IF((K24*12&lt;=867123.01),(31216+0.2*(K24*12-624329.01))/12,((79776+0.25*(K24*12-867123.01))/12))))</f>
        <v>14457.687291666667</v>
      </c>
      <c r="M24" s="225"/>
      <c r="N24" s="244">
        <v>25</v>
      </c>
      <c r="O24" s="225">
        <f>+N24+I24+H24+G24+L24</f>
        <v>20983.687291666669</v>
      </c>
      <c r="P24" s="227">
        <f>+F24-O24</f>
        <v>89016.312708333338</v>
      </c>
    </row>
    <row r="25" spans="1:17" s="152" customFormat="1" ht="35.1" customHeight="1" x14ac:dyDescent="0.2">
      <c r="A25" s="223">
        <f>+A24+1</f>
        <v>15</v>
      </c>
      <c r="B25" s="224" t="s">
        <v>418</v>
      </c>
      <c r="C25" s="223" t="s">
        <v>347</v>
      </c>
      <c r="D25" s="243" t="s">
        <v>612</v>
      </c>
      <c r="E25" s="72" t="s">
        <v>101</v>
      </c>
      <c r="F25" s="225">
        <v>90000</v>
      </c>
      <c r="G25" s="225">
        <f>F25*2.87%</f>
        <v>2583</v>
      </c>
      <c r="H25" s="225">
        <f>F25*3.04%</f>
        <v>2736</v>
      </c>
      <c r="I25" s="69">
        <v>0</v>
      </c>
      <c r="J25" s="69">
        <f>+G25+H25+I25</f>
        <v>5319</v>
      </c>
      <c r="K25" s="69">
        <f>+F25-J25</f>
        <v>84681</v>
      </c>
      <c r="L25" s="69">
        <f>+IF(K25*12&lt;=416220.01,0,IF(K25*12&lt;=624329.01,(((K25*12-416220.01)*0.15)/12),IF((K25*12&lt;=867123.01),(31216+0.2*(K25*12-624329.01))/12,((79776+0.25*(K25*12-867123.01))/12))))</f>
        <v>9753.1872916666671</v>
      </c>
      <c r="M25" s="69"/>
      <c r="N25" s="231">
        <v>25</v>
      </c>
      <c r="O25" s="225">
        <f>+N25+I25+H25+G25+L25</f>
        <v>15097.187291666667</v>
      </c>
      <c r="P25" s="227">
        <f>+F25-O25</f>
        <v>74902.812708333338</v>
      </c>
    </row>
    <row r="26" spans="1:17" s="236" customFormat="1" ht="35.1" customHeight="1" x14ac:dyDescent="0.2">
      <c r="A26" s="233" t="s">
        <v>103</v>
      </c>
      <c r="B26" s="234"/>
      <c r="C26" s="234"/>
      <c r="D26" s="234"/>
      <c r="E26" s="234"/>
      <c r="F26" s="235">
        <f t="shared" ref="F26:L26" si="9">SUM(F21:F25)</f>
        <v>660000</v>
      </c>
      <c r="G26" s="235">
        <f t="shared" si="9"/>
        <v>18942</v>
      </c>
      <c r="H26" s="235">
        <f t="shared" si="9"/>
        <v>19661.139199999998</v>
      </c>
      <c r="I26" s="235">
        <f t="shared" si="9"/>
        <v>1715.46</v>
      </c>
      <c r="J26" s="235">
        <f t="shared" si="9"/>
        <v>40318.599199999997</v>
      </c>
      <c r="K26" s="235">
        <f t="shared" si="9"/>
        <v>619681.40079999994</v>
      </c>
      <c r="L26" s="235">
        <f t="shared" si="9"/>
        <v>97835.036658333323</v>
      </c>
      <c r="M26" s="235"/>
      <c r="N26" s="235">
        <f>SUM(N21:N25)</f>
        <v>3565</v>
      </c>
      <c r="O26" s="235">
        <f>SUM(O21:O25)</f>
        <v>141718.63585833332</v>
      </c>
      <c r="P26" s="235">
        <f>SUM(P21:P25)</f>
        <v>518281.3641416668</v>
      </c>
      <c r="Q26" s="337"/>
    </row>
    <row r="27" spans="1:17" s="216" customFormat="1" ht="35.1" customHeight="1" thickBot="1" x14ac:dyDescent="0.25">
      <c r="A27" s="237"/>
      <c r="B27" s="151"/>
      <c r="C27" s="212"/>
      <c r="D27" s="238"/>
      <c r="E27" s="238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</row>
    <row r="28" spans="1:17" s="215" customFormat="1" ht="35.1" customHeight="1" thickBot="1" x14ac:dyDescent="0.25">
      <c r="A28" s="239" t="s">
        <v>152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</row>
    <row r="29" spans="1:17" s="236" customFormat="1" ht="35.1" customHeight="1" x14ac:dyDescent="0.2">
      <c r="A29" s="73">
        <f>+A25+1</f>
        <v>16</v>
      </c>
      <c r="B29" s="72" t="s">
        <v>116</v>
      </c>
      <c r="C29" s="73" t="s">
        <v>347</v>
      </c>
      <c r="D29" s="243" t="s">
        <v>375</v>
      </c>
      <c r="E29" s="72" t="s">
        <v>100</v>
      </c>
      <c r="F29" s="226">
        <v>170500</v>
      </c>
      <c r="G29" s="226">
        <f>F29*2.87%</f>
        <v>4893.3500000000004</v>
      </c>
      <c r="H29" s="225">
        <f>+F29*3.04%</f>
        <v>5183.2</v>
      </c>
      <c r="I29" s="225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31">
        <v>15594.92</v>
      </c>
      <c r="O29" s="225">
        <f>+N29+I29+H29+G29+L29</f>
        <v>54360.269791666666</v>
      </c>
      <c r="P29" s="227">
        <f>+F29-O29</f>
        <v>116139.73020833333</v>
      </c>
    </row>
    <row r="30" spans="1:17" s="236" customFormat="1" ht="35.1" customHeight="1" x14ac:dyDescent="0.2">
      <c r="A30" s="233" t="s">
        <v>103</v>
      </c>
      <c r="B30" s="234"/>
      <c r="C30" s="234"/>
      <c r="D30" s="234"/>
      <c r="E30" s="234"/>
      <c r="F30" s="235">
        <f t="shared" ref="F30:L30" si="10">SUM(F29)</f>
        <v>170500</v>
      </c>
      <c r="G30" s="235">
        <f t="shared" si="10"/>
        <v>4893.3500000000004</v>
      </c>
      <c r="H30" s="235">
        <f t="shared" si="10"/>
        <v>5183.2</v>
      </c>
      <c r="I30" s="235">
        <f t="shared" si="10"/>
        <v>0</v>
      </c>
      <c r="J30" s="235">
        <f t="shared" si="10"/>
        <v>10076.549999999999</v>
      </c>
      <c r="K30" s="235">
        <f t="shared" si="10"/>
        <v>160423.45000000001</v>
      </c>
      <c r="L30" s="235">
        <f t="shared" si="10"/>
        <v>28688.799791666668</v>
      </c>
      <c r="M30" s="235"/>
      <c r="N30" s="235">
        <f>SUM(N29)</f>
        <v>15594.92</v>
      </c>
      <c r="O30" s="235">
        <f>SUM(O29)</f>
        <v>54360.269791666666</v>
      </c>
      <c r="P30" s="235">
        <f>SUM(P29)</f>
        <v>116139.73020833333</v>
      </c>
      <c r="Q30" s="337"/>
    </row>
    <row r="31" spans="1:17" s="216" customFormat="1" ht="35.1" customHeight="1" thickBot="1" x14ac:dyDescent="0.25">
      <c r="A31" s="237"/>
      <c r="B31" s="151"/>
      <c r="C31" s="212"/>
      <c r="D31" s="238"/>
      <c r="E31" s="238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</row>
    <row r="32" spans="1:17" s="242" customFormat="1" ht="35.1" customHeight="1" thickBot="1" x14ac:dyDescent="0.25">
      <c r="A32" s="239" t="s">
        <v>127</v>
      </c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</row>
    <row r="33" spans="1:17" s="152" customFormat="1" ht="35.1" customHeight="1" x14ac:dyDescent="0.2">
      <c r="A33" s="73">
        <f>+A29+1</f>
        <v>17</v>
      </c>
      <c r="B33" s="72" t="s">
        <v>36</v>
      </c>
      <c r="C33" s="73" t="s">
        <v>347</v>
      </c>
      <c r="D33" s="243" t="s">
        <v>612</v>
      </c>
      <c r="E33" s="72" t="s">
        <v>101</v>
      </c>
      <c r="F33" s="226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4">
        <v>4725</v>
      </c>
      <c r="O33" s="225">
        <f>+N33+I33+H33+G33+L33</f>
        <v>23329.08729166667</v>
      </c>
      <c r="P33" s="87">
        <f>+F33-O33</f>
        <v>78670.91270833333</v>
      </c>
    </row>
    <row r="34" spans="1:17" s="246" customFormat="1" ht="35.1" customHeight="1" x14ac:dyDescent="0.2">
      <c r="A34" s="233" t="s">
        <v>103</v>
      </c>
      <c r="B34" s="234"/>
      <c r="C34" s="234"/>
      <c r="D34" s="234"/>
      <c r="E34" s="250"/>
      <c r="F34" s="235">
        <f t="shared" ref="F34:P34" si="11">+F33</f>
        <v>102000</v>
      </c>
      <c r="G34" s="235">
        <f t="shared" si="11"/>
        <v>2927.4</v>
      </c>
      <c r="H34" s="235">
        <f t="shared" si="11"/>
        <v>3100.8</v>
      </c>
      <c r="I34" s="235">
        <f t="shared" si="11"/>
        <v>0</v>
      </c>
      <c r="J34" s="235">
        <f t="shared" si="11"/>
        <v>6028.2000000000007</v>
      </c>
      <c r="K34" s="235">
        <f t="shared" si="11"/>
        <v>95971.8</v>
      </c>
      <c r="L34" s="235">
        <f t="shared" si="11"/>
        <v>12575.887291666668</v>
      </c>
      <c r="M34" s="235">
        <f t="shared" si="11"/>
        <v>0</v>
      </c>
      <c r="N34" s="235">
        <f t="shared" si="11"/>
        <v>4725</v>
      </c>
      <c r="O34" s="235">
        <f t="shared" si="11"/>
        <v>23329.08729166667</v>
      </c>
      <c r="P34" s="235">
        <f t="shared" si="11"/>
        <v>78670.91270833333</v>
      </c>
      <c r="Q34" s="338"/>
    </row>
    <row r="35" spans="1:17" s="152" customFormat="1" ht="35.1" customHeight="1" thickBot="1" x14ac:dyDescent="0.25">
      <c r="A35" s="150"/>
      <c r="B35" s="150"/>
      <c r="C35" s="150"/>
      <c r="D35" s="150"/>
      <c r="E35" s="150"/>
      <c r="F35" s="236"/>
      <c r="G35" s="236"/>
      <c r="H35" s="236"/>
      <c r="I35" s="101"/>
      <c r="J35" s="101"/>
      <c r="K35" s="101"/>
      <c r="L35" s="101"/>
      <c r="M35" s="101"/>
      <c r="N35" s="101"/>
      <c r="O35" s="101"/>
      <c r="P35" s="101"/>
    </row>
    <row r="36" spans="1:17" s="152" customFormat="1" ht="35.1" customHeight="1" thickBot="1" x14ac:dyDescent="0.25">
      <c r="A36" s="239" t="s">
        <v>128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</row>
    <row r="37" spans="1:17" s="153" customFormat="1" ht="46.5" customHeight="1" x14ac:dyDescent="0.2">
      <c r="A37" s="223">
        <f>+A33+1</f>
        <v>18</v>
      </c>
      <c r="B37" s="224" t="s">
        <v>41</v>
      </c>
      <c r="C37" s="223" t="s">
        <v>347</v>
      </c>
      <c r="D37" s="230" t="s">
        <v>612</v>
      </c>
      <c r="E37" s="72" t="s">
        <v>101</v>
      </c>
      <c r="F37" s="225">
        <v>110000</v>
      </c>
      <c r="G37" s="226">
        <f>F37*2.87%</f>
        <v>3157</v>
      </c>
      <c r="H37" s="226">
        <f>+F37*3.04%</f>
        <v>3344</v>
      </c>
      <c r="I37" s="226">
        <v>0</v>
      </c>
      <c r="J37" s="225">
        <f>+G37+H37+I37</f>
        <v>6501</v>
      </c>
      <c r="K37" s="225">
        <f>+F37-J37</f>
        <v>103499</v>
      </c>
      <c r="L37" s="69">
        <f>+IF(K37*12&lt;=416220.01,0,IF(K37*12&lt;=624329.01,(((K37*12-416220.01)*0.15)/12),IF((K37*12&lt;=867123.01),(31216+0.2*(K37*12-624329.01))/12,((79776+0.25*(K37*12-867123.01))/12))))</f>
        <v>14457.687291666667</v>
      </c>
      <c r="M37" s="225"/>
      <c r="N37" s="231">
        <v>1265</v>
      </c>
      <c r="O37" s="225">
        <f>+N37+I37+H37+G37+L37</f>
        <v>22223.687291666669</v>
      </c>
      <c r="P37" s="227">
        <f>+F37-O37</f>
        <v>87776.312708333338</v>
      </c>
    </row>
    <row r="38" spans="1:17" s="152" customFormat="1" ht="35.1" customHeight="1" x14ac:dyDescent="0.2">
      <c r="A38" s="223">
        <f>+A37+1</f>
        <v>19</v>
      </c>
      <c r="B38" s="224" t="s">
        <v>207</v>
      </c>
      <c r="C38" s="223" t="s">
        <v>347</v>
      </c>
      <c r="D38" s="230" t="s">
        <v>612</v>
      </c>
      <c r="E38" s="72" t="s">
        <v>100</v>
      </c>
      <c r="F38" s="225">
        <v>95000</v>
      </c>
      <c r="G38" s="226">
        <f>F38*2.87%</f>
        <v>2726.5</v>
      </c>
      <c r="H38" s="226">
        <f>+F38*3.04%</f>
        <v>2888</v>
      </c>
      <c r="I38" s="226"/>
      <c r="J38" s="225">
        <f>+G38+H38+I38</f>
        <v>5614.5</v>
      </c>
      <c r="K38" s="225">
        <f>+F38-J38</f>
        <v>89385.5</v>
      </c>
      <c r="L38" s="69">
        <f>+IF(K38*12&lt;=416220.01,0,IF(K38*12&lt;=624329.01,(((K38*12-416220.01)*0.15)/12),IF((K38*12&lt;=867123.01),(31216+0.2*(K38*12-624329.01))/12,((79776+0.25*(K38*12-867123.01))/12))))</f>
        <v>10929.312291666667</v>
      </c>
      <c r="M38" s="225"/>
      <c r="N38" s="231">
        <v>225</v>
      </c>
      <c r="O38" s="225">
        <f>+N38+I38+H38+G38+L38</f>
        <v>16768.812291666669</v>
      </c>
      <c r="P38" s="227">
        <f>+F38-O38</f>
        <v>78231.187708333338</v>
      </c>
    </row>
    <row r="39" spans="1:17" s="246" customFormat="1" ht="35.1" customHeight="1" x14ac:dyDescent="0.2">
      <c r="A39" s="223">
        <f>+A38+1</f>
        <v>20</v>
      </c>
      <c r="B39" s="224" t="s">
        <v>374</v>
      </c>
      <c r="C39" s="223" t="s">
        <v>346</v>
      </c>
      <c r="D39" s="230" t="s">
        <v>605</v>
      </c>
      <c r="E39" s="72" t="s">
        <v>101</v>
      </c>
      <c r="F39" s="225">
        <v>85000</v>
      </c>
      <c r="G39" s="226">
        <f>F39*2.87%</f>
        <v>2439.5</v>
      </c>
      <c r="H39" s="226">
        <f>+F39*3.04%</f>
        <v>2584</v>
      </c>
      <c r="I39" s="226"/>
      <c r="J39" s="225">
        <f>+G39+H39+I39</f>
        <v>5023.5</v>
      </c>
      <c r="K39" s="225">
        <f>+F39-J39</f>
        <v>79976.5</v>
      </c>
      <c r="L39" s="69">
        <f>+IF(K39*12&lt;=416220.01,0,IF(K39*12&lt;=624329.01,(((K39*12-416220.01)*0.15)/12),IF((K39*12&lt;=867123.01),(31216+0.2*(K39*12-624329.01))/12,((79776+0.25*(K39*12-867123.01))/12))))</f>
        <v>8577.0622916666671</v>
      </c>
      <c r="M39" s="225"/>
      <c r="N39" s="231">
        <v>11446.089999999997</v>
      </c>
      <c r="O39" s="225">
        <f>+N39+I39+H39+G39+L39</f>
        <v>25046.652291666665</v>
      </c>
      <c r="P39" s="227">
        <f>F39-O39</f>
        <v>59953.347708333335</v>
      </c>
    </row>
    <row r="40" spans="1:17" s="251" customFormat="1" ht="35.1" customHeight="1" thickBot="1" x14ac:dyDescent="0.25">
      <c r="A40" s="233" t="s">
        <v>103</v>
      </c>
      <c r="B40" s="234"/>
      <c r="C40" s="234"/>
      <c r="D40" s="234"/>
      <c r="E40" s="250"/>
      <c r="F40" s="235">
        <f t="shared" ref="F40:L40" si="12">SUM(F37:F39)</f>
        <v>290000</v>
      </c>
      <c r="G40" s="235">
        <f t="shared" si="12"/>
        <v>8323</v>
      </c>
      <c r="H40" s="235">
        <f t="shared" si="12"/>
        <v>8816</v>
      </c>
      <c r="I40" s="235">
        <f t="shared" si="12"/>
        <v>0</v>
      </c>
      <c r="J40" s="235">
        <f t="shared" si="12"/>
        <v>17139</v>
      </c>
      <c r="K40" s="235">
        <f t="shared" si="12"/>
        <v>272861</v>
      </c>
      <c r="L40" s="235">
        <f t="shared" si="12"/>
        <v>33964.061874999999</v>
      </c>
      <c r="M40" s="235"/>
      <c r="N40" s="235">
        <f>SUM(N37:N39)</f>
        <v>12936.089999999997</v>
      </c>
      <c r="O40" s="235">
        <f>SUM(O37:O39)</f>
        <v>64039.151875000003</v>
      </c>
      <c r="P40" s="235">
        <f>SUM(P37:P39)</f>
        <v>225960.84812500002</v>
      </c>
      <c r="Q40" s="339"/>
    </row>
    <row r="41" spans="1:17" s="251" customFormat="1" ht="35.1" customHeight="1" thickBot="1" x14ac:dyDescent="0.25">
      <c r="A41" s="239" t="s">
        <v>129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</row>
    <row r="42" spans="1:17" s="152" customFormat="1" ht="49.5" customHeight="1" x14ac:dyDescent="0.2">
      <c r="A42" s="223">
        <f>A39+1</f>
        <v>21</v>
      </c>
      <c r="B42" s="224" t="s">
        <v>223</v>
      </c>
      <c r="C42" s="223" t="s">
        <v>347</v>
      </c>
      <c r="D42" s="232" t="s">
        <v>592</v>
      </c>
      <c r="E42" s="72" t="s">
        <v>100</v>
      </c>
      <c r="F42" s="225">
        <v>155000</v>
      </c>
      <c r="G42" s="226">
        <v>4448.5</v>
      </c>
      <c r="H42" s="226">
        <v>4712</v>
      </c>
      <c r="I42" s="226"/>
      <c r="J42" s="225">
        <v>9160.5</v>
      </c>
      <c r="K42" s="225">
        <v>145839.5</v>
      </c>
      <c r="L42" s="69">
        <f>+IF(K42*12&lt;=416220.01,0,IF(K42*12&lt;=624329.01,(((K42*12-416220.01)*0.15)/12),IF((K42*12&lt;=867123.01),(31216+0.2*(K42*12-624329.01))/12,((79776+0.25*(K42*12-867123.01))/12))))</f>
        <v>25042.812291666665</v>
      </c>
      <c r="M42" s="225"/>
      <c r="N42" s="231">
        <v>1225</v>
      </c>
      <c r="O42" s="225">
        <f>+N42+I42+H42+G42+L42</f>
        <v>35428.312291666662</v>
      </c>
      <c r="P42" s="227">
        <f>+F42-O42</f>
        <v>119571.68770833334</v>
      </c>
    </row>
    <row r="43" spans="1:17" s="153" customFormat="1" ht="49.5" customHeight="1" x14ac:dyDescent="0.2">
      <c r="A43" s="223">
        <f>+A42+1</f>
        <v>22</v>
      </c>
      <c r="B43" s="224" t="s">
        <v>209</v>
      </c>
      <c r="C43" s="223" t="s">
        <v>347</v>
      </c>
      <c r="D43" s="232" t="s">
        <v>612</v>
      </c>
      <c r="E43" s="72" t="s">
        <v>101</v>
      </c>
      <c r="F43" s="225">
        <v>90000</v>
      </c>
      <c r="G43" s="226">
        <f>F43*2.87%</f>
        <v>2583</v>
      </c>
      <c r="H43" s="226">
        <f>+F43*3.04%</f>
        <v>2736</v>
      </c>
      <c r="I43" s="226"/>
      <c r="J43" s="225">
        <f>+G43+H43+I43</f>
        <v>5319</v>
      </c>
      <c r="K43" s="225">
        <f>+F43-J43</f>
        <v>84681</v>
      </c>
      <c r="L43" s="69">
        <f>+IF(K43*12&lt;=416220.01,0,IF(K43*12&lt;=624329.01,(((K43*12-416220.01)*0.15)/12),IF((K43*12&lt;=867123.01),(31216+0.2*(K43*12-624329.01))/12,((79776+0.25*(K43*12-867123.01))/12))))</f>
        <v>9753.1872916666671</v>
      </c>
      <c r="M43" s="225"/>
      <c r="N43" s="231">
        <v>17594.939999999999</v>
      </c>
      <c r="O43" s="225">
        <f>+N43+I43+H43+G43+L43</f>
        <v>32667.127291666664</v>
      </c>
      <c r="P43" s="227">
        <f>+F43-O43</f>
        <v>57332.872708333336</v>
      </c>
    </row>
    <row r="44" spans="1:17" s="153" customFormat="1" ht="49.5" customHeight="1" x14ac:dyDescent="0.2">
      <c r="A44" s="223">
        <f>+A43+1</f>
        <v>23</v>
      </c>
      <c r="B44" s="224" t="s">
        <v>56</v>
      </c>
      <c r="C44" s="223" t="s">
        <v>346</v>
      </c>
      <c r="D44" s="232" t="s">
        <v>612</v>
      </c>
      <c r="E44" s="72" t="s">
        <v>100</v>
      </c>
      <c r="F44" s="225">
        <v>85000</v>
      </c>
      <c r="G44" s="226">
        <f>F44*2.87%</f>
        <v>2439.5</v>
      </c>
      <c r="H44" s="226">
        <f>+F44*3.04%</f>
        <v>2584</v>
      </c>
      <c r="I44" s="226">
        <v>1715.46</v>
      </c>
      <c r="J44" s="225">
        <f>+G44+H44+I44</f>
        <v>6738.96</v>
      </c>
      <c r="K44" s="225">
        <f>+F44-J44</f>
        <v>78261.039999999994</v>
      </c>
      <c r="L44" s="69">
        <f>+IF(K44*12&lt;=416220.01,0,IF(K44*12&lt;=624329.01,(((K44*12-416220.01)*0.15)/12),IF((K44*12&lt;=867123.01),(31216+0.2*(K44*12-624329.01))/12,((79776+0.25*(K44*12-867123.01))/12))))</f>
        <v>8148.1972916666664</v>
      </c>
      <c r="M44" s="225"/>
      <c r="N44" s="231">
        <v>22839.19</v>
      </c>
      <c r="O44" s="225">
        <f>+N44+I44+H44+G44+L44</f>
        <v>37726.347291666665</v>
      </c>
      <c r="P44" s="227">
        <f>+F44-O44</f>
        <v>47273.652708333335</v>
      </c>
    </row>
    <row r="45" spans="1:17" s="153" customFormat="1" ht="49.5" customHeight="1" x14ac:dyDescent="0.2">
      <c r="A45" s="223">
        <f>+A44+1</f>
        <v>24</v>
      </c>
      <c r="B45" s="224" t="s">
        <v>210</v>
      </c>
      <c r="C45" s="223" t="s">
        <v>347</v>
      </c>
      <c r="D45" s="232" t="s">
        <v>612</v>
      </c>
      <c r="E45" s="72" t="s">
        <v>101</v>
      </c>
      <c r="F45" s="225">
        <v>85000</v>
      </c>
      <c r="G45" s="226">
        <f>F45*2.87%</f>
        <v>2439.5</v>
      </c>
      <c r="H45" s="226">
        <f>+F45*3.04%</f>
        <v>2584</v>
      </c>
      <c r="I45" s="226">
        <v>0</v>
      </c>
      <c r="J45" s="225">
        <f>+G45+H45+I45</f>
        <v>5023.5</v>
      </c>
      <c r="K45" s="225">
        <f>+F45-J45</f>
        <v>79976.5</v>
      </c>
      <c r="L45" s="69">
        <f>+IF(K45*12&lt;=416220.01,0,IF(K45*12&lt;=624329.01,(((K45*12-416220.01)*0.15)/12),IF((K45*12&lt;=867123.01),(31216+0.2*(K45*12-624329.01))/12,((79776+0.25*(K45*12-867123.01))/12))))</f>
        <v>8577.0622916666671</v>
      </c>
      <c r="M45" s="225"/>
      <c r="N45" s="231">
        <v>16932.759999999998</v>
      </c>
      <c r="O45" s="225">
        <f>+N45+I45+H45+G45+L45</f>
        <v>30533.322291666664</v>
      </c>
      <c r="P45" s="227">
        <f>+F45-O45</f>
        <v>54466.677708333336</v>
      </c>
    </row>
    <row r="46" spans="1:17" s="229" customFormat="1" ht="35.1" customHeight="1" x14ac:dyDescent="0.2">
      <c r="A46" s="223">
        <f>+A45+1</f>
        <v>25</v>
      </c>
      <c r="B46" s="224" t="s">
        <v>45</v>
      </c>
      <c r="C46" s="223" t="s">
        <v>347</v>
      </c>
      <c r="D46" s="232" t="s">
        <v>612</v>
      </c>
      <c r="E46" s="72" t="s">
        <v>100</v>
      </c>
      <c r="F46" s="225">
        <v>85000</v>
      </c>
      <c r="G46" s="226">
        <f>F46*2.87%</f>
        <v>2439.5</v>
      </c>
      <c r="H46" s="226">
        <f>+F46*3.04%</f>
        <v>2584</v>
      </c>
      <c r="I46" s="226"/>
      <c r="J46" s="225">
        <f>+G46+H46+I46</f>
        <v>5023.5</v>
      </c>
      <c r="K46" s="225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5"/>
      <c r="N46" s="231">
        <v>2305</v>
      </c>
      <c r="O46" s="225">
        <f>+N46+I46+H46+G46+L46</f>
        <v>15905.562291666667</v>
      </c>
      <c r="P46" s="227">
        <f>+F46-O46</f>
        <v>69094.437708333338</v>
      </c>
    </row>
    <row r="47" spans="1:17" s="152" customFormat="1" ht="35.1" customHeight="1" x14ac:dyDescent="0.2">
      <c r="A47" s="233" t="s">
        <v>103</v>
      </c>
      <c r="B47" s="234"/>
      <c r="C47" s="234"/>
      <c r="D47" s="234"/>
      <c r="E47" s="250"/>
      <c r="F47" s="235">
        <f t="shared" ref="F47:P47" si="13">SUM(F42:F46)</f>
        <v>500000</v>
      </c>
      <c r="G47" s="235">
        <f t="shared" si="13"/>
        <v>14350</v>
      </c>
      <c r="H47" s="235">
        <f t="shared" si="13"/>
        <v>15200</v>
      </c>
      <c r="I47" s="235">
        <f t="shared" si="13"/>
        <v>1715.46</v>
      </c>
      <c r="J47" s="235">
        <f t="shared" si="13"/>
        <v>31265.46</v>
      </c>
      <c r="K47" s="235">
        <f t="shared" si="13"/>
        <v>468734.54</v>
      </c>
      <c r="L47" s="235">
        <f t="shared" si="13"/>
        <v>60098.321458333332</v>
      </c>
      <c r="M47" s="235">
        <f t="shared" si="13"/>
        <v>0</v>
      </c>
      <c r="N47" s="235">
        <f t="shared" si="13"/>
        <v>60896.89</v>
      </c>
      <c r="O47" s="235">
        <f t="shared" si="13"/>
        <v>152260.67145833332</v>
      </c>
      <c r="P47" s="235">
        <f t="shared" si="13"/>
        <v>347739.32854166673</v>
      </c>
      <c r="Q47" s="336"/>
    </row>
    <row r="48" spans="1:17" s="152" customFormat="1" ht="35.1" customHeight="1" thickBot="1" x14ac:dyDescent="0.25">
      <c r="A48" s="228"/>
      <c r="B48" s="228"/>
      <c r="C48" s="254"/>
      <c r="D48" s="228"/>
      <c r="E48" s="228"/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</row>
    <row r="49" spans="1:17" s="251" customFormat="1" ht="35.1" customHeight="1" thickBot="1" x14ac:dyDescent="0.25">
      <c r="A49" s="239" t="s">
        <v>376</v>
      </c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</row>
    <row r="50" spans="1:17" s="152" customFormat="1" ht="35.1" customHeight="1" x14ac:dyDescent="0.2">
      <c r="A50" s="247">
        <f>+A46+1</f>
        <v>26</v>
      </c>
      <c r="B50" s="255" t="s">
        <v>44</v>
      </c>
      <c r="C50" s="247" t="s">
        <v>347</v>
      </c>
      <c r="D50" s="256" t="s">
        <v>154</v>
      </c>
      <c r="E50" s="248" t="s">
        <v>101</v>
      </c>
      <c r="F50" s="69">
        <v>126500</v>
      </c>
      <c r="G50" s="69">
        <v>3630.55</v>
      </c>
      <c r="H50" s="69">
        <v>3845.6</v>
      </c>
      <c r="I50" s="68">
        <v>1715.46</v>
      </c>
      <c r="J50" s="69">
        <f>+G50+H50+I50</f>
        <v>9191.61</v>
      </c>
      <c r="K50" s="69">
        <f>+F50-J50</f>
        <v>117308.39</v>
      </c>
      <c r="L50" s="69">
        <f>+IF(K50*12&lt;=416220.01,0,IF(K50*12&lt;=624329.01,(((K50*12-416220.01)*0.15)/12),IF((K50*12&lt;=867123.01),(31216+0.2*(K50*12-624329.01))/12,((79776+0.25*(K50*12-867123.01))/12))))</f>
        <v>17910.034791666665</v>
      </c>
      <c r="M50" s="69"/>
      <c r="N50" s="227">
        <v>225</v>
      </c>
      <c r="O50" s="225">
        <f>+N50+I50+H50+G50+L50</f>
        <v>27326.644791666666</v>
      </c>
      <c r="P50" s="227">
        <f>+F50-O50</f>
        <v>99173.355208333334</v>
      </c>
    </row>
    <row r="51" spans="1:17" s="152" customFormat="1" ht="35.1" customHeight="1" x14ac:dyDescent="0.2">
      <c r="A51" s="233" t="s">
        <v>103</v>
      </c>
      <c r="B51" s="234"/>
      <c r="C51" s="234"/>
      <c r="D51" s="234"/>
      <c r="E51" s="250"/>
      <c r="F51" s="235">
        <f t="shared" ref="F51:L51" si="14">SUM(F50)</f>
        <v>126500</v>
      </c>
      <c r="G51" s="235">
        <f t="shared" si="14"/>
        <v>3630.55</v>
      </c>
      <c r="H51" s="235">
        <f t="shared" si="14"/>
        <v>3845.6</v>
      </c>
      <c r="I51" s="235">
        <f t="shared" si="14"/>
        <v>1715.46</v>
      </c>
      <c r="J51" s="235">
        <f t="shared" si="14"/>
        <v>9191.61</v>
      </c>
      <c r="K51" s="235">
        <f t="shared" si="14"/>
        <v>117308.39</v>
      </c>
      <c r="L51" s="235">
        <f t="shared" si="14"/>
        <v>17910.034791666665</v>
      </c>
      <c r="M51" s="235"/>
      <c r="N51" s="235">
        <f>SUM(N50)</f>
        <v>225</v>
      </c>
      <c r="O51" s="235">
        <f>SUM(O50)</f>
        <v>27326.644791666666</v>
      </c>
      <c r="P51" s="235">
        <f>SUM(P50)</f>
        <v>99173.355208333334</v>
      </c>
    </row>
    <row r="52" spans="1:17" s="253" customFormat="1" ht="35.1" customHeight="1" thickBot="1" x14ac:dyDescent="0.25">
      <c r="A52" s="150"/>
      <c r="B52" s="150"/>
      <c r="C52" s="150"/>
      <c r="D52" s="150"/>
      <c r="E52" s="150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</row>
    <row r="53" spans="1:17" s="253" customFormat="1" ht="35.1" customHeight="1" thickBot="1" x14ac:dyDescent="0.25">
      <c r="A53" s="356" t="s">
        <v>130</v>
      </c>
      <c r="B53" s="3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</row>
    <row r="54" spans="1:17" s="152" customFormat="1" ht="35.1" customHeight="1" x14ac:dyDescent="0.2">
      <c r="A54" s="245">
        <f>+A50+1</f>
        <v>27</v>
      </c>
      <c r="B54" s="72" t="s">
        <v>155</v>
      </c>
      <c r="C54" s="73" t="s">
        <v>347</v>
      </c>
      <c r="D54" s="243" t="s">
        <v>76</v>
      </c>
      <c r="E54" s="72" t="s">
        <v>101</v>
      </c>
      <c r="F54" s="226">
        <v>60000</v>
      </c>
      <c r="G54" s="68">
        <f>F54*2.87%</f>
        <v>1722</v>
      </c>
      <c r="H54" s="68">
        <f>+F54*3.04%</f>
        <v>1824</v>
      </c>
      <c r="I54" s="68">
        <v>1715.46</v>
      </c>
      <c r="J54" s="69">
        <f>+G54+H54+I54</f>
        <v>5261.46</v>
      </c>
      <c r="K54" s="69">
        <f>+F54-J54</f>
        <v>54738.54</v>
      </c>
      <c r="L54" s="69">
        <f>+IF(K54*12&lt;=416220.01,0,IF(K54*12&lt;=624329.01,(((K54*12-416220.01)*0.15)/12),IF((K54*12&lt;=867123.01),(31216+0.2*(K54*12-624329.01))/12,((79776+0.25*(K54*12-867123.01))/12))))</f>
        <v>3143.5578333333328</v>
      </c>
      <c r="M54" s="69"/>
      <c r="N54" s="68">
        <v>925</v>
      </c>
      <c r="O54" s="225">
        <f>+N54+I54+H54+G54+L54</f>
        <v>9330.0178333333333</v>
      </c>
      <c r="P54" s="87">
        <f>+F54-O54</f>
        <v>50669.982166666668</v>
      </c>
    </row>
    <row r="55" spans="1:17" s="152" customFormat="1" ht="35.1" customHeight="1" x14ac:dyDescent="0.2">
      <c r="A55" s="233" t="s">
        <v>103</v>
      </c>
      <c r="B55" s="234"/>
      <c r="C55" s="234"/>
      <c r="D55" s="234"/>
      <c r="E55" s="250"/>
      <c r="F55" s="235">
        <f t="shared" ref="F55:L55" si="15">SUM(F54:F54)</f>
        <v>60000</v>
      </c>
      <c r="G55" s="235">
        <f t="shared" si="15"/>
        <v>1722</v>
      </c>
      <c r="H55" s="235">
        <f t="shared" si="15"/>
        <v>1824</v>
      </c>
      <c r="I55" s="235">
        <f t="shared" si="15"/>
        <v>1715.46</v>
      </c>
      <c r="J55" s="235">
        <f t="shared" si="15"/>
        <v>5261.46</v>
      </c>
      <c r="K55" s="235">
        <f t="shared" si="15"/>
        <v>54738.54</v>
      </c>
      <c r="L55" s="235">
        <f t="shared" si="15"/>
        <v>3143.5578333333328</v>
      </c>
      <c r="M55" s="235"/>
      <c r="N55" s="235">
        <f>SUM(N54:N54)</f>
        <v>925</v>
      </c>
      <c r="O55" s="235">
        <f>SUM(O54:O54)</f>
        <v>9330.0178333333333</v>
      </c>
      <c r="P55" s="235">
        <f>SUM(P54:P54)</f>
        <v>50669.982166666668</v>
      </c>
      <c r="Q55" s="336"/>
    </row>
    <row r="56" spans="1:17" s="229" customFormat="1" ht="35.1" customHeight="1" thickBot="1" x14ac:dyDescent="0.25">
      <c r="A56" s="258"/>
      <c r="B56" s="258"/>
      <c r="C56" s="259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</row>
    <row r="57" spans="1:17" s="229" customFormat="1" ht="35.1" customHeight="1" thickBot="1" x14ac:dyDescent="0.25">
      <c r="A57" s="356" t="s">
        <v>131</v>
      </c>
      <c r="B57" s="357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60"/>
      <c r="O57" s="257"/>
      <c r="P57" s="257"/>
    </row>
    <row r="58" spans="1:17" s="216" customFormat="1" ht="36.75" customHeight="1" x14ac:dyDescent="0.2">
      <c r="A58" s="223">
        <f>+A54+1</f>
        <v>28</v>
      </c>
      <c r="B58" s="224" t="s">
        <v>212</v>
      </c>
      <c r="C58" s="223" t="s">
        <v>347</v>
      </c>
      <c r="D58" s="232" t="s">
        <v>612</v>
      </c>
      <c r="E58" s="72" t="s">
        <v>101</v>
      </c>
      <c r="F58" s="225">
        <v>110000</v>
      </c>
      <c r="G58" s="225">
        <f>F58*2.87%</f>
        <v>3157</v>
      </c>
      <c r="H58" s="68">
        <f>+F58*3.04%</f>
        <v>3344</v>
      </c>
      <c r="I58" s="69">
        <v>3430.92</v>
      </c>
      <c r="J58" s="69">
        <f>+G58+H58+I58</f>
        <v>9931.92</v>
      </c>
      <c r="K58" s="69">
        <f>+F58-J58</f>
        <v>100068.08</v>
      </c>
      <c r="L58" s="69">
        <f>+IF(K58*12&lt;=416220.01,0,IF(K58*12&lt;=624329.01,(((K58*12-416220.01)*0.15)/12),IF((K58*12&lt;=867123.01),(31216+0.2*(K58*12-624329.01))/12,((79776+0.25*(K58*12-867123.01))/12))))</f>
        <v>13599.957291666666</v>
      </c>
      <c r="M58" s="69"/>
      <c r="N58" s="231">
        <v>4705.74</v>
      </c>
      <c r="O58" s="225">
        <f>+N58+I58+H58+G58+L58</f>
        <v>28237.617291666666</v>
      </c>
      <c r="P58" s="87">
        <f>+F58-O58</f>
        <v>81762.382708333331</v>
      </c>
    </row>
    <row r="59" spans="1:17" s="152" customFormat="1" ht="35.1" customHeight="1" x14ac:dyDescent="0.2">
      <c r="A59" s="223">
        <f>+A58+1</f>
        <v>29</v>
      </c>
      <c r="B59" s="224" t="s">
        <v>51</v>
      </c>
      <c r="C59" s="223" t="s">
        <v>346</v>
      </c>
      <c r="D59" s="261" t="s">
        <v>612</v>
      </c>
      <c r="E59" s="224" t="s">
        <v>101</v>
      </c>
      <c r="F59" s="69">
        <v>110000</v>
      </c>
      <c r="G59" s="226">
        <f>F59*2.87%</f>
        <v>3157</v>
      </c>
      <c r="H59" s="68">
        <f>+F59*3.04%</f>
        <v>3344</v>
      </c>
      <c r="I59" s="68"/>
      <c r="J59" s="69">
        <f>+G59+H59+I59</f>
        <v>6501</v>
      </c>
      <c r="K59" s="69">
        <f>+F59-J59</f>
        <v>103499</v>
      </c>
      <c r="L59" s="69">
        <f>+IF(K59*12&lt;=416220.01,0,IF(K59*12&lt;=624329.01,(((K59*12-416220.01)*0.15)/12),IF((K59*12&lt;=867123.01),(31216+0.2*(K59*12-624329.01))/12,((79776+0.25*(K59*12-867123.01))/12))))</f>
        <v>14457.687291666667</v>
      </c>
      <c r="M59" s="69"/>
      <c r="N59" s="244">
        <v>265</v>
      </c>
      <c r="O59" s="225">
        <f>+N59+I59+H59+G59+L59</f>
        <v>21223.687291666669</v>
      </c>
      <c r="P59" s="87">
        <f>+F59-O59</f>
        <v>88776.312708333338</v>
      </c>
    </row>
    <row r="60" spans="1:17" s="152" customFormat="1" ht="35.1" customHeight="1" x14ac:dyDescent="0.2">
      <c r="A60" s="223">
        <f>+A59+1</f>
        <v>30</v>
      </c>
      <c r="B60" s="230" t="s">
        <v>246</v>
      </c>
      <c r="C60" s="223" t="s">
        <v>347</v>
      </c>
      <c r="D60" s="261" t="s">
        <v>612</v>
      </c>
      <c r="E60" s="224" t="s">
        <v>100</v>
      </c>
      <c r="F60" s="69">
        <v>100000</v>
      </c>
      <c r="G60" s="226">
        <f>F60*2.87%</f>
        <v>2870</v>
      </c>
      <c r="H60" s="68">
        <f>+F60*3.04%</f>
        <v>3040</v>
      </c>
      <c r="I60" s="68"/>
      <c r="J60" s="69">
        <f>+G60+H60+I60</f>
        <v>5910</v>
      </c>
      <c r="K60" s="69">
        <f>+F60-J60</f>
        <v>94090</v>
      </c>
      <c r="L60" s="69">
        <f>+IF(K60*12&lt;=416220.01,0,IF(K60*12&lt;=624329.01,(((K60*12-416220.01)*0.15)/12),IF((K60*12&lt;=867123.01),(31216+0.2*(K60*12-624329.01))/12,((79776+0.25*(K60*12-867123.01))/12))))</f>
        <v>12105.437291666667</v>
      </c>
      <c r="M60" s="69"/>
      <c r="N60" s="231">
        <v>14710.49</v>
      </c>
      <c r="O60" s="225">
        <f>+N60+I60+H60+G60+L60</f>
        <v>32725.927291666667</v>
      </c>
      <c r="P60" s="87">
        <f>+F60-O60</f>
        <v>67274.072708333333</v>
      </c>
    </row>
    <row r="61" spans="1:17" s="152" customFormat="1" ht="35.1" customHeight="1" x14ac:dyDescent="0.2">
      <c r="A61" s="233" t="s">
        <v>103</v>
      </c>
      <c r="B61" s="234"/>
      <c r="C61" s="234"/>
      <c r="D61" s="234"/>
      <c r="E61" s="250"/>
      <c r="F61" s="235">
        <f t="shared" ref="F61:P61" si="16">SUM(F58:F60)</f>
        <v>320000</v>
      </c>
      <c r="G61" s="235">
        <f t="shared" si="16"/>
        <v>9184</v>
      </c>
      <c r="H61" s="235">
        <f t="shared" si="16"/>
        <v>9728</v>
      </c>
      <c r="I61" s="235">
        <f t="shared" si="16"/>
        <v>3430.92</v>
      </c>
      <c r="J61" s="235">
        <f t="shared" si="16"/>
        <v>22342.92</v>
      </c>
      <c r="K61" s="235">
        <f t="shared" si="16"/>
        <v>297657.08</v>
      </c>
      <c r="L61" s="235">
        <f t="shared" si="16"/>
        <v>40163.081875000003</v>
      </c>
      <c r="M61" s="235">
        <f t="shared" si="16"/>
        <v>0</v>
      </c>
      <c r="N61" s="235">
        <f t="shared" si="16"/>
        <v>19681.23</v>
      </c>
      <c r="O61" s="235">
        <f t="shared" si="16"/>
        <v>82187.231874999998</v>
      </c>
      <c r="P61" s="235">
        <f t="shared" si="16"/>
        <v>237812.768125</v>
      </c>
      <c r="Q61" s="336"/>
    </row>
    <row r="62" spans="1:17" s="152" customFormat="1" ht="35.1" customHeight="1" thickBot="1" x14ac:dyDescent="0.25">
      <c r="A62" s="212"/>
      <c r="B62" s="151"/>
      <c r="C62" s="212"/>
      <c r="D62" s="238"/>
      <c r="E62" s="151"/>
    </row>
    <row r="63" spans="1:17" s="152" customFormat="1" ht="35.1" customHeight="1" thickBot="1" x14ac:dyDescent="0.25">
      <c r="A63" s="356" t="s">
        <v>158</v>
      </c>
      <c r="B63" s="3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62"/>
    </row>
    <row r="64" spans="1:17" s="216" customFormat="1" ht="35.1" customHeight="1" x14ac:dyDescent="0.2">
      <c r="A64" s="245">
        <f>+A60+1</f>
        <v>31</v>
      </c>
      <c r="B64" s="72" t="s">
        <v>217</v>
      </c>
      <c r="C64" s="73" t="s">
        <v>347</v>
      </c>
      <c r="D64" s="243" t="s">
        <v>612</v>
      </c>
      <c r="E64" s="72" t="s">
        <v>101</v>
      </c>
      <c r="F64" s="226">
        <v>104000</v>
      </c>
      <c r="G64" s="68">
        <f>F64*2.87%</f>
        <v>2984.8</v>
      </c>
      <c r="H64" s="68">
        <f>+F64*3.04%</f>
        <v>3161.6</v>
      </c>
      <c r="I64" s="68">
        <v>3430.92</v>
      </c>
      <c r="J64" s="69">
        <f>+G64+H64+I64</f>
        <v>9577.32</v>
      </c>
      <c r="K64" s="69">
        <f>+F64-J64</f>
        <v>94422.68</v>
      </c>
      <c r="L64" s="69">
        <f>+IF(K64*12&lt;=416220.01,0,IF(K64*12&lt;=624329.01,(((K64*12-416220.01)*0.15)/12),IF((K64*12&lt;=867123.01),(31216+0.2*(K64*12-624329.01))/12,((79776+0.25*(K64*12-867123.01))/12))))</f>
        <v>12188.607291666665</v>
      </c>
      <c r="M64" s="69"/>
      <c r="N64" s="244">
        <v>17581.759999999998</v>
      </c>
      <c r="O64" s="225">
        <f>+N64+I64+H64+G64+L64</f>
        <v>39347.687291666662</v>
      </c>
      <c r="P64" s="87">
        <f>+F64-O64</f>
        <v>64652.312708333338</v>
      </c>
    </row>
    <row r="65" spans="1:17" s="253" customFormat="1" ht="35.1" customHeight="1" x14ac:dyDescent="0.2">
      <c r="A65" s="223">
        <f>+A64+1</f>
        <v>32</v>
      </c>
      <c r="B65" s="72" t="s">
        <v>43</v>
      </c>
      <c r="C65" s="73" t="s">
        <v>346</v>
      </c>
      <c r="D65" s="243" t="s">
        <v>612</v>
      </c>
      <c r="E65" s="72" t="s">
        <v>100</v>
      </c>
      <c r="F65" s="226">
        <v>100000</v>
      </c>
      <c r="G65" s="226">
        <f>F65*2.87%</f>
        <v>2870</v>
      </c>
      <c r="H65" s="68">
        <f>+F65*3.04%</f>
        <v>3040</v>
      </c>
      <c r="I65" s="68">
        <v>1715.46</v>
      </c>
      <c r="J65" s="69">
        <f>+G65+H65+I65</f>
        <v>7625.46</v>
      </c>
      <c r="K65" s="69">
        <f>+F65-J65</f>
        <v>92374.54</v>
      </c>
      <c r="L65" s="69">
        <f>+IF(K65*12&lt;=416220.01,0,IF(K65*12&lt;=624329.01,(((K65*12-416220.01)*0.15)/12),IF((K65*12&lt;=867123.01),(31216+0.2*(K65*12-624329.01))/12,((79776+0.25*(K65*12-867123.01))/12))))</f>
        <v>11676.572291666665</v>
      </c>
      <c r="M65" s="69"/>
      <c r="N65" s="231">
        <v>5268.16</v>
      </c>
      <c r="O65" s="225">
        <f>+N65+I65+H65+G65+L65</f>
        <v>24570.192291666666</v>
      </c>
      <c r="P65" s="87">
        <f>+F65-O65</f>
        <v>75429.807708333334</v>
      </c>
    </row>
    <row r="66" spans="1:17" s="253" customFormat="1" ht="35.1" customHeight="1" x14ac:dyDescent="0.2">
      <c r="A66" s="223">
        <f>+A65+1</f>
        <v>33</v>
      </c>
      <c r="B66" s="72" t="s">
        <v>216</v>
      </c>
      <c r="C66" s="73" t="s">
        <v>346</v>
      </c>
      <c r="D66" s="243" t="s">
        <v>612</v>
      </c>
      <c r="E66" s="72" t="s">
        <v>100</v>
      </c>
      <c r="F66" s="226">
        <v>90000</v>
      </c>
      <c r="G66" s="226">
        <f>F66*2.87%</f>
        <v>2583</v>
      </c>
      <c r="H66" s="68">
        <f>+F66*3.04%</f>
        <v>2736</v>
      </c>
      <c r="I66" s="229">
        <v>3430.92</v>
      </c>
      <c r="J66" s="69">
        <f>+G66+H66+I66</f>
        <v>8749.92</v>
      </c>
      <c r="K66" s="69">
        <f>+F66-J66</f>
        <v>81250.080000000002</v>
      </c>
      <c r="L66" s="69">
        <f>+IF(K66*12&lt;=416220.01,0,IF(K66*12&lt;=624329.01,(((K66*12-416220.01)*0.15)/12),IF((K66*12&lt;=867123.01),(31216+0.2*(K66*12-624329.01))/12,((79776+0.25*(K66*12-867123.01))/12))))</f>
        <v>8895.4572916666657</v>
      </c>
      <c r="M66" s="69"/>
      <c r="N66" s="231">
        <v>5502.25</v>
      </c>
      <c r="O66" s="225">
        <f>+N66+I66+H66+G66+L66</f>
        <v>23147.627291666664</v>
      </c>
      <c r="P66" s="87">
        <f>+F66-O66</f>
        <v>66852.372708333336</v>
      </c>
    </row>
    <row r="67" spans="1:17" s="152" customFormat="1" ht="45.75" customHeight="1" thickBot="1" x14ac:dyDescent="0.25">
      <c r="A67" s="233" t="s">
        <v>103</v>
      </c>
      <c r="B67" s="234"/>
      <c r="C67" s="234"/>
      <c r="D67" s="234"/>
      <c r="E67" s="250"/>
      <c r="F67" s="235">
        <f t="shared" ref="F67:P67" si="17">SUM(F64:F66)</f>
        <v>294000</v>
      </c>
      <c r="G67" s="235">
        <f t="shared" si="17"/>
        <v>8437.7999999999993</v>
      </c>
      <c r="H67" s="235">
        <f t="shared" si="17"/>
        <v>8937.6</v>
      </c>
      <c r="I67" s="235">
        <f t="shared" si="17"/>
        <v>8577.2999999999993</v>
      </c>
      <c r="J67" s="235">
        <f t="shared" si="17"/>
        <v>25952.699999999997</v>
      </c>
      <c r="K67" s="235">
        <f t="shared" si="17"/>
        <v>268047.3</v>
      </c>
      <c r="L67" s="235">
        <f t="shared" si="17"/>
        <v>32760.636874999997</v>
      </c>
      <c r="M67" s="235">
        <f t="shared" si="17"/>
        <v>0</v>
      </c>
      <c r="N67" s="235">
        <f t="shared" si="17"/>
        <v>28352.17</v>
      </c>
      <c r="O67" s="235">
        <f t="shared" si="17"/>
        <v>87065.506874999992</v>
      </c>
      <c r="P67" s="235">
        <f t="shared" si="17"/>
        <v>206934.49312500001</v>
      </c>
      <c r="Q67" s="336"/>
    </row>
    <row r="68" spans="1:17" s="236" customFormat="1" ht="35.1" customHeight="1" thickBot="1" x14ac:dyDescent="0.25">
      <c r="A68" s="356" t="s">
        <v>132</v>
      </c>
      <c r="B68" s="357"/>
      <c r="C68" s="3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60"/>
      <c r="O68" s="257"/>
      <c r="P68" s="257"/>
    </row>
    <row r="69" spans="1:17" s="152" customFormat="1" ht="35.1" customHeight="1" x14ac:dyDescent="0.2">
      <c r="A69" s="247">
        <f>+A66+1</f>
        <v>34</v>
      </c>
      <c r="B69" s="255" t="s">
        <v>50</v>
      </c>
      <c r="C69" s="247" t="s">
        <v>347</v>
      </c>
      <c r="D69" s="261" t="s">
        <v>159</v>
      </c>
      <c r="E69" s="248" t="s">
        <v>101</v>
      </c>
      <c r="F69" s="69">
        <v>138000</v>
      </c>
      <c r="G69" s="68">
        <f>F69*2.87%</f>
        <v>3960.6</v>
      </c>
      <c r="H69" s="68">
        <f>+F69*3.04%</f>
        <v>4195.2</v>
      </c>
      <c r="I69" s="69"/>
      <c r="J69" s="69">
        <f>+G69+H69+I69</f>
        <v>8155.7999999999993</v>
      </c>
      <c r="K69" s="69">
        <f>+F69-J69</f>
        <v>129844.2</v>
      </c>
      <c r="L69" s="69">
        <f>+IF(K69*12&lt;=416220.01,0,IF(K69*12&lt;=624329.01,(((K69*12-416220.01)*0.15)/12),IF((K69*12&lt;=867123.01),(31216+0.2*(K69*12-624329.01))/12,((79776+0.25*(K69*12-867123.01))/12))))</f>
        <v>21043.987291666665</v>
      </c>
      <c r="M69" s="69"/>
      <c r="N69" s="227">
        <v>46276.24</v>
      </c>
      <c r="O69" s="225">
        <f>+N69+I69+H69+G69+L69</f>
        <v>75476.027291666658</v>
      </c>
      <c r="P69" s="227">
        <f>+F69-O69</f>
        <v>62523.972708333342</v>
      </c>
    </row>
    <row r="70" spans="1:17" s="263" customFormat="1" ht="35.1" customHeight="1" x14ac:dyDescent="0.2">
      <c r="A70" s="245">
        <f>+A69+1</f>
        <v>35</v>
      </c>
      <c r="B70" s="72" t="s">
        <v>49</v>
      </c>
      <c r="C70" s="73" t="s">
        <v>347</v>
      </c>
      <c r="D70" s="243" t="s">
        <v>76</v>
      </c>
      <c r="E70" s="72" t="s">
        <v>100</v>
      </c>
      <c r="F70" s="226">
        <v>60000</v>
      </c>
      <c r="G70" s="226">
        <f>F70*2.87%</f>
        <v>1722</v>
      </c>
      <c r="H70" s="68">
        <f>+F70*3.04%</f>
        <v>1824</v>
      </c>
      <c r="I70" s="68"/>
      <c r="J70" s="69">
        <f>+G70+H70+I70</f>
        <v>3546</v>
      </c>
      <c r="K70" s="69">
        <f>+F70-J70</f>
        <v>56454</v>
      </c>
      <c r="L70" s="69">
        <f>+IF(K70*12&lt;=416220.01,0,IF(K70*12&lt;=624329.01,(((K70*12-416220.01)*0.15)/12),IF((K70*12&lt;=867123.01),(31216+0.2*(K70*12-624329.01))/12,((79776+0.25*(K70*12-867123.01))/12))))</f>
        <v>3486.6498333333329</v>
      </c>
      <c r="M70" s="69"/>
      <c r="N70" s="87">
        <v>1225</v>
      </c>
      <c r="O70" s="225">
        <f>+N70+I70+H70+G70+L70</f>
        <v>8257.6498333333329</v>
      </c>
      <c r="P70" s="87">
        <f>+F70-O70</f>
        <v>51742.350166666671</v>
      </c>
    </row>
    <row r="71" spans="1:17" s="229" customFormat="1" ht="35.1" customHeight="1" x14ac:dyDescent="0.2">
      <c r="A71" s="233" t="s">
        <v>103</v>
      </c>
      <c r="B71" s="234"/>
      <c r="C71" s="234"/>
      <c r="D71" s="234"/>
      <c r="E71" s="250"/>
      <c r="F71" s="235">
        <f t="shared" ref="F71:L71" si="18">SUM(F69:F70)</f>
        <v>198000</v>
      </c>
      <c r="G71" s="235">
        <f t="shared" si="18"/>
        <v>5682.6</v>
      </c>
      <c r="H71" s="235">
        <f t="shared" si="18"/>
        <v>6019.2</v>
      </c>
      <c r="I71" s="235">
        <f t="shared" si="18"/>
        <v>0</v>
      </c>
      <c r="J71" s="235">
        <f t="shared" si="18"/>
        <v>11701.8</v>
      </c>
      <c r="K71" s="235">
        <f t="shared" si="18"/>
        <v>186298.2</v>
      </c>
      <c r="L71" s="235">
        <f t="shared" si="18"/>
        <v>24530.637124999997</v>
      </c>
      <c r="M71" s="235"/>
      <c r="N71" s="235">
        <f>SUM(N69:N70)</f>
        <v>47501.24</v>
      </c>
      <c r="O71" s="235">
        <f>SUM(O69:O70)</f>
        <v>83733.677124999987</v>
      </c>
      <c r="P71" s="235">
        <f>SUM(P69:P70)</f>
        <v>114266.32287500001</v>
      </c>
      <c r="Q71" s="336"/>
    </row>
    <row r="72" spans="1:17" s="253" customFormat="1" ht="35.1" customHeight="1" thickBot="1" x14ac:dyDescent="0.25">
      <c r="A72" s="212"/>
      <c r="B72" s="151"/>
      <c r="C72" s="212"/>
      <c r="D72" s="151"/>
      <c r="E72" s="151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</row>
    <row r="73" spans="1:17" s="228" customFormat="1" ht="35.1" customHeight="1" thickBot="1" x14ac:dyDescent="0.25">
      <c r="A73" s="356" t="s">
        <v>133</v>
      </c>
      <c r="B73" s="357"/>
      <c r="C73" s="357"/>
      <c r="D73" s="3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</row>
    <row r="74" spans="1:17" s="253" customFormat="1" ht="35.1" customHeight="1" x14ac:dyDescent="0.2">
      <c r="A74" s="245">
        <f>+A70+1</f>
        <v>36</v>
      </c>
      <c r="B74" s="72" t="s">
        <v>449</v>
      </c>
      <c r="C74" s="73" t="s">
        <v>347</v>
      </c>
      <c r="D74" s="243" t="s">
        <v>612</v>
      </c>
      <c r="E74" s="72" t="s">
        <v>488</v>
      </c>
      <c r="F74" s="226">
        <v>110000</v>
      </c>
      <c r="G74" s="69">
        <f>F74*2.87%</f>
        <v>3157</v>
      </c>
      <c r="H74" s="69">
        <f>+F74*3.04%</f>
        <v>3344</v>
      </c>
      <c r="I74" s="68">
        <v>1715.46</v>
      </c>
      <c r="J74" s="69">
        <f>+G74+H74+I74</f>
        <v>8216.4599999999991</v>
      </c>
      <c r="K74" s="69">
        <f>+F74-J74</f>
        <v>101783.54000000001</v>
      </c>
      <c r="L74" s="69">
        <f>+IF(K74*12&lt;=416220.01,0,IF(K74*12&lt;=624329.01,(((K74*12-416220.01)*0.15)/12),IF((K74*12&lt;=867123.01),(31216+0.2*(K74*12-624329.01))/12,((79776+0.25*(K74*12-867123.01))/12))))</f>
        <v>14028.822291666665</v>
      </c>
      <c r="M74" s="69"/>
      <c r="N74" s="87">
        <v>25</v>
      </c>
      <c r="O74" s="225">
        <f>+N74+I74+H74+G74+L74</f>
        <v>22270.282291666663</v>
      </c>
      <c r="P74" s="87">
        <f>+F74-O74</f>
        <v>87729.717708333337</v>
      </c>
    </row>
    <row r="75" spans="1:17" s="229" customFormat="1" ht="35.1" customHeight="1" x14ac:dyDescent="0.2">
      <c r="A75" s="245">
        <f>+A74+1</f>
        <v>37</v>
      </c>
      <c r="B75" s="72" t="s">
        <v>238</v>
      </c>
      <c r="C75" s="73" t="s">
        <v>347</v>
      </c>
      <c r="D75" s="243" t="s">
        <v>612</v>
      </c>
      <c r="E75" s="72" t="s">
        <v>100</v>
      </c>
      <c r="F75" s="226">
        <v>90000</v>
      </c>
      <c r="G75" s="226">
        <f>F75*2.87%</f>
        <v>2583</v>
      </c>
      <c r="H75" s="68">
        <f>+F75*3.04%</f>
        <v>2736</v>
      </c>
      <c r="I75" s="68">
        <v>1715.46</v>
      </c>
      <c r="J75" s="69">
        <f>+G75+H75+I75</f>
        <v>7034.46</v>
      </c>
      <c r="K75" s="69">
        <f>+F75-J75</f>
        <v>82965.539999999994</v>
      </c>
      <c r="L75" s="69">
        <f>+IF(K75*12&lt;=416220.01,0,IF(K75*12&lt;=624329.01,(((K75*12-416220.01)*0.15)/12),IF((K75*12&lt;=867123.01),(31216+0.2*(K75*12-624329.01))/12,((79776+0.25*(K75*12-867123.01))/12))))</f>
        <v>9324.3222916666655</v>
      </c>
      <c r="M75" s="69"/>
      <c r="N75" s="227">
        <v>10885</v>
      </c>
      <c r="O75" s="225">
        <f>+N75+I75+H75+G75+L75</f>
        <v>27243.782291666663</v>
      </c>
      <c r="P75" s="87">
        <f>+F75-O75</f>
        <v>62756.217708333337</v>
      </c>
    </row>
    <row r="76" spans="1:17" s="152" customFormat="1" ht="35.1" customHeight="1" x14ac:dyDescent="0.2">
      <c r="A76" s="245">
        <f>+A75+1</f>
        <v>38</v>
      </c>
      <c r="B76" s="72" t="s">
        <v>382</v>
      </c>
      <c r="C76" s="73" t="s">
        <v>346</v>
      </c>
      <c r="D76" s="243" t="s">
        <v>612</v>
      </c>
      <c r="E76" s="72" t="s">
        <v>488</v>
      </c>
      <c r="F76" s="226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>+IF(K76*12&lt;=416220.01,0,IF(K76*12&lt;=624329.01,(((K76*12-416220.01)*0.15)/12),IF((K76*12&lt;=867123.01),(31216+0.2*(K76*12-624329.01))/12,((79776+0.25*(K76*12-867123.01))/12))))</f>
        <v>9753.1872916666671</v>
      </c>
      <c r="M76" s="69"/>
      <c r="N76" s="87">
        <v>1225</v>
      </c>
      <c r="O76" s="225">
        <f>+N76+I76+H76+G76+L76</f>
        <v>16297.187291666667</v>
      </c>
      <c r="P76" s="87">
        <f>+F76-O76</f>
        <v>73702.812708333338</v>
      </c>
    </row>
    <row r="77" spans="1:17" s="152" customFormat="1" ht="35.1" customHeight="1" x14ac:dyDescent="0.2">
      <c r="A77" s="233" t="s">
        <v>103</v>
      </c>
      <c r="B77" s="234"/>
      <c r="C77" s="234"/>
      <c r="D77" s="234"/>
      <c r="E77" s="250"/>
      <c r="F77" s="235">
        <f t="shared" ref="F77:L77" si="19">SUM(F74:F76)</f>
        <v>290000</v>
      </c>
      <c r="G77" s="235">
        <f t="shared" si="19"/>
        <v>8323</v>
      </c>
      <c r="H77" s="235">
        <f t="shared" si="19"/>
        <v>8816</v>
      </c>
      <c r="I77" s="235">
        <f t="shared" si="19"/>
        <v>3430.92</v>
      </c>
      <c r="J77" s="235">
        <f t="shared" si="19"/>
        <v>20569.919999999998</v>
      </c>
      <c r="K77" s="235">
        <f t="shared" si="19"/>
        <v>269430.08</v>
      </c>
      <c r="L77" s="235">
        <f t="shared" si="19"/>
        <v>33106.331874999996</v>
      </c>
      <c r="M77" s="235"/>
      <c r="N77" s="235">
        <f>SUM(N74:N76)</f>
        <v>12135</v>
      </c>
      <c r="O77" s="235">
        <f>SUM(O74:O76)</f>
        <v>65811.251874999987</v>
      </c>
      <c r="P77" s="235">
        <f>SUM(P74:P76)</f>
        <v>224188.74812500001</v>
      </c>
      <c r="Q77" s="336"/>
    </row>
    <row r="78" spans="1:17" s="229" customFormat="1" ht="35.1" customHeight="1" thickBot="1" x14ac:dyDescent="0.25">
      <c r="A78" s="212"/>
      <c r="B78" s="151"/>
      <c r="C78" s="212"/>
      <c r="D78" s="238"/>
      <c r="E78" s="151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</row>
    <row r="79" spans="1:17" s="229" customFormat="1" ht="35.1" customHeight="1" thickBot="1" x14ac:dyDescent="0.25">
      <c r="A79" s="356" t="s">
        <v>134</v>
      </c>
      <c r="B79" s="357"/>
      <c r="C79" s="357"/>
      <c r="D79" s="3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</row>
    <row r="80" spans="1:17" s="152" customFormat="1" ht="35.1" customHeight="1" x14ac:dyDescent="0.2">
      <c r="A80" s="73">
        <f>+A76+1</f>
        <v>39</v>
      </c>
      <c r="B80" s="264" t="s">
        <v>135</v>
      </c>
      <c r="C80" s="265" t="s">
        <v>347</v>
      </c>
      <c r="D80" s="72" t="s">
        <v>612</v>
      </c>
      <c r="E80" s="72" t="s">
        <v>101</v>
      </c>
      <c r="F80" s="266">
        <v>100000</v>
      </c>
      <c r="G80" s="226">
        <f>F80*2.87%</f>
        <v>2870</v>
      </c>
      <c r="H80" s="226">
        <f>+F80*3.04%</f>
        <v>3040</v>
      </c>
      <c r="I80" s="226">
        <v>3430.92</v>
      </c>
      <c r="J80" s="226">
        <f>+G80+H80+I80</f>
        <v>9340.92</v>
      </c>
      <c r="K80" s="226">
        <f>+F80-J80</f>
        <v>90659.08</v>
      </c>
      <c r="L80" s="226">
        <f>+IF(K80*12&lt;=416220.01,0,IF(K80*12&lt;=624329.01,(((K80*12-416220.01)*0.15)/12),IF((K80*12&lt;=867123.01),(31216+0.2*(K80*12-624329.01))/12,((79776+0.25*(K80*12-867123.01))/12))))-M80</f>
        <v>11247.707291666666</v>
      </c>
      <c r="M80" s="226"/>
      <c r="N80" s="231">
        <v>4678.07</v>
      </c>
      <c r="O80" s="226">
        <f>+N80+I80+H80+G80+L80</f>
        <v>25266.697291666664</v>
      </c>
      <c r="P80" s="231">
        <f>+F80-O80</f>
        <v>74733.302708333329</v>
      </c>
    </row>
    <row r="81" spans="1:17" s="152" customFormat="1" ht="35.1" customHeight="1" x14ac:dyDescent="0.2">
      <c r="A81" s="73">
        <f>+A80+1</f>
        <v>40</v>
      </c>
      <c r="B81" s="264" t="s">
        <v>37</v>
      </c>
      <c r="C81" s="265" t="s">
        <v>347</v>
      </c>
      <c r="D81" s="72" t="s">
        <v>612</v>
      </c>
      <c r="E81" s="72" t="s">
        <v>101</v>
      </c>
      <c r="F81" s="266">
        <v>95000</v>
      </c>
      <c r="G81" s="226">
        <f>F81*2.87%</f>
        <v>2726.5</v>
      </c>
      <c r="H81" s="226">
        <f>+F81*3.04%</f>
        <v>2888</v>
      </c>
      <c r="I81" s="226"/>
      <c r="J81" s="226">
        <f>+G81+H81+I81</f>
        <v>5614.5</v>
      </c>
      <c r="K81" s="226">
        <f>+F81-J81</f>
        <v>89385.5</v>
      </c>
      <c r="L81" s="226">
        <f>+IF(K81*12&lt;=416220.01,0,IF(K81*12&lt;=624329.01,(((K81*12-416220.01)*0.15)/12),IF((K81*12&lt;=867123.01),(31216+0.2*(K81*12-624329.01))/12,((79776+0.25*(K81*12-867123.01))/12))))-M81</f>
        <v>10929.312291666667</v>
      </c>
      <c r="M81" s="226"/>
      <c r="N81" s="231">
        <v>225</v>
      </c>
      <c r="O81" s="226">
        <f>+N81+I81+H81+G81+L81</f>
        <v>16768.812291666669</v>
      </c>
      <c r="P81" s="231">
        <f>+F81-O81</f>
        <v>78231.187708333338</v>
      </c>
    </row>
    <row r="82" spans="1:17" s="152" customFormat="1" ht="35.1" customHeight="1" x14ac:dyDescent="0.2">
      <c r="A82" s="223">
        <f>+A81+1</f>
        <v>41</v>
      </c>
      <c r="B82" s="264" t="s">
        <v>63</v>
      </c>
      <c r="C82" s="265" t="s">
        <v>347</v>
      </c>
      <c r="D82" s="72" t="s">
        <v>612</v>
      </c>
      <c r="E82" s="72" t="s">
        <v>100</v>
      </c>
      <c r="F82" s="266">
        <v>90000</v>
      </c>
      <c r="G82" s="226">
        <f>F82*2.87%</f>
        <v>2583</v>
      </c>
      <c r="H82" s="226">
        <f>+F82*3.04%</f>
        <v>2736</v>
      </c>
      <c r="I82" s="226">
        <v>1715.46</v>
      </c>
      <c r="J82" s="225">
        <f>+G82+H82+I82</f>
        <v>7034.46</v>
      </c>
      <c r="K82" s="225">
        <f>+F82-J82</f>
        <v>82965.539999999994</v>
      </c>
      <c r="L82" s="226">
        <f>+IF(K82*12&lt;=416220.01,0,IF(K82*12&lt;=624329.01,(((K82*12-416220.01)*0.15)/12),IF((K82*12&lt;=867123.01),(31216+0.2*(K82*12-624329.01))/12,((79776+0.25*(K82*12-867123.01))/12))))-M82</f>
        <v>9324.3222916666655</v>
      </c>
      <c r="M82" s="225"/>
      <c r="N82" s="231">
        <v>2863.22</v>
      </c>
      <c r="O82" s="225">
        <f>+N82+I82+H82+G82+L82</f>
        <v>19222.002291666664</v>
      </c>
      <c r="P82" s="227">
        <f>+F82-O82</f>
        <v>70777.997708333336</v>
      </c>
    </row>
    <row r="83" spans="1:17" s="152" customFormat="1" ht="35.1" customHeight="1" x14ac:dyDescent="0.2">
      <c r="A83" s="233" t="s">
        <v>103</v>
      </c>
      <c r="B83" s="234"/>
      <c r="C83" s="234"/>
      <c r="D83" s="234"/>
      <c r="E83" s="250"/>
      <c r="F83" s="235">
        <f t="shared" ref="F83:P83" si="20">SUM(F80:F82)</f>
        <v>285000</v>
      </c>
      <c r="G83" s="235">
        <f t="shared" si="20"/>
        <v>8179.5</v>
      </c>
      <c r="H83" s="235">
        <f t="shared" si="20"/>
        <v>8664</v>
      </c>
      <c r="I83" s="235">
        <f t="shared" si="20"/>
        <v>5146.38</v>
      </c>
      <c r="J83" s="235">
        <f t="shared" si="20"/>
        <v>21989.88</v>
      </c>
      <c r="K83" s="235">
        <f t="shared" si="20"/>
        <v>263010.12</v>
      </c>
      <c r="L83" s="235">
        <f t="shared" si="20"/>
        <v>31501.341874999998</v>
      </c>
      <c r="M83" s="235">
        <f t="shared" si="20"/>
        <v>0</v>
      </c>
      <c r="N83" s="235">
        <f t="shared" si="20"/>
        <v>7766.2899999999991</v>
      </c>
      <c r="O83" s="235">
        <f t="shared" si="20"/>
        <v>61257.511874999997</v>
      </c>
      <c r="P83" s="235">
        <f t="shared" si="20"/>
        <v>223742.488125</v>
      </c>
      <c r="Q83" s="336"/>
    </row>
    <row r="84" spans="1:17" s="152" customFormat="1" ht="35.1" customHeight="1" thickBot="1" x14ac:dyDescent="0.25">
      <c r="A84" s="212"/>
      <c r="B84" s="151"/>
      <c r="C84" s="212"/>
      <c r="D84" s="238"/>
      <c r="E84" s="151"/>
    </row>
    <row r="85" spans="1:17" s="152" customFormat="1" ht="35.1" customHeight="1" thickBot="1" x14ac:dyDescent="0.25">
      <c r="A85" s="351" t="s">
        <v>136</v>
      </c>
      <c r="B85" s="352"/>
      <c r="C85" s="352"/>
      <c r="D85" s="352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</row>
    <row r="86" spans="1:17" s="152" customFormat="1" ht="35.1" customHeight="1" x14ac:dyDescent="0.2">
      <c r="A86" s="245">
        <f>+A82+1</f>
        <v>42</v>
      </c>
      <c r="B86" s="248" t="s">
        <v>71</v>
      </c>
      <c r="C86" s="245" t="s">
        <v>347</v>
      </c>
      <c r="D86" s="261" t="s">
        <v>612</v>
      </c>
      <c r="E86" s="248" t="s">
        <v>101</v>
      </c>
      <c r="F86" s="68">
        <v>100000</v>
      </c>
      <c r="G86" s="226">
        <f>F86*2.87%</f>
        <v>2870</v>
      </c>
      <c r="H86" s="226">
        <f>+F86*3.04%</f>
        <v>3040</v>
      </c>
      <c r="I86" s="68">
        <v>0</v>
      </c>
      <c r="J86" s="69">
        <f>+G86+H86+I86</f>
        <v>5910</v>
      </c>
      <c r="K86" s="69">
        <f>+F86-J86</f>
        <v>94090</v>
      </c>
      <c r="L86" s="225">
        <f>+IF(K86*12&lt;=416220.01,0,IF(K86*12&lt;=624329.01,(((K86*12-416220.01)*0.15)/12),IF((K86*12&lt;=867123.01),(31216+0.2*(K86*12-624329.01))/12,((79776+0.25*(K86*12-867123.01))/12))))-M86</f>
        <v>12105.437291666667</v>
      </c>
      <c r="M86" s="225"/>
      <c r="N86" s="231">
        <v>12060.92</v>
      </c>
      <c r="O86" s="225">
        <f>+N86+I86+H86+G86+L86</f>
        <v>30076.357291666667</v>
      </c>
      <c r="P86" s="87">
        <f>+F86-O86</f>
        <v>69923.642708333326</v>
      </c>
    </row>
    <row r="87" spans="1:17" s="152" customFormat="1" ht="35.1" customHeight="1" x14ac:dyDescent="0.2">
      <c r="A87" s="245">
        <f>+A86+1</f>
        <v>43</v>
      </c>
      <c r="B87" s="248" t="s">
        <v>221</v>
      </c>
      <c r="C87" s="245" t="s">
        <v>347</v>
      </c>
      <c r="D87" s="261" t="s">
        <v>612</v>
      </c>
      <c r="E87" s="248" t="s">
        <v>100</v>
      </c>
      <c r="F87" s="68">
        <v>95000</v>
      </c>
      <c r="G87" s="226">
        <f>F87*2.87%</f>
        <v>2726.5</v>
      </c>
      <c r="H87" s="226">
        <f>+F87*3.04%</f>
        <v>2888</v>
      </c>
      <c r="I87" s="226"/>
      <c r="J87" s="69">
        <f>+G87+H87+I87</f>
        <v>5614.5</v>
      </c>
      <c r="K87" s="69">
        <f>+F87-J87</f>
        <v>89385.5</v>
      </c>
      <c r="L87" s="225">
        <f>+IF(K87*12&lt;=416220.01,0,IF(K87*12&lt;=624329.01,(((K87*12-416220.01)*0.15)/12),IF((K87*12&lt;=867123.01),(31216+0.2*(K87*12-624329.01))/12,((79776+0.25*(K87*12-867123.01))/12))))-M87</f>
        <v>10929.312291666667</v>
      </c>
      <c r="M87" s="225"/>
      <c r="N87" s="231">
        <v>9249.27</v>
      </c>
      <c r="O87" s="225">
        <f>+N87+I87+H87+G87+L87</f>
        <v>25793.082291666666</v>
      </c>
      <c r="P87" s="87">
        <f>+F87-O87</f>
        <v>69206.917708333334</v>
      </c>
    </row>
    <row r="88" spans="1:17" s="152" customFormat="1" ht="35.1" customHeight="1" x14ac:dyDescent="0.2">
      <c r="A88" s="245">
        <f>+A87+1</f>
        <v>44</v>
      </c>
      <c r="B88" s="248" t="s">
        <v>219</v>
      </c>
      <c r="C88" s="245" t="s">
        <v>347</v>
      </c>
      <c r="D88" s="261" t="s">
        <v>612</v>
      </c>
      <c r="E88" s="248" t="s">
        <v>100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5">
        <f>+IF(K88*12&lt;=416220.01,0,IF(K88*12&lt;=624329.01,(((K88*12-416220.01)*0.15)/12),IF((K88*12&lt;=867123.01),(31216+0.2*(K88*12-624329.01))/12,((79776+0.25*(K88*12-867123.01))/12))))-M88</f>
        <v>8577.0622916666671</v>
      </c>
      <c r="M88" s="225"/>
      <c r="N88" s="231">
        <v>1225</v>
      </c>
      <c r="O88" s="225">
        <f>+N88+I88+H88+G88+L88</f>
        <v>14825.562291666667</v>
      </c>
      <c r="P88" s="87">
        <f>+F88-O88</f>
        <v>70174.437708333338</v>
      </c>
    </row>
    <row r="89" spans="1:17" s="216" customFormat="1" ht="35.1" customHeight="1" x14ac:dyDescent="0.2">
      <c r="A89" s="233" t="s">
        <v>103</v>
      </c>
      <c r="B89" s="234"/>
      <c r="C89" s="234"/>
      <c r="D89" s="234"/>
      <c r="E89" s="250"/>
      <c r="F89" s="235">
        <f t="shared" ref="F89:P89" si="21">SUM(F86:F88)</f>
        <v>280000</v>
      </c>
      <c r="G89" s="235">
        <f t="shared" si="21"/>
        <v>8036</v>
      </c>
      <c r="H89" s="235">
        <f t="shared" si="21"/>
        <v>8512</v>
      </c>
      <c r="I89" s="235">
        <f t="shared" si="21"/>
        <v>0</v>
      </c>
      <c r="J89" s="235">
        <f t="shared" si="21"/>
        <v>16548</v>
      </c>
      <c r="K89" s="235">
        <f t="shared" si="21"/>
        <v>263452</v>
      </c>
      <c r="L89" s="235">
        <f t="shared" si="21"/>
        <v>31611.811874999999</v>
      </c>
      <c r="M89" s="235">
        <f t="shared" si="21"/>
        <v>0</v>
      </c>
      <c r="N89" s="235">
        <f t="shared" si="21"/>
        <v>22535.190000000002</v>
      </c>
      <c r="O89" s="235">
        <f t="shared" si="21"/>
        <v>70695.001875000002</v>
      </c>
      <c r="P89" s="235">
        <f t="shared" si="21"/>
        <v>209304.99812500001</v>
      </c>
      <c r="Q89" s="338"/>
    </row>
    <row r="90" spans="1:17" s="229" customFormat="1" ht="35.1" customHeight="1" thickBot="1" x14ac:dyDescent="0.25">
      <c r="A90" s="212"/>
      <c r="B90" s="151"/>
      <c r="C90" s="212"/>
      <c r="D90" s="151"/>
      <c r="E90" s="151"/>
      <c r="F90" s="152"/>
      <c r="G90" s="153"/>
      <c r="H90" s="153"/>
      <c r="I90" s="153"/>
      <c r="J90" s="153"/>
      <c r="K90" s="153"/>
      <c r="L90" s="153"/>
      <c r="M90" s="153"/>
      <c r="N90" s="153"/>
      <c r="O90" s="153"/>
      <c r="P90" s="153"/>
    </row>
    <row r="91" spans="1:17" s="229" customFormat="1" ht="35.1" customHeight="1" thickBot="1" x14ac:dyDescent="0.25">
      <c r="A91" s="346" t="s">
        <v>138</v>
      </c>
      <c r="B91" s="347"/>
      <c r="C91" s="347"/>
      <c r="D91" s="347"/>
      <c r="E91" s="34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</row>
    <row r="92" spans="1:17" s="152" customFormat="1" ht="35.1" customHeight="1" x14ac:dyDescent="0.2">
      <c r="A92" s="247">
        <f>+A88+1</f>
        <v>45</v>
      </c>
      <c r="B92" s="255" t="s">
        <v>53</v>
      </c>
      <c r="C92" s="247" t="s">
        <v>347</v>
      </c>
      <c r="D92" s="267" t="s">
        <v>161</v>
      </c>
      <c r="E92" s="248" t="s">
        <v>101</v>
      </c>
      <c r="F92" s="69">
        <v>155250</v>
      </c>
      <c r="G92" s="69">
        <v>4455.6750000000002</v>
      </c>
      <c r="H92" s="68">
        <f>+F92*3.04%</f>
        <v>4719.6000000000004</v>
      </c>
      <c r="I92" s="226">
        <v>0</v>
      </c>
      <c r="J92" s="69">
        <f>+G92+H92+I92</f>
        <v>9175.2750000000015</v>
      </c>
      <c r="K92" s="69">
        <f>+F92-J92</f>
        <v>146074.72500000001</v>
      </c>
      <c r="L92" s="225">
        <f>+IF(K92*12&lt;=416220.01,0,IF(K92*12&lt;=624329.01,(((K92*12-416220.01)*0.15)/12),IF((K92*12&lt;=867123.01),(31216+0.2*(K92*12-624329.01))/12,((79776+0.25*(K92*12-867123.01))/12))))-M92</f>
        <v>25101.61854166667</v>
      </c>
      <c r="M92" s="69"/>
      <c r="N92" s="244">
        <v>10225</v>
      </c>
      <c r="O92" s="225">
        <f>+N92+I92+H92+G92+L92</f>
        <v>44501.893541666672</v>
      </c>
      <c r="P92" s="87">
        <f>+F92-O92</f>
        <v>110748.10645833332</v>
      </c>
    </row>
    <row r="93" spans="1:17" s="152" customFormat="1" ht="35.1" customHeight="1" x14ac:dyDescent="0.2">
      <c r="A93" s="233" t="s">
        <v>103</v>
      </c>
      <c r="B93" s="234"/>
      <c r="C93" s="234"/>
      <c r="D93" s="234"/>
      <c r="E93" s="250"/>
      <c r="F93" s="235">
        <f t="shared" ref="F93:L93" si="22">SUM(F92:F92)</f>
        <v>155250</v>
      </c>
      <c r="G93" s="235">
        <f t="shared" si="22"/>
        <v>4455.6750000000002</v>
      </c>
      <c r="H93" s="235">
        <f t="shared" si="22"/>
        <v>4719.6000000000004</v>
      </c>
      <c r="I93" s="235">
        <f t="shared" si="22"/>
        <v>0</v>
      </c>
      <c r="J93" s="235">
        <f t="shared" si="22"/>
        <v>9175.2750000000015</v>
      </c>
      <c r="K93" s="235">
        <f t="shared" si="22"/>
        <v>146074.72500000001</v>
      </c>
      <c r="L93" s="235">
        <f t="shared" si="22"/>
        <v>25101.61854166667</v>
      </c>
      <c r="M93" s="235"/>
      <c r="N93" s="235">
        <f>SUM(N92:N92)</f>
        <v>10225</v>
      </c>
      <c r="O93" s="235">
        <f>SUM(O92:O92)</f>
        <v>44501.893541666672</v>
      </c>
      <c r="P93" s="235">
        <f>SUM(P92:P92)</f>
        <v>110748.10645833332</v>
      </c>
      <c r="Q93" s="336"/>
    </row>
    <row r="94" spans="1:17" s="152" customFormat="1" ht="35.1" customHeight="1" thickBot="1" x14ac:dyDescent="0.25">
      <c r="A94" s="228"/>
      <c r="B94" s="228"/>
      <c r="C94" s="254"/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</row>
    <row r="95" spans="1:17" s="263" customFormat="1" ht="35.1" customHeight="1" thickBot="1" x14ac:dyDescent="0.25">
      <c r="A95" s="346" t="s">
        <v>140</v>
      </c>
      <c r="B95" s="347"/>
      <c r="C95" s="347"/>
      <c r="D95" s="347"/>
      <c r="E95" s="34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</row>
    <row r="96" spans="1:17" s="229" customFormat="1" ht="35.1" customHeight="1" x14ac:dyDescent="0.2">
      <c r="A96" s="223">
        <f>+A92+1</f>
        <v>46</v>
      </c>
      <c r="B96" s="224" t="s">
        <v>222</v>
      </c>
      <c r="C96" s="223" t="s">
        <v>346</v>
      </c>
      <c r="D96" s="232" t="s">
        <v>612</v>
      </c>
      <c r="E96" s="224" t="s">
        <v>100</v>
      </c>
      <c r="F96" s="225">
        <v>100000</v>
      </c>
      <c r="G96" s="68">
        <f>F96*2.87%</f>
        <v>2870</v>
      </c>
      <c r="H96" s="226">
        <f>+F96*3.04%</f>
        <v>3040</v>
      </c>
      <c r="I96" s="226"/>
      <c r="J96" s="225">
        <f>+G96+H96+I96</f>
        <v>5910</v>
      </c>
      <c r="K96" s="225">
        <f>+F96-J96</f>
        <v>94090</v>
      </c>
      <c r="L96" s="225">
        <f>+IF(K96*12&lt;=416220.01,0,IF(K96*12&lt;=624329.01,(((K96*12-416220.01)*0.15)/12),IF((K96*12&lt;=867123.01),(31216+0.2*(K96*12-624329.01))/12,((79776+0.25*(K96*12-867123.01))/12))))-M96</f>
        <v>12105.437291666667</v>
      </c>
      <c r="M96" s="225"/>
      <c r="N96" s="231">
        <v>10454.44</v>
      </c>
      <c r="O96" s="225">
        <f>+N96+I96+H96+G96+L96</f>
        <v>28469.877291666668</v>
      </c>
      <c r="P96" s="227">
        <f>+F96-O96</f>
        <v>71530.122708333336</v>
      </c>
    </row>
    <row r="97" spans="1:17" s="152" customFormat="1" ht="35.1" customHeight="1" x14ac:dyDescent="0.2">
      <c r="A97" s="223">
        <f>+A96+1</f>
        <v>47</v>
      </c>
      <c r="B97" s="224" t="s">
        <v>224</v>
      </c>
      <c r="C97" s="223" t="s">
        <v>347</v>
      </c>
      <c r="D97" s="232" t="s">
        <v>612</v>
      </c>
      <c r="E97" s="224" t="s">
        <v>100</v>
      </c>
      <c r="F97" s="225">
        <v>95000</v>
      </c>
      <c r="G97" s="226">
        <f>F97*2.87%</f>
        <v>2726.5</v>
      </c>
      <c r="H97" s="226">
        <f>+F97*3.04%</f>
        <v>2888</v>
      </c>
      <c r="I97" s="226"/>
      <c r="J97" s="225">
        <f>+G97+H97+I97</f>
        <v>5614.5</v>
      </c>
      <c r="K97" s="225">
        <f>+F97-J97</f>
        <v>89385.5</v>
      </c>
      <c r="L97" s="225">
        <f>+IF(K97*12&lt;=416220.01,0,IF(K97*12&lt;=624329.01,(((K97*12-416220.01)*0.15)/12),IF((K97*12&lt;=867123.01),(31216+0.2*(K97*12-624329.01))/12,((79776+0.25*(K97*12-867123.01))/12))))-M97</f>
        <v>10929.312291666667</v>
      </c>
      <c r="M97" s="225"/>
      <c r="N97" s="231">
        <v>225</v>
      </c>
      <c r="O97" s="225">
        <f>+N97+I97+H97+G97+L97</f>
        <v>16768.812291666669</v>
      </c>
      <c r="P97" s="227">
        <f>+F97-O97</f>
        <v>78231.187708333338</v>
      </c>
    </row>
    <row r="98" spans="1:17" ht="35.1" customHeight="1" x14ac:dyDescent="0.2">
      <c r="A98" s="223">
        <f>+A97+1</f>
        <v>48</v>
      </c>
      <c r="B98" s="224" t="s">
        <v>117</v>
      </c>
      <c r="C98" s="223" t="s">
        <v>347</v>
      </c>
      <c r="D98" s="232" t="s">
        <v>612</v>
      </c>
      <c r="E98" s="224" t="s">
        <v>100</v>
      </c>
      <c r="F98" s="225">
        <v>90000</v>
      </c>
      <c r="G98" s="226">
        <f>F98*2.87%</f>
        <v>2583</v>
      </c>
      <c r="H98" s="226">
        <f>+F98*3.04%</f>
        <v>2736</v>
      </c>
      <c r="I98" s="226"/>
      <c r="J98" s="225">
        <f>+G98+H98+I98</f>
        <v>5319</v>
      </c>
      <c r="K98" s="225">
        <f>+F98-J98</f>
        <v>84681</v>
      </c>
      <c r="L98" s="225">
        <f>+IF(K98*12&lt;=416220.01,0,IF(K98*12&lt;=624329.01,(((K98*12-416220.01)*0.15)/12),IF((K98*12&lt;=867123.01),(31216+0.2*(K98*12-624329.01))/12,((79776+0.25*(K98*12-867123.01))/12))))-M98</f>
        <v>9753.1872916666671</v>
      </c>
      <c r="M98" s="225"/>
      <c r="N98" s="244">
        <v>225</v>
      </c>
      <c r="O98" s="225">
        <f>+N98+I98+H98+G98+L98</f>
        <v>15297.187291666667</v>
      </c>
      <c r="P98" s="227">
        <f>+F98-O98</f>
        <v>74702.812708333338</v>
      </c>
    </row>
    <row r="99" spans="1:17" s="152" customFormat="1" ht="35.1" customHeight="1" x14ac:dyDescent="0.2">
      <c r="A99" s="223">
        <f>+A98+1</f>
        <v>49</v>
      </c>
      <c r="B99" s="72" t="s">
        <v>38</v>
      </c>
      <c r="C99" s="73" t="s">
        <v>347</v>
      </c>
      <c r="D99" s="72" t="s">
        <v>612</v>
      </c>
      <c r="E99" s="72" t="s">
        <v>169</v>
      </c>
      <c r="F99" s="226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5">
        <f>+IF(K99*12&lt;=416220.01,0,IF(K99*12&lt;=624329.01,(((K99*12-416220.01)*0.15)/12),IF((K99*12&lt;=867123.01),(31216+0.2*(K99*12-624329.01))/12,((79776+0.25*(K99*12-867123.01))/12))))-M99</f>
        <v>9753.1872916666671</v>
      </c>
      <c r="M99" s="69"/>
      <c r="N99" s="231">
        <v>225</v>
      </c>
      <c r="O99" s="225">
        <f>+N99+I99+H99+G99+L99</f>
        <v>15297.187291666667</v>
      </c>
      <c r="P99" s="244">
        <f>+F99-O99</f>
        <v>74702.812708333338</v>
      </c>
    </row>
    <row r="100" spans="1:17" s="229" customFormat="1" ht="35.1" customHeight="1" x14ac:dyDescent="0.2">
      <c r="A100" s="73"/>
      <c r="B100" s="268"/>
      <c r="C100" s="269"/>
      <c r="D100" s="233" t="s">
        <v>103</v>
      </c>
      <c r="E100" s="250"/>
      <c r="F100" s="235">
        <f t="shared" ref="F100:P100" si="23">SUM(F96:F99)</f>
        <v>375000</v>
      </c>
      <c r="G100" s="235">
        <f t="shared" si="23"/>
        <v>10762.5</v>
      </c>
      <c r="H100" s="235">
        <f t="shared" si="23"/>
        <v>11400</v>
      </c>
      <c r="I100" s="235">
        <f t="shared" si="23"/>
        <v>0</v>
      </c>
      <c r="J100" s="235">
        <f t="shared" si="23"/>
        <v>22162.5</v>
      </c>
      <c r="K100" s="235">
        <f t="shared" si="23"/>
        <v>352837.5</v>
      </c>
      <c r="L100" s="235">
        <f t="shared" si="23"/>
        <v>42541.124166666668</v>
      </c>
      <c r="M100" s="235">
        <f t="shared" si="23"/>
        <v>0</v>
      </c>
      <c r="N100" s="235">
        <f t="shared" si="23"/>
        <v>11129.44</v>
      </c>
      <c r="O100" s="235">
        <f t="shared" si="23"/>
        <v>75833.064166666678</v>
      </c>
      <c r="P100" s="235">
        <f t="shared" si="23"/>
        <v>299166.93583333335</v>
      </c>
      <c r="Q100" s="336"/>
    </row>
    <row r="101" spans="1:17" s="229" customFormat="1" ht="35.1" customHeight="1" thickBot="1" x14ac:dyDescent="0.25">
      <c r="A101" s="212"/>
      <c r="B101" s="151"/>
      <c r="C101" s="212"/>
      <c r="D101" s="238"/>
      <c r="E101" s="151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</row>
    <row r="102" spans="1:17" s="152" customFormat="1" ht="35.1" customHeight="1" thickBot="1" x14ac:dyDescent="0.25">
      <c r="A102" s="346" t="s">
        <v>141</v>
      </c>
      <c r="B102" s="347"/>
      <c r="C102" s="347"/>
      <c r="D102" s="347"/>
      <c r="E102" s="34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</row>
    <row r="103" spans="1:17" s="229" customFormat="1" ht="35.1" customHeight="1" x14ac:dyDescent="0.2">
      <c r="A103" s="245">
        <f>+A99+1</f>
        <v>50</v>
      </c>
      <c r="B103" s="72" t="s">
        <v>482</v>
      </c>
      <c r="C103" s="73" t="s">
        <v>346</v>
      </c>
      <c r="D103" s="243" t="s">
        <v>483</v>
      </c>
      <c r="E103" s="248" t="s">
        <v>101</v>
      </c>
      <c r="F103" s="68">
        <v>190000</v>
      </c>
      <c r="G103" s="68">
        <f>F103*2.87%</f>
        <v>5453</v>
      </c>
      <c r="H103" s="68">
        <v>5776</v>
      </c>
      <c r="I103" s="68"/>
      <c r="J103" s="69">
        <f>+G103+H103+I103</f>
        <v>11229</v>
      </c>
      <c r="K103" s="69">
        <f>+F103-J103</f>
        <v>178771</v>
      </c>
      <c r="L103" s="69">
        <f>+IF(K103*12&lt;=416220.01,0,IF(K103*12&lt;=624329.01,(((K103*12-416220.01)*0.15)/12),IF((K103*12&lt;=867123.01),(31216+0.2*(K103*12-624329.01))/12,((79776+0.25*(K103*12-867123.01))/12))))-M103</f>
        <v>33275.687291666669</v>
      </c>
      <c r="M103" s="69"/>
      <c r="N103" s="244">
        <v>25</v>
      </c>
      <c r="O103" s="225">
        <f>+N103+I103+H103+G103+L103</f>
        <v>44529.687291666669</v>
      </c>
      <c r="P103" s="87">
        <f>+F103-O103</f>
        <v>145470.31270833334</v>
      </c>
    </row>
    <row r="104" spans="1:17" s="229" customFormat="1" ht="35.1" customHeight="1" x14ac:dyDescent="0.2">
      <c r="A104" s="245">
        <f>+A103+1</f>
        <v>51</v>
      </c>
      <c r="B104" s="72" t="s">
        <v>61</v>
      </c>
      <c r="C104" s="73" t="s">
        <v>346</v>
      </c>
      <c r="D104" s="243" t="s">
        <v>444</v>
      </c>
      <c r="E104" s="248" t="s">
        <v>101</v>
      </c>
      <c r="F104" s="68">
        <v>115000</v>
      </c>
      <c r="G104" s="68">
        <f>F104*2.87%</f>
        <v>3300.5</v>
      </c>
      <c r="H104" s="68">
        <f>+F104*3.04%</f>
        <v>3496</v>
      </c>
      <c r="I104" s="68">
        <v>1715.46</v>
      </c>
      <c r="J104" s="69">
        <f>+G104+H104+I104</f>
        <v>8511.9599999999991</v>
      </c>
      <c r="K104" s="69">
        <f>+F104-J104</f>
        <v>106488.04000000001</v>
      </c>
      <c r="L104" s="69">
        <f>+IF(K104*12&lt;=416220.01,0,IF(K104*12&lt;=624329.01,(((K104*12-416220.01)*0.15)/12),IF((K104*12&lt;=867123.01),(31216+0.2*(K104*12-624329.01))/12,((79776+0.25*(K104*12-867123.01))/12))))-M104</f>
        <v>15204.947291666665</v>
      </c>
      <c r="M104" s="69"/>
      <c r="N104" s="244">
        <v>11463</v>
      </c>
      <c r="O104" s="225">
        <f>+N104+I104+H104+G104+L104</f>
        <v>35179.907291666663</v>
      </c>
      <c r="P104" s="87">
        <f>+F104-O104</f>
        <v>79820.092708333337</v>
      </c>
    </row>
    <row r="105" spans="1:17" s="101" customFormat="1" ht="35.1" customHeight="1" x14ac:dyDescent="0.2">
      <c r="A105" s="233" t="s">
        <v>103</v>
      </c>
      <c r="B105" s="234"/>
      <c r="C105" s="234"/>
      <c r="D105" s="234"/>
      <c r="E105" s="250"/>
      <c r="F105" s="235">
        <f t="shared" ref="F105:L105" si="24">SUM(F103:F104)</f>
        <v>305000</v>
      </c>
      <c r="G105" s="235">
        <f t="shared" si="24"/>
        <v>8753.5</v>
      </c>
      <c r="H105" s="235">
        <f t="shared" si="24"/>
        <v>9272</v>
      </c>
      <c r="I105" s="235">
        <f t="shared" si="24"/>
        <v>1715.46</v>
      </c>
      <c r="J105" s="235">
        <f t="shared" si="24"/>
        <v>19740.96</v>
      </c>
      <c r="K105" s="235">
        <f t="shared" si="24"/>
        <v>285259.04000000004</v>
      </c>
      <c r="L105" s="235">
        <f t="shared" si="24"/>
        <v>48480.634583333333</v>
      </c>
      <c r="M105" s="235"/>
      <c r="N105" s="235">
        <f>SUM(N103:N104)</f>
        <v>11488</v>
      </c>
      <c r="O105" s="235">
        <f>SUM(O103:O104)</f>
        <v>79709.594583333324</v>
      </c>
      <c r="P105" s="235">
        <f>SUM(P103:P104)</f>
        <v>225290.40541666668</v>
      </c>
      <c r="Q105" s="340"/>
    </row>
    <row r="106" spans="1:17" s="152" customFormat="1" ht="42.75" customHeight="1" thickBot="1" x14ac:dyDescent="0.25">
      <c r="A106" s="237"/>
      <c r="B106" s="271"/>
      <c r="C106" s="272"/>
      <c r="D106" s="271"/>
      <c r="E106" s="271"/>
      <c r="F106" s="273"/>
    </row>
    <row r="107" spans="1:17" s="253" customFormat="1" ht="35.1" customHeight="1" thickBot="1" x14ac:dyDescent="0.25">
      <c r="A107" s="346" t="s">
        <v>142</v>
      </c>
      <c r="B107" s="347"/>
      <c r="C107" s="347"/>
      <c r="D107" s="347"/>
      <c r="E107" s="34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</row>
    <row r="108" spans="1:17" s="229" customFormat="1" ht="35.1" customHeight="1" x14ac:dyDescent="0.2">
      <c r="A108" s="245">
        <f>+A104+1</f>
        <v>52</v>
      </c>
      <c r="B108" s="72" t="s">
        <v>226</v>
      </c>
      <c r="C108" s="73" t="s">
        <v>347</v>
      </c>
      <c r="D108" s="243" t="s">
        <v>612</v>
      </c>
      <c r="E108" s="72" t="s">
        <v>101</v>
      </c>
      <c r="F108" s="226">
        <v>95000</v>
      </c>
      <c r="G108" s="226">
        <f>F108*2.87%</f>
        <v>2726.5</v>
      </c>
      <c r="H108" s="226">
        <f>+F108*3.04%</f>
        <v>2888</v>
      </c>
      <c r="I108" s="226"/>
      <c r="J108" s="225">
        <f>+G108+H108+I108</f>
        <v>5614.5</v>
      </c>
      <c r="K108" s="225">
        <f>+F108-J108</f>
        <v>89385.5</v>
      </c>
      <c r="L108" s="69">
        <f>+IF(K108*12&lt;=416220.01,0,IF(K108*12&lt;=624329.01,(((K108*12-416220.01)*0.15)/12),IF((K108*12&lt;=867123.01),(31216+0.2*(K108*12-624329.01))/12,((79776+0.25*(K108*12-867123.01))/12))))-M108</f>
        <v>10929.312291666667</v>
      </c>
      <c r="M108" s="225"/>
      <c r="N108" s="225">
        <v>23674.739999999998</v>
      </c>
      <c r="O108" s="225">
        <f>+N108+I108+H108+G108+L108</f>
        <v>40218.552291666667</v>
      </c>
      <c r="P108" s="227">
        <f>+F108-O108</f>
        <v>54781.447708333333</v>
      </c>
    </row>
    <row r="109" spans="1:17" s="229" customFormat="1" ht="35.1" customHeight="1" x14ac:dyDescent="0.2">
      <c r="A109" s="245">
        <f>+A108+1</f>
        <v>53</v>
      </c>
      <c r="B109" s="72" t="s">
        <v>52</v>
      </c>
      <c r="C109" s="73" t="s">
        <v>347</v>
      </c>
      <c r="D109" s="243" t="s">
        <v>612</v>
      </c>
      <c r="E109" s="72" t="s">
        <v>100</v>
      </c>
      <c r="F109" s="226">
        <v>85000</v>
      </c>
      <c r="G109" s="69">
        <f>F109*2.87%</f>
        <v>2439.5</v>
      </c>
      <c r="H109" s="69">
        <f>+F109*3.04%</f>
        <v>2584</v>
      </c>
      <c r="I109" s="69"/>
      <c r="J109" s="69">
        <f>+G109+H109+I109</f>
        <v>5023.5</v>
      </c>
      <c r="K109" s="69">
        <f>+F109-J109</f>
        <v>79976.5</v>
      </c>
      <c r="L109" s="69">
        <f>+IF(K109*12&lt;=416220.01,0,IF(K109*12&lt;=624329.01,(((K109*12-416220.01)*0.15)/12),IF((K109*12&lt;=867123.01),(31216+0.2*(K109*12-624329.01))/12,((79776+0.25*(K109*12-867123.01))/12))))-M109</f>
        <v>8577.0622916666671</v>
      </c>
      <c r="M109" s="69"/>
      <c r="N109" s="69">
        <v>10348.73</v>
      </c>
      <c r="O109" s="69">
        <f>+N109+I109+H109+G109+L109</f>
        <v>23949.292291666665</v>
      </c>
      <c r="P109" s="227">
        <f>+F109-O109</f>
        <v>61050.707708333335</v>
      </c>
    </row>
    <row r="110" spans="1:17" s="229" customFormat="1" ht="35.1" customHeight="1" x14ac:dyDescent="0.2">
      <c r="A110" s="73">
        <f>+A109+1</f>
        <v>54</v>
      </c>
      <c r="B110" s="72" t="s">
        <v>233</v>
      </c>
      <c r="C110" s="73" t="s">
        <v>346</v>
      </c>
      <c r="D110" s="243" t="s">
        <v>612</v>
      </c>
      <c r="E110" s="72" t="s">
        <v>100</v>
      </c>
      <c r="F110" s="226">
        <v>80000</v>
      </c>
      <c r="G110" s="226">
        <f>F110*2.87%</f>
        <v>2296</v>
      </c>
      <c r="H110" s="226">
        <f>+F110*3.04%</f>
        <v>2432</v>
      </c>
      <c r="I110" s="226"/>
      <c r="J110" s="225">
        <f>+G110+H110+I110</f>
        <v>4728</v>
      </c>
      <c r="K110" s="225">
        <f>+F110-J110</f>
        <v>75272</v>
      </c>
      <c r="L110" s="69">
        <f>+IF(K110*12&lt;=416220.01,0,IF(K110*12&lt;=624329.01,(((K110*12-416220.01)*0.15)/12),IF((K110*12&lt;=867123.01),(31216+0.2*(K110*12-624329.01))/12,((79776+0.25*(K110*12-867123.01))/12))))-M110</f>
        <v>7400.9372916666662</v>
      </c>
      <c r="M110" s="225"/>
      <c r="N110" s="231">
        <v>25</v>
      </c>
      <c r="O110" s="225">
        <f>+N110+I110+H110+G110+L110</f>
        <v>12153.937291666665</v>
      </c>
      <c r="P110" s="227">
        <f>+F110-O110</f>
        <v>67846.062708333338</v>
      </c>
    </row>
    <row r="111" spans="1:17" s="229" customFormat="1" ht="35.1" customHeight="1" x14ac:dyDescent="0.2">
      <c r="A111" s="73">
        <f>+A110+1</f>
        <v>55</v>
      </c>
      <c r="B111" s="72" t="s">
        <v>42</v>
      </c>
      <c r="C111" s="73" t="s">
        <v>620</v>
      </c>
      <c r="D111" s="243" t="s">
        <v>612</v>
      </c>
      <c r="E111" s="72" t="s">
        <v>100</v>
      </c>
      <c r="F111" s="226">
        <v>95000</v>
      </c>
      <c r="G111" s="226">
        <f>F111*2.87%</f>
        <v>2726.5</v>
      </c>
      <c r="H111" s="226">
        <f>+F111*3.04%</f>
        <v>2888</v>
      </c>
      <c r="I111" s="226"/>
      <c r="J111" s="225">
        <f>+G111+H111+I111</f>
        <v>5614.5</v>
      </c>
      <c r="K111" s="225">
        <f>+F111-J111</f>
        <v>89385.5</v>
      </c>
      <c r="L111" s="69">
        <f>+IF(K111*12&lt;=416220.01,0,IF(K111*12&lt;=624329.01,(((K111*12-416220.01)*0.15)/12),IF((K111*12&lt;=867123.01),(31216+0.2*(K111*12-624329.01))/12,((79776+0.25*(K111*12-867123.01))/12))))-M111</f>
        <v>10929.312291666667</v>
      </c>
      <c r="M111" s="225"/>
      <c r="N111" s="231">
        <v>4755.83</v>
      </c>
      <c r="O111" s="225">
        <f>+N111+I111+H111+G111+L111</f>
        <v>21299.642291666667</v>
      </c>
      <c r="P111" s="227">
        <f>+F111-O111</f>
        <v>73700.357708333337</v>
      </c>
    </row>
    <row r="112" spans="1:17" s="229" customFormat="1" ht="35.1" customHeight="1" thickBot="1" x14ac:dyDescent="0.25">
      <c r="A112" s="233" t="s">
        <v>103</v>
      </c>
      <c r="B112" s="234"/>
      <c r="C112" s="234"/>
      <c r="D112" s="234"/>
      <c r="E112" s="250"/>
      <c r="F112" s="235">
        <f>SUM(F108:F111)</f>
        <v>355000</v>
      </c>
      <c r="G112" s="235">
        <f t="shared" ref="G112:O112" si="25">SUM(G108:G111)</f>
        <v>10188.5</v>
      </c>
      <c r="H112" s="235">
        <f t="shared" si="25"/>
        <v>10792</v>
      </c>
      <c r="I112" s="235">
        <f t="shared" si="25"/>
        <v>0</v>
      </c>
      <c r="J112" s="235">
        <f t="shared" si="25"/>
        <v>20980.5</v>
      </c>
      <c r="K112" s="235">
        <f t="shared" si="25"/>
        <v>334019.5</v>
      </c>
      <c r="L112" s="235">
        <f t="shared" si="25"/>
        <v>37836.624166666668</v>
      </c>
      <c r="M112" s="235">
        <f t="shared" si="25"/>
        <v>0</v>
      </c>
      <c r="N112" s="235">
        <f>SUM(N108:N111)</f>
        <v>38804.300000000003</v>
      </c>
      <c r="O112" s="235">
        <f t="shared" si="25"/>
        <v>97621.424166666664</v>
      </c>
      <c r="P112" s="235">
        <f>SUM(P108:P111)</f>
        <v>257378.57583333337</v>
      </c>
      <c r="Q112" s="336"/>
    </row>
    <row r="113" spans="1:17" s="251" customFormat="1" ht="35.1" customHeight="1" thickBot="1" x14ac:dyDescent="0.25">
      <c r="A113" s="346" t="s">
        <v>143</v>
      </c>
      <c r="B113" s="347"/>
      <c r="C113" s="347"/>
      <c r="D113" s="347"/>
      <c r="E113" s="347"/>
      <c r="F113" s="257"/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</row>
    <row r="114" spans="1:17" s="152" customFormat="1" ht="35.1" customHeight="1" x14ac:dyDescent="0.2">
      <c r="A114" s="73">
        <f>+A111+1</f>
        <v>56</v>
      </c>
      <c r="B114" s="72" t="s">
        <v>406</v>
      </c>
      <c r="C114" s="73" t="s">
        <v>346</v>
      </c>
      <c r="D114" s="243" t="s">
        <v>612</v>
      </c>
      <c r="E114" s="72" t="s">
        <v>101</v>
      </c>
      <c r="F114" s="226">
        <v>95000</v>
      </c>
      <c r="G114" s="226">
        <f>F114*2.87%</f>
        <v>2726.5</v>
      </c>
      <c r="H114" s="68">
        <f>+F114*3.04%</f>
        <v>2888</v>
      </c>
      <c r="I114" s="68"/>
      <c r="J114" s="69">
        <f>+G114+H114+I114</f>
        <v>5614.5</v>
      </c>
      <c r="K114" s="69">
        <f>+F114-J114</f>
        <v>89385.5</v>
      </c>
      <c r="L114" s="69">
        <f>+IF(K114*12&lt;=416220.01,0,IF(K114*12&lt;=624329.01,(((K114*12-416220.01)*0.15)/12),IF((K114*12&lt;=867123.01),(31216+0.2*(K114*12-624329.01))/12,((79776+0.25*(K114*12-867123.01))/12))))-M114</f>
        <v>10929.312291666667</v>
      </c>
      <c r="M114" s="69"/>
      <c r="N114" s="225">
        <v>10225</v>
      </c>
      <c r="O114" s="225">
        <f>+N114+I114+H114+G114+L114</f>
        <v>26768.812291666669</v>
      </c>
      <c r="P114" s="87">
        <f>+F114-O114</f>
        <v>68231.187708333338</v>
      </c>
    </row>
    <row r="115" spans="1:17" s="152" customFormat="1" ht="35.1" customHeight="1" x14ac:dyDescent="0.2">
      <c r="A115" s="73">
        <f>+A114+1</f>
        <v>57</v>
      </c>
      <c r="B115" s="72" t="s">
        <v>498</v>
      </c>
      <c r="C115" s="73" t="s">
        <v>347</v>
      </c>
      <c r="D115" s="243" t="s">
        <v>612</v>
      </c>
      <c r="E115" s="72" t="s">
        <v>101</v>
      </c>
      <c r="F115" s="226">
        <v>95000</v>
      </c>
      <c r="G115" s="226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ref="L115:L117" si="26">+IF(K115*12&lt;=416220.01,0,IF(K115*12&lt;=624329.01,(((K115*12-416220.01)*0.15)/12),IF((K115*12&lt;=867123.01),(31216+0.2*(K115*12-624329.01))/12,((79776+0.25*(K115*12-867123.01))/12))))-M115</f>
        <v>10929.312291666667</v>
      </c>
      <c r="M115" s="69"/>
      <c r="N115" s="231">
        <v>6312.81</v>
      </c>
      <c r="O115" s="225">
        <f>+N115+I115+H115+G115+L115</f>
        <v>22856.622291666667</v>
      </c>
      <c r="P115" s="87">
        <f>+F115-O115</f>
        <v>72143.377708333341</v>
      </c>
    </row>
    <row r="116" spans="1:17" s="152" customFormat="1" ht="35.1" customHeight="1" x14ac:dyDescent="0.2">
      <c r="A116" s="73">
        <f>+A115+1</f>
        <v>58</v>
      </c>
      <c r="B116" s="72" t="s">
        <v>237</v>
      </c>
      <c r="C116" s="73" t="s">
        <v>347</v>
      </c>
      <c r="D116" s="243" t="s">
        <v>612</v>
      </c>
      <c r="E116" s="72" t="s">
        <v>101</v>
      </c>
      <c r="F116" s="226">
        <v>95000</v>
      </c>
      <c r="G116" s="226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si="26"/>
        <v>10929.312291666667</v>
      </c>
      <c r="M116" s="69"/>
      <c r="N116" s="231">
        <v>1225</v>
      </c>
      <c r="O116" s="225">
        <f>+N116+I116+H116+G116+L116</f>
        <v>17768.812291666669</v>
      </c>
      <c r="P116" s="87">
        <f>+F116-O116</f>
        <v>77231.187708333338</v>
      </c>
    </row>
    <row r="117" spans="1:17" s="251" customFormat="1" ht="35.1" customHeight="1" x14ac:dyDescent="0.2">
      <c r="A117" s="73">
        <f>+A116+1</f>
        <v>59</v>
      </c>
      <c r="B117" s="72" t="s">
        <v>167</v>
      </c>
      <c r="C117" s="73" t="s">
        <v>346</v>
      </c>
      <c r="D117" s="243" t="s">
        <v>612</v>
      </c>
      <c r="E117" s="72" t="s">
        <v>101</v>
      </c>
      <c r="F117" s="226">
        <v>80000</v>
      </c>
      <c r="G117" s="68">
        <v>2296</v>
      </c>
      <c r="H117" s="68">
        <v>2432</v>
      </c>
      <c r="I117" s="68">
        <v>1715.46</v>
      </c>
      <c r="J117" s="69">
        <f>+G117+H117+I117</f>
        <v>6443.46</v>
      </c>
      <c r="K117" s="69">
        <f>+F117-J117</f>
        <v>73556.539999999994</v>
      </c>
      <c r="L117" s="69">
        <f t="shared" si="26"/>
        <v>6972.0722916666664</v>
      </c>
      <c r="M117" s="69"/>
      <c r="N117" s="244">
        <v>38700.47</v>
      </c>
      <c r="O117" s="225">
        <f>+N117+I117+H117+G117+L117</f>
        <v>52116.002291666664</v>
      </c>
      <c r="P117" s="87">
        <f>+F117-O117</f>
        <v>27883.997708333336</v>
      </c>
    </row>
    <row r="118" spans="1:17" s="152" customFormat="1" ht="35.1" customHeight="1" x14ac:dyDescent="0.2">
      <c r="A118" s="233" t="s">
        <v>103</v>
      </c>
      <c r="B118" s="234"/>
      <c r="C118" s="234"/>
      <c r="D118" s="234"/>
      <c r="E118" s="250"/>
      <c r="F118" s="235">
        <f t="shared" ref="F118:L118" si="27">SUM(F114:F117)</f>
        <v>365000</v>
      </c>
      <c r="G118" s="235">
        <f t="shared" si="27"/>
        <v>10475.5</v>
      </c>
      <c r="H118" s="235">
        <f t="shared" si="27"/>
        <v>11096</v>
      </c>
      <c r="I118" s="235">
        <f t="shared" si="27"/>
        <v>1715.46</v>
      </c>
      <c r="J118" s="235">
        <f t="shared" si="27"/>
        <v>23286.959999999999</v>
      </c>
      <c r="K118" s="235">
        <f t="shared" si="27"/>
        <v>341713.04</v>
      </c>
      <c r="L118" s="235">
        <f t="shared" si="27"/>
        <v>39760.009166666663</v>
      </c>
      <c r="M118" s="235"/>
      <c r="N118" s="235">
        <f>SUM(N114:N117)</f>
        <v>56463.28</v>
      </c>
      <c r="O118" s="235">
        <f>SUM(O114:O117)</f>
        <v>119510.24916666668</v>
      </c>
      <c r="P118" s="235">
        <f>SUM(P114:P117)</f>
        <v>245489.75083333335</v>
      </c>
      <c r="Q118" s="336"/>
    </row>
    <row r="119" spans="1:17" s="152" customFormat="1" ht="35.1" customHeight="1" thickBot="1" x14ac:dyDescent="0.25">
      <c r="A119" s="212"/>
      <c r="B119" s="151"/>
      <c r="C119" s="212"/>
      <c r="D119" s="151"/>
      <c r="E119" s="151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</row>
    <row r="120" spans="1:17" s="152" customFormat="1" ht="35.1" customHeight="1" thickBot="1" x14ac:dyDescent="0.25">
      <c r="A120" s="346" t="s">
        <v>144</v>
      </c>
      <c r="B120" s="347"/>
      <c r="C120" s="347"/>
      <c r="D120" s="347"/>
      <c r="E120" s="347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/>
      <c r="P120" s="257"/>
    </row>
    <row r="121" spans="1:17" s="152" customFormat="1" ht="35.1" customHeight="1" x14ac:dyDescent="0.2">
      <c r="A121" s="73">
        <f>+A117+1</f>
        <v>60</v>
      </c>
      <c r="B121" s="248" t="s">
        <v>4</v>
      </c>
      <c r="C121" s="245" t="s">
        <v>347</v>
      </c>
      <c r="D121" s="261" t="s">
        <v>612</v>
      </c>
      <c r="E121" s="248" t="s">
        <v>101</v>
      </c>
      <c r="F121" s="68">
        <v>95000</v>
      </c>
      <c r="G121" s="68">
        <f>F121*2.87%</f>
        <v>2726.5</v>
      </c>
      <c r="H121" s="68">
        <f>+F121*3.04%</f>
        <v>2888</v>
      </c>
      <c r="I121" s="226"/>
      <c r="J121" s="225">
        <f>+G121+H121+I121</f>
        <v>5614.5</v>
      </c>
      <c r="K121" s="225">
        <f>+F121-J121</f>
        <v>89385.5</v>
      </c>
      <c r="L121" s="225">
        <f>+IF(K121*12&lt;=416220.01,0,IF(K121*12&lt;=624329.01,(((K121*12-416220.01)*0.15)/12),IF((K121*12&lt;=867123.01),(31216+0.2*(K121*12-624329.01))/12,((79776+0.25*(K121*12-867123.01))/12))))-M121</f>
        <v>10929.312291666667</v>
      </c>
      <c r="M121" s="225"/>
      <c r="N121" s="227">
        <v>22029.9</v>
      </c>
      <c r="O121" s="225">
        <f>+N121+I121+H121+G121+L121</f>
        <v>38573.71229166667</v>
      </c>
      <c r="P121" s="227">
        <f>+F121-O121</f>
        <v>56426.28770833333</v>
      </c>
    </row>
    <row r="122" spans="1:17" s="152" customFormat="1" ht="35.1" customHeight="1" x14ac:dyDescent="0.2">
      <c r="A122" s="73">
        <f>+A121+1</f>
        <v>61</v>
      </c>
      <c r="B122" s="248" t="s">
        <v>232</v>
      </c>
      <c r="C122" s="245" t="s">
        <v>347</v>
      </c>
      <c r="D122" s="261" t="s">
        <v>612</v>
      </c>
      <c r="E122" s="248" t="s">
        <v>101</v>
      </c>
      <c r="F122" s="68">
        <v>95000</v>
      </c>
      <c r="G122" s="68">
        <f>F122*2.87%</f>
        <v>2726.5</v>
      </c>
      <c r="H122" s="68">
        <f>+F122*3.04%</f>
        <v>2888</v>
      </c>
      <c r="I122" s="226">
        <v>1715.46</v>
      </c>
      <c r="J122" s="225">
        <f>+G122+H122+I122</f>
        <v>7329.96</v>
      </c>
      <c r="K122" s="225">
        <f>+F122-J122</f>
        <v>87670.04</v>
      </c>
      <c r="L122" s="225">
        <f t="shared" ref="L122:L124" si="28">+IF(K122*12&lt;=416220.01,0,IF(K122*12&lt;=624329.01,(((K122*12-416220.01)*0.15)/12),IF((K122*12&lt;=867123.01),(31216+0.2*(K122*12-624329.01))/12,((79776+0.25*(K122*12-867123.01))/12))))-M122</f>
        <v>10500.447291666665</v>
      </c>
      <c r="M122" s="225"/>
      <c r="N122" s="227">
        <v>225</v>
      </c>
      <c r="O122" s="225">
        <f>+N122+I122+H122+G122+L122</f>
        <v>18055.407291666666</v>
      </c>
      <c r="P122" s="227">
        <f>+F122-O122</f>
        <v>76944.592708333337</v>
      </c>
    </row>
    <row r="123" spans="1:17" s="253" customFormat="1" ht="35.1" customHeight="1" x14ac:dyDescent="0.2">
      <c r="A123" s="73">
        <f>+A122+1</f>
        <v>62</v>
      </c>
      <c r="B123" s="72" t="s">
        <v>83</v>
      </c>
      <c r="C123" s="73" t="s">
        <v>347</v>
      </c>
      <c r="D123" s="243" t="s">
        <v>612</v>
      </c>
      <c r="E123" s="72" t="s">
        <v>100</v>
      </c>
      <c r="F123" s="226">
        <v>90000</v>
      </c>
      <c r="G123" s="226">
        <f>F123*2.87%</f>
        <v>2583</v>
      </c>
      <c r="H123" s="226">
        <f>+F123*3.04%</f>
        <v>2736</v>
      </c>
      <c r="I123" s="226"/>
      <c r="J123" s="225">
        <f>+G123+H123+I123</f>
        <v>5319</v>
      </c>
      <c r="K123" s="225">
        <f>+F123-J123</f>
        <v>84681</v>
      </c>
      <c r="L123" s="225">
        <f t="shared" si="28"/>
        <v>9753.1872916666671</v>
      </c>
      <c r="M123" s="225"/>
      <c r="N123" s="231">
        <v>265</v>
      </c>
      <c r="O123" s="225">
        <f>+N123+I123+H123+G123+L123</f>
        <v>15337.187291666667</v>
      </c>
      <c r="P123" s="227">
        <f>+F123-O123</f>
        <v>74662.812708333338</v>
      </c>
    </row>
    <row r="124" spans="1:17" s="152" customFormat="1" ht="35.1" customHeight="1" x14ac:dyDescent="0.2">
      <c r="A124" s="73">
        <f>+A123+1</f>
        <v>63</v>
      </c>
      <c r="B124" s="72" t="s">
        <v>230</v>
      </c>
      <c r="C124" s="73" t="s">
        <v>346</v>
      </c>
      <c r="D124" s="243" t="s">
        <v>612</v>
      </c>
      <c r="E124" s="72" t="s">
        <v>100</v>
      </c>
      <c r="F124" s="226">
        <v>90000</v>
      </c>
      <c r="G124" s="226">
        <f>F124*2.87%</f>
        <v>2583</v>
      </c>
      <c r="H124" s="226">
        <f>+F124*3.04%</f>
        <v>2736</v>
      </c>
      <c r="I124" s="226">
        <v>3430.92</v>
      </c>
      <c r="J124" s="225">
        <f>+G124+H124+I124</f>
        <v>8749.92</v>
      </c>
      <c r="K124" s="225">
        <f>+F124-J124</f>
        <v>81250.080000000002</v>
      </c>
      <c r="L124" s="225">
        <f t="shared" si="28"/>
        <v>8895.4572916666657</v>
      </c>
      <c r="M124" s="225"/>
      <c r="N124" s="231">
        <v>225</v>
      </c>
      <c r="O124" s="225">
        <f>+N124+I124+H124+G124+L124</f>
        <v>17870.377291666664</v>
      </c>
      <c r="P124" s="227">
        <f>+F124-O124</f>
        <v>72129.622708333336</v>
      </c>
    </row>
    <row r="125" spans="1:17" s="229" customFormat="1" ht="35.1" customHeight="1" x14ac:dyDescent="0.2">
      <c r="A125" s="233" t="s">
        <v>103</v>
      </c>
      <c r="B125" s="234"/>
      <c r="C125" s="234"/>
      <c r="D125" s="234"/>
      <c r="E125" s="250"/>
      <c r="F125" s="235">
        <f>SUM(F121:F124)</f>
        <v>370000</v>
      </c>
      <c r="G125" s="235">
        <f t="shared" ref="G125:P125" si="29">SUM(G121:G124)</f>
        <v>10619</v>
      </c>
      <c r="H125" s="235">
        <f t="shared" si="29"/>
        <v>11248</v>
      </c>
      <c r="I125" s="235">
        <f t="shared" si="29"/>
        <v>5146.38</v>
      </c>
      <c r="J125" s="235">
        <f t="shared" si="29"/>
        <v>27013.379999999997</v>
      </c>
      <c r="K125" s="235">
        <f t="shared" si="29"/>
        <v>342986.62</v>
      </c>
      <c r="L125" s="235">
        <f t="shared" si="29"/>
        <v>40078.404166666667</v>
      </c>
      <c r="M125" s="235">
        <f t="shared" si="29"/>
        <v>0</v>
      </c>
      <c r="N125" s="235">
        <f t="shared" si="29"/>
        <v>22744.9</v>
      </c>
      <c r="O125" s="235">
        <f t="shared" si="29"/>
        <v>89836.684166666659</v>
      </c>
      <c r="P125" s="235">
        <f t="shared" si="29"/>
        <v>280163.31583333336</v>
      </c>
      <c r="Q125" s="336"/>
    </row>
    <row r="126" spans="1:17" s="251" customFormat="1" ht="35.1" customHeight="1" thickBot="1" x14ac:dyDescent="0.25">
      <c r="A126" s="212"/>
      <c r="B126" s="151"/>
      <c r="C126" s="212"/>
      <c r="D126" s="151"/>
      <c r="E126" s="151"/>
      <c r="F126" s="152"/>
      <c r="G126" s="153"/>
      <c r="H126" s="153"/>
      <c r="I126" s="153"/>
      <c r="J126" s="153"/>
      <c r="K126" s="153"/>
      <c r="L126" s="153"/>
      <c r="M126" s="153"/>
      <c r="N126" s="153"/>
      <c r="O126" s="153"/>
      <c r="P126" s="153"/>
    </row>
    <row r="127" spans="1:17" s="152" customFormat="1" ht="35.1" customHeight="1" thickBot="1" x14ac:dyDescent="0.25">
      <c r="A127" s="346" t="s">
        <v>145</v>
      </c>
      <c r="B127" s="347"/>
      <c r="C127" s="347"/>
      <c r="D127" s="347"/>
      <c r="E127" s="34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</row>
    <row r="128" spans="1:17" s="229" customFormat="1" ht="35.1" customHeight="1" x14ac:dyDescent="0.2">
      <c r="A128" s="73">
        <f>+A124+1</f>
        <v>64</v>
      </c>
      <c r="B128" s="72" t="s">
        <v>47</v>
      </c>
      <c r="C128" s="73" t="s">
        <v>347</v>
      </c>
      <c r="D128" s="243" t="s">
        <v>612</v>
      </c>
      <c r="E128" s="72" t="s">
        <v>101</v>
      </c>
      <c r="F128" s="226">
        <v>95000</v>
      </c>
      <c r="G128" s="226">
        <f>F128*2.87%</f>
        <v>2726.5</v>
      </c>
      <c r="H128" s="226">
        <f>+F128*3.04%</f>
        <v>2888</v>
      </c>
      <c r="I128" s="68">
        <v>3430.92</v>
      </c>
      <c r="J128" s="225">
        <f>+G128+H128+I128</f>
        <v>9045.42</v>
      </c>
      <c r="K128" s="225">
        <f>+F128-J128</f>
        <v>85954.58</v>
      </c>
      <c r="L128" s="225">
        <f t="shared" ref="L128:L129" si="30">+IF(K128*12&lt;=416220.01,0,IF(K128*12&lt;=624329.01,(((K128*12-416220.01)*0.15)/12),IF((K128*12&lt;=867123.01),(31216+0.2*(K128*12-624329.01))/12,((79776+0.25*(K128*12-867123.01))/12))))-M128</f>
        <v>10071.582291666666</v>
      </c>
      <c r="M128" s="225"/>
      <c r="N128" s="231">
        <v>2225</v>
      </c>
      <c r="O128" s="225">
        <f>+N128+I128+H128+G128+L128</f>
        <v>21342.002291666664</v>
      </c>
      <c r="P128" s="227">
        <f>+F128-O128</f>
        <v>73657.997708333336</v>
      </c>
    </row>
    <row r="129" spans="1:17" s="229" customFormat="1" ht="35.1" customHeight="1" x14ac:dyDescent="0.2">
      <c r="A129" s="73">
        <f>+A128+1</f>
        <v>65</v>
      </c>
      <c r="B129" s="72" t="s">
        <v>231</v>
      </c>
      <c r="C129" s="73" t="s">
        <v>347</v>
      </c>
      <c r="D129" s="243" t="s">
        <v>612</v>
      </c>
      <c r="E129" s="72" t="s">
        <v>101</v>
      </c>
      <c r="F129" s="226">
        <v>90000</v>
      </c>
      <c r="G129" s="226">
        <f>F129*2.87%</f>
        <v>2583</v>
      </c>
      <c r="H129" s="226">
        <f>+F129*3.04%</f>
        <v>2736</v>
      </c>
      <c r="I129" s="68">
        <v>0</v>
      </c>
      <c r="J129" s="225">
        <f>+G129+H129+I129</f>
        <v>5319</v>
      </c>
      <c r="K129" s="225">
        <f>+F129-J129</f>
        <v>84681</v>
      </c>
      <c r="L129" s="225">
        <f t="shared" si="30"/>
        <v>9753.1872916666671</v>
      </c>
      <c r="M129" s="225"/>
      <c r="N129" s="231">
        <v>12349.89</v>
      </c>
      <c r="O129" s="225">
        <f>+N129+I129+H129+G129+L129</f>
        <v>27422.077291666668</v>
      </c>
      <c r="P129" s="227">
        <f>+F129-O129</f>
        <v>62577.922708333332</v>
      </c>
    </row>
    <row r="130" spans="1:17" s="229" customFormat="1" ht="35.1" customHeight="1" x14ac:dyDescent="0.2">
      <c r="A130" s="233" t="s">
        <v>103</v>
      </c>
      <c r="B130" s="234"/>
      <c r="C130" s="234"/>
      <c r="D130" s="234"/>
      <c r="E130" s="250"/>
      <c r="F130" s="235">
        <f>SUM(F128:F129)</f>
        <v>185000</v>
      </c>
      <c r="G130" s="235">
        <f t="shared" ref="G130:P130" si="31">SUM(G128:G129)</f>
        <v>5309.5</v>
      </c>
      <c r="H130" s="235">
        <f t="shared" si="31"/>
        <v>5624</v>
      </c>
      <c r="I130" s="235">
        <f t="shared" si="31"/>
        <v>3430.92</v>
      </c>
      <c r="J130" s="235">
        <f t="shared" si="31"/>
        <v>14364.42</v>
      </c>
      <c r="K130" s="235">
        <f t="shared" si="31"/>
        <v>170635.58000000002</v>
      </c>
      <c r="L130" s="235">
        <f t="shared" si="31"/>
        <v>19824.769583333335</v>
      </c>
      <c r="M130" s="235">
        <f t="shared" si="31"/>
        <v>0</v>
      </c>
      <c r="N130" s="235">
        <f t="shared" si="31"/>
        <v>14574.89</v>
      </c>
      <c r="O130" s="235">
        <f t="shared" si="31"/>
        <v>48764.079583333332</v>
      </c>
      <c r="P130" s="235">
        <f t="shared" si="31"/>
        <v>136235.92041666666</v>
      </c>
      <c r="Q130" s="336"/>
    </row>
    <row r="131" spans="1:17" s="152" customFormat="1" ht="35.1" customHeight="1" thickBot="1" x14ac:dyDescent="0.25">
      <c r="A131" s="212"/>
      <c r="B131" s="151"/>
      <c r="C131" s="212"/>
      <c r="D131" s="151"/>
      <c r="E131" s="151"/>
      <c r="G131" s="153"/>
      <c r="H131" s="153"/>
      <c r="I131" s="153"/>
      <c r="J131" s="153"/>
      <c r="K131" s="153"/>
      <c r="L131" s="153"/>
      <c r="M131" s="153"/>
      <c r="N131" s="153"/>
      <c r="O131" s="153"/>
      <c r="P131" s="153"/>
    </row>
    <row r="132" spans="1:17" s="251" customFormat="1" ht="35.1" customHeight="1" thickBot="1" x14ac:dyDescent="0.25">
      <c r="A132" s="346" t="s">
        <v>146</v>
      </c>
      <c r="B132" s="347"/>
      <c r="C132" s="347"/>
      <c r="D132" s="347"/>
      <c r="E132" s="347"/>
      <c r="F132" s="257"/>
      <c r="G132" s="257"/>
      <c r="H132" s="257"/>
      <c r="I132" s="257"/>
      <c r="J132" s="257"/>
      <c r="K132" s="257"/>
      <c r="L132" s="257"/>
      <c r="M132" s="257"/>
      <c r="N132" s="257"/>
      <c r="O132" s="257"/>
      <c r="P132" s="257"/>
    </row>
    <row r="133" spans="1:17" ht="35.1" customHeight="1" x14ac:dyDescent="0.2">
      <c r="A133" s="247">
        <f>+A129+1</f>
        <v>66</v>
      </c>
      <c r="B133" s="224" t="s">
        <v>234</v>
      </c>
      <c r="C133" s="223" t="s">
        <v>346</v>
      </c>
      <c r="D133" s="232" t="s">
        <v>235</v>
      </c>
      <c r="E133" s="72" t="s">
        <v>101</v>
      </c>
      <c r="F133" s="225">
        <v>126500</v>
      </c>
      <c r="G133" s="68">
        <v>3630.55</v>
      </c>
      <c r="H133" s="68">
        <v>3845.6</v>
      </c>
      <c r="I133" s="68">
        <v>1715.46</v>
      </c>
      <c r="J133" s="69">
        <f>+G133+H133+I133</f>
        <v>9191.61</v>
      </c>
      <c r="K133" s="69">
        <f>+F133-J133</f>
        <v>117308.39</v>
      </c>
      <c r="L133" s="69">
        <f>+IF(K133*12&lt;=416220.01,0,IF(K133*12&lt;=624329.01,(((K133*12-416220.01)*0.15)/12),IF((K133*12&lt;=867123.01),(31216+0.2*(K133*12-624329.01))/12,((79776+0.25*(K133*12-867123.01))/12))))-M133</f>
        <v>17910.034791666665</v>
      </c>
      <c r="M133" s="69"/>
      <c r="N133" s="244">
        <v>1225</v>
      </c>
      <c r="O133" s="225">
        <f>+N133+I133+H133+G133+L133</f>
        <v>28326.644791666666</v>
      </c>
      <c r="P133" s="87">
        <f>+F133-O133</f>
        <v>98173.355208333334</v>
      </c>
    </row>
    <row r="134" spans="1:17" s="152" customFormat="1" ht="35.1" customHeight="1" x14ac:dyDescent="0.2">
      <c r="A134" s="247">
        <f>+A133+1</f>
        <v>67</v>
      </c>
      <c r="B134" s="224" t="s">
        <v>236</v>
      </c>
      <c r="C134" s="223" t="s">
        <v>347</v>
      </c>
      <c r="D134" s="232" t="s">
        <v>612</v>
      </c>
      <c r="E134" s="72" t="s">
        <v>101</v>
      </c>
      <c r="F134" s="225">
        <v>95000</v>
      </c>
      <c r="G134" s="226">
        <f>F134*2.87%</f>
        <v>2726.5</v>
      </c>
      <c r="H134" s="68">
        <f>+F134*3.04%</f>
        <v>2888</v>
      </c>
      <c r="I134" s="68"/>
      <c r="J134" s="69">
        <f>+G134+H134+I134</f>
        <v>5614.5</v>
      </c>
      <c r="K134" s="69">
        <f>+F134-J134</f>
        <v>89385.5</v>
      </c>
      <c r="L134" s="69">
        <f t="shared" ref="L134:L136" si="32">+IF(K134*12&lt;=416220.01,0,IF(K134*12&lt;=624329.01,(((K134*12-416220.01)*0.15)/12),IF((K134*12&lt;=867123.01),(31216+0.2*(K134*12-624329.01))/12,((79776+0.25*(K134*12-867123.01))/12))))-M134</f>
        <v>10929.312291666667</v>
      </c>
      <c r="M134" s="69"/>
      <c r="N134" s="244">
        <v>25</v>
      </c>
      <c r="O134" s="225">
        <f>+N134+I134+H134+G134+L134</f>
        <v>16568.812291666669</v>
      </c>
      <c r="P134" s="87">
        <f>+F134-O134</f>
        <v>78431.187708333338</v>
      </c>
    </row>
    <row r="135" spans="1:17" ht="35.1" customHeight="1" x14ac:dyDescent="0.2">
      <c r="A135" s="247">
        <f>+A134+1</f>
        <v>68</v>
      </c>
      <c r="B135" s="224" t="s">
        <v>162</v>
      </c>
      <c r="C135" s="223" t="s">
        <v>346</v>
      </c>
      <c r="D135" s="232" t="s">
        <v>612</v>
      </c>
      <c r="E135" s="72" t="s">
        <v>100</v>
      </c>
      <c r="F135" s="225">
        <v>95000</v>
      </c>
      <c r="G135" s="68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f t="shared" si="32"/>
        <v>10929.312291666667</v>
      </c>
      <c r="M135" s="69"/>
      <c r="N135" s="244">
        <v>25</v>
      </c>
      <c r="O135" s="225">
        <f>+N135+I135+H135+G135+L135</f>
        <v>16568.812291666669</v>
      </c>
      <c r="P135" s="87">
        <f>+F135-O135</f>
        <v>78431.187708333338</v>
      </c>
    </row>
    <row r="136" spans="1:17" s="251" customFormat="1" ht="35.1" customHeight="1" x14ac:dyDescent="0.2">
      <c r="A136" s="247">
        <f>+A135+1</f>
        <v>69</v>
      </c>
      <c r="B136" s="224" t="s">
        <v>58</v>
      </c>
      <c r="C136" s="223" t="s">
        <v>346</v>
      </c>
      <c r="D136" s="232" t="s">
        <v>612</v>
      </c>
      <c r="E136" s="72" t="s">
        <v>101</v>
      </c>
      <c r="F136" s="225">
        <v>95000</v>
      </c>
      <c r="G136" s="226">
        <f>F136*2.87%</f>
        <v>2726.5</v>
      </c>
      <c r="H136" s="68">
        <f>+F136*3.04%</f>
        <v>2888</v>
      </c>
      <c r="I136" s="68">
        <v>3430.92</v>
      </c>
      <c r="J136" s="69">
        <f>+G136+H136+I136</f>
        <v>9045.42</v>
      </c>
      <c r="K136" s="69">
        <f>+F136-J136</f>
        <v>85954.58</v>
      </c>
      <c r="L136" s="69">
        <f t="shared" si="32"/>
        <v>10071.582291666666</v>
      </c>
      <c r="M136" s="69"/>
      <c r="N136" s="231">
        <v>1725</v>
      </c>
      <c r="O136" s="225">
        <f>+N136+I136+H136+G136+L136</f>
        <v>20842.002291666664</v>
      </c>
      <c r="P136" s="87">
        <f>+F136-O136</f>
        <v>74157.997708333336</v>
      </c>
    </row>
    <row r="137" spans="1:17" s="229" customFormat="1" ht="35.1" customHeight="1" x14ac:dyDescent="0.2">
      <c r="A137" s="233" t="s">
        <v>103</v>
      </c>
      <c r="B137" s="234"/>
      <c r="C137" s="234"/>
      <c r="D137" s="234"/>
      <c r="E137" s="250"/>
      <c r="F137" s="235">
        <f>SUM(F133:F136)</f>
        <v>411500</v>
      </c>
      <c r="G137" s="235">
        <f t="shared" ref="G137:P137" si="33">SUM(G133:G136)</f>
        <v>11810.05</v>
      </c>
      <c r="H137" s="235">
        <f t="shared" si="33"/>
        <v>12509.6</v>
      </c>
      <c r="I137" s="235">
        <f t="shared" si="33"/>
        <v>5146.38</v>
      </c>
      <c r="J137" s="235">
        <f t="shared" si="33"/>
        <v>29466.03</v>
      </c>
      <c r="K137" s="235">
        <f t="shared" si="33"/>
        <v>382033.97000000003</v>
      </c>
      <c r="L137" s="235">
        <f t="shared" si="33"/>
        <v>49840.241666666669</v>
      </c>
      <c r="M137" s="235">
        <f t="shared" si="33"/>
        <v>0</v>
      </c>
      <c r="N137" s="235">
        <f t="shared" si="33"/>
        <v>3000</v>
      </c>
      <c r="O137" s="235">
        <f t="shared" si="33"/>
        <v>82306.271666666667</v>
      </c>
      <c r="P137" s="235">
        <f t="shared" si="33"/>
        <v>329193.72833333333</v>
      </c>
      <c r="Q137" s="336"/>
    </row>
    <row r="138" spans="1:17" s="229" customFormat="1" ht="35.1" customHeight="1" thickBot="1" x14ac:dyDescent="0.25">
      <c r="A138" s="150"/>
      <c r="B138" s="150"/>
      <c r="C138" s="150"/>
      <c r="D138" s="150"/>
      <c r="E138" s="150"/>
      <c r="F138" s="236"/>
      <c r="G138" s="236"/>
      <c r="H138" s="236"/>
      <c r="I138" s="236"/>
      <c r="J138" s="236"/>
      <c r="K138" s="236"/>
      <c r="L138" s="236"/>
      <c r="M138" s="236"/>
      <c r="N138" s="236"/>
      <c r="O138" s="236"/>
      <c r="P138" s="236"/>
    </row>
    <row r="139" spans="1:17" s="229" customFormat="1" ht="35.1" customHeight="1" thickBot="1" x14ac:dyDescent="0.25">
      <c r="A139" s="239" t="s">
        <v>147</v>
      </c>
      <c r="B139" s="240"/>
      <c r="C139" s="240"/>
      <c r="D139" s="240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0"/>
      <c r="P139" s="240"/>
    </row>
    <row r="140" spans="1:17" s="152" customFormat="1" ht="35.1" customHeight="1" x14ac:dyDescent="0.2">
      <c r="A140" s="73">
        <f>+A136+1</f>
        <v>70</v>
      </c>
      <c r="B140" s="72" t="s">
        <v>59</v>
      </c>
      <c r="C140" s="73" t="s">
        <v>347</v>
      </c>
      <c r="D140" s="243" t="s">
        <v>172</v>
      </c>
      <c r="E140" s="72" t="s">
        <v>101</v>
      </c>
      <c r="F140" s="226">
        <v>148500</v>
      </c>
      <c r="G140" s="68">
        <v>4261.95</v>
      </c>
      <c r="H140" s="68">
        <v>4514.3999999999996</v>
      </c>
      <c r="I140" s="68"/>
      <c r="J140" s="69">
        <f>+G140+H140+I140</f>
        <v>8776.3499999999985</v>
      </c>
      <c r="K140" s="69">
        <f>+F140-J140</f>
        <v>139723.65</v>
      </c>
      <c r="L140" s="69">
        <f>+IF(K140*12&lt;=416220.01,0,IF(K140*12&lt;=624329.01,(((K140*12-416220.01)*0.15)/12),IF((K140*12&lt;=867123.01),(31216+0.2*(K140*12-624329.01))/12,((79776+0.25*(K140*12-867123.01))/12))))-M140</f>
        <v>23513.849791666664</v>
      </c>
      <c r="M140" s="69"/>
      <c r="N140" s="231">
        <v>18699.22</v>
      </c>
      <c r="O140" s="225">
        <f>+N140+I140+H140+G140+L140</f>
        <v>50989.419791666667</v>
      </c>
      <c r="P140" s="244">
        <f>+F140-O140</f>
        <v>97510.580208333326</v>
      </c>
    </row>
    <row r="141" spans="1:17" s="152" customFormat="1" ht="35.1" customHeight="1" x14ac:dyDescent="0.2">
      <c r="A141" s="73">
        <f>+A140+1</f>
        <v>71</v>
      </c>
      <c r="B141" s="72" t="s">
        <v>372</v>
      </c>
      <c r="C141" s="73" t="s">
        <v>347</v>
      </c>
      <c r="D141" s="243" t="s">
        <v>54</v>
      </c>
      <c r="E141" s="72" t="s">
        <v>196</v>
      </c>
      <c r="F141" s="226">
        <v>50000</v>
      </c>
      <c r="G141" s="68">
        <f>+F141*2.87%</f>
        <v>1435</v>
      </c>
      <c r="H141" s="68">
        <f>+F141*3.04%</f>
        <v>1520</v>
      </c>
      <c r="I141" s="68"/>
      <c r="J141" s="69">
        <f>+G141+H141+I141</f>
        <v>2955</v>
      </c>
      <c r="K141" s="69">
        <f>+F141-J141</f>
        <v>47045</v>
      </c>
      <c r="L141" s="69">
        <f>+IF(K141*12&lt;=416220.01,0,IF(K141*12&lt;=624329.01,(((K141*12-416220.01)*0.15)/12),IF((K141*12&lt;=867123.01),(31216+0.2*(K141*12-624329.01))/12,((79776+0.25*(K141*12-867123.01))/12))))-M141</f>
        <v>1853.9998749999997</v>
      </c>
      <c r="M141" s="69"/>
      <c r="N141" s="231">
        <v>225</v>
      </c>
      <c r="O141" s="225">
        <f>+N141+I141+H141+G141+L141</f>
        <v>5033.9998749999995</v>
      </c>
      <c r="P141" s="244">
        <f>+F141-O141</f>
        <v>44966.000124999999</v>
      </c>
    </row>
    <row r="142" spans="1:17" s="229" customFormat="1" ht="35.1" customHeight="1" x14ac:dyDescent="0.2">
      <c r="A142" s="233" t="s">
        <v>103</v>
      </c>
      <c r="B142" s="234"/>
      <c r="C142" s="234"/>
      <c r="D142" s="234"/>
      <c r="E142" s="250"/>
      <c r="F142" s="235">
        <f t="shared" ref="F142:L142" si="34">SUM(F140:F141)</f>
        <v>198500</v>
      </c>
      <c r="G142" s="235">
        <f t="shared" si="34"/>
        <v>5696.95</v>
      </c>
      <c r="H142" s="235">
        <f t="shared" si="34"/>
        <v>6034.4</v>
      </c>
      <c r="I142" s="235">
        <f t="shared" si="34"/>
        <v>0</v>
      </c>
      <c r="J142" s="235">
        <f t="shared" si="34"/>
        <v>11731.349999999999</v>
      </c>
      <c r="K142" s="235">
        <f t="shared" si="34"/>
        <v>186768.65</v>
      </c>
      <c r="L142" s="235">
        <f t="shared" si="34"/>
        <v>25367.849666666665</v>
      </c>
      <c r="M142" s="235"/>
      <c r="N142" s="235">
        <f>SUM(N140:N141)</f>
        <v>18924.22</v>
      </c>
      <c r="O142" s="235">
        <f t="shared" ref="O142:P142" si="35">SUM(O140:O141)</f>
        <v>56023.419666666668</v>
      </c>
      <c r="P142" s="235">
        <f t="shared" si="35"/>
        <v>142476.58033333332</v>
      </c>
      <c r="Q142" s="336"/>
    </row>
    <row r="143" spans="1:17" s="263" customFormat="1" ht="35.1" customHeight="1" thickBot="1" x14ac:dyDescent="0.25">
      <c r="A143" s="149"/>
      <c r="B143" s="149"/>
      <c r="C143" s="149"/>
      <c r="D143" s="149"/>
      <c r="E143" s="149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</row>
    <row r="144" spans="1:17" s="251" customFormat="1" ht="35.1" customHeight="1" thickBot="1" x14ac:dyDescent="0.25">
      <c r="A144" s="239" t="s">
        <v>616</v>
      </c>
      <c r="B144" s="240"/>
      <c r="C144" s="240"/>
      <c r="D144" s="240"/>
      <c r="E144" s="240"/>
      <c r="F144" s="240"/>
      <c r="G144" s="240"/>
      <c r="H144" s="240"/>
      <c r="I144" s="240"/>
      <c r="J144" s="240"/>
      <c r="K144" s="240"/>
      <c r="L144" s="240"/>
      <c r="M144" s="240"/>
      <c r="N144" s="240"/>
      <c r="O144" s="240"/>
      <c r="P144" s="240"/>
    </row>
    <row r="145" spans="1:17" s="229" customFormat="1" ht="35.1" customHeight="1" x14ac:dyDescent="0.2">
      <c r="A145" s="245">
        <f>+A141+1</f>
        <v>72</v>
      </c>
      <c r="B145" s="72" t="s">
        <v>208</v>
      </c>
      <c r="C145" s="73" t="s">
        <v>347</v>
      </c>
      <c r="D145" s="243" t="s">
        <v>612</v>
      </c>
      <c r="E145" s="72" t="s">
        <v>100</v>
      </c>
      <c r="F145" s="226">
        <v>95000</v>
      </c>
      <c r="G145" s="226">
        <f>F145*2.87%</f>
        <v>2726.5</v>
      </c>
      <c r="H145" s="68">
        <f>+F145*3.04%</f>
        <v>2888</v>
      </c>
      <c r="I145" s="68">
        <v>1715.46</v>
      </c>
      <c r="J145" s="69">
        <f>+G145+H145+I145</f>
        <v>7329.96</v>
      </c>
      <c r="K145" s="69">
        <f>+F145-J145</f>
        <v>87670.04</v>
      </c>
      <c r="L145" s="69">
        <f>+IF(K145*12&lt;=416220.01,0,IF(K145*12&lt;=624329.01,(((K145*12-416220.01)*0.15)/12),IF((K145*12&lt;=867123.01),(31216+0.2*(K145*12-624329.01))/12,((79776+0.25*(K145*12-867123.01))/12))))-M145</f>
        <v>10500.447291666665</v>
      </c>
      <c r="M145" s="69"/>
      <c r="N145" s="231">
        <v>10962.49</v>
      </c>
      <c r="O145" s="225">
        <f>+N145+I145+H145+G145+L145</f>
        <v>28792.897291666668</v>
      </c>
      <c r="P145" s="87">
        <f>+F145-O145</f>
        <v>66207.102708333332</v>
      </c>
    </row>
    <row r="146" spans="1:17" s="152" customFormat="1" ht="35.1" customHeight="1" x14ac:dyDescent="0.2">
      <c r="A146" s="233" t="s">
        <v>103</v>
      </c>
      <c r="B146" s="234"/>
      <c r="C146" s="234"/>
      <c r="D146" s="234"/>
      <c r="E146" s="250"/>
      <c r="F146" s="235">
        <f t="shared" ref="F146:L146" si="36">SUM(F145:F145)</f>
        <v>95000</v>
      </c>
      <c r="G146" s="235">
        <f t="shared" si="36"/>
        <v>2726.5</v>
      </c>
      <c r="H146" s="235">
        <f t="shared" si="36"/>
        <v>2888</v>
      </c>
      <c r="I146" s="235">
        <f t="shared" si="36"/>
        <v>1715.46</v>
      </c>
      <c r="J146" s="235">
        <f t="shared" si="36"/>
        <v>7329.96</v>
      </c>
      <c r="K146" s="235">
        <f t="shared" si="36"/>
        <v>87670.04</v>
      </c>
      <c r="L146" s="235">
        <f t="shared" si="36"/>
        <v>10500.447291666665</v>
      </c>
      <c r="M146" s="235"/>
      <c r="N146" s="235">
        <f>SUM(N145:N145)</f>
        <v>10962.49</v>
      </c>
      <c r="O146" s="235">
        <f>SUM(O145:O145)</f>
        <v>28792.897291666668</v>
      </c>
      <c r="P146" s="235">
        <f>SUM(P145:P145)</f>
        <v>66207.102708333332</v>
      </c>
      <c r="Q146" s="336"/>
    </row>
    <row r="147" spans="1:17" s="229" customFormat="1" ht="35.1" customHeight="1" thickBot="1" x14ac:dyDescent="0.25">
      <c r="A147" s="228"/>
      <c r="B147" s="228"/>
      <c r="C147" s="254"/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</row>
    <row r="148" spans="1:17" s="229" customFormat="1" ht="35.1" customHeight="1" thickBot="1" x14ac:dyDescent="0.25">
      <c r="A148" s="351" t="s">
        <v>148</v>
      </c>
      <c r="B148" s="352"/>
      <c r="C148" s="352"/>
      <c r="D148" s="352"/>
      <c r="E148" s="352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</row>
    <row r="149" spans="1:17" s="229" customFormat="1" ht="35.1" customHeight="1" x14ac:dyDescent="0.2">
      <c r="A149" s="245">
        <f>+A145+1</f>
        <v>73</v>
      </c>
      <c r="B149" s="72" t="s">
        <v>239</v>
      </c>
      <c r="C149" s="73" t="s">
        <v>346</v>
      </c>
      <c r="D149" s="243" t="s">
        <v>612</v>
      </c>
      <c r="E149" s="72" t="s">
        <v>101</v>
      </c>
      <c r="F149" s="226">
        <v>95000</v>
      </c>
      <c r="G149" s="226">
        <f>F149*2.87%</f>
        <v>2726.5</v>
      </c>
      <c r="H149" s="68">
        <f>F149*3.04%</f>
        <v>2888</v>
      </c>
      <c r="I149" s="68"/>
      <c r="J149" s="69">
        <f>+G149+H149+I149</f>
        <v>5614.5</v>
      </c>
      <c r="K149" s="69">
        <f>+F149-J149</f>
        <v>89385.5</v>
      </c>
      <c r="L149" s="69">
        <f>+IF(K149*12&lt;=416220.01,0,IF(K149*12&lt;=624329.01,(((K149*12-416220.01)*0.15)/12),IF((K149*12&lt;=867123.01),(31216+0.2*(K149*12-624329.01))/12,((79776+0.25*(K149*12-867123.01))/12))))-M149</f>
        <v>10929.312291666667</v>
      </c>
      <c r="M149" s="69"/>
      <c r="N149" s="231">
        <v>265</v>
      </c>
      <c r="O149" s="225">
        <f>+N149+I149+H149+G149+L149</f>
        <v>16808.812291666669</v>
      </c>
      <c r="P149" s="87">
        <f>+F149-O149</f>
        <v>78191.187708333338</v>
      </c>
    </row>
    <row r="150" spans="1:17" s="229" customFormat="1" ht="41.25" customHeight="1" x14ac:dyDescent="0.2">
      <c r="A150" s="233" t="s">
        <v>103</v>
      </c>
      <c r="B150" s="234"/>
      <c r="C150" s="234"/>
      <c r="D150" s="234"/>
      <c r="E150" s="250"/>
      <c r="F150" s="235">
        <f t="shared" ref="F150:L150" si="37">SUM(F149:F149)</f>
        <v>95000</v>
      </c>
      <c r="G150" s="235">
        <f t="shared" si="37"/>
        <v>2726.5</v>
      </c>
      <c r="H150" s="235">
        <f t="shared" si="37"/>
        <v>2888</v>
      </c>
      <c r="I150" s="235">
        <f t="shared" si="37"/>
        <v>0</v>
      </c>
      <c r="J150" s="235">
        <f t="shared" si="37"/>
        <v>5614.5</v>
      </c>
      <c r="K150" s="235">
        <f t="shared" si="37"/>
        <v>89385.5</v>
      </c>
      <c r="L150" s="235">
        <f t="shared" si="37"/>
        <v>10929.312291666667</v>
      </c>
      <c r="M150" s="235"/>
      <c r="N150" s="235">
        <f>SUM(N149:N149)</f>
        <v>265</v>
      </c>
      <c r="O150" s="235">
        <f t="shared" ref="O150:P150" si="38">SUM(O149:O149)</f>
        <v>16808.812291666669</v>
      </c>
      <c r="P150" s="235">
        <f t="shared" si="38"/>
        <v>78191.187708333338</v>
      </c>
      <c r="Q150" s="336"/>
    </row>
    <row r="151" spans="1:17" s="229" customFormat="1" ht="35.1" customHeight="1" thickBot="1" x14ac:dyDescent="0.25">
      <c r="A151" s="149"/>
      <c r="B151" s="149"/>
      <c r="C151" s="149"/>
      <c r="D151" s="149"/>
      <c r="E151" s="149"/>
      <c r="F151" s="236"/>
      <c r="G151" s="236"/>
      <c r="H151" s="236"/>
      <c r="I151" s="236"/>
      <c r="J151" s="236"/>
      <c r="K151" s="236"/>
      <c r="L151" s="236"/>
      <c r="M151" s="236"/>
      <c r="N151" s="236"/>
      <c r="O151" s="236"/>
      <c r="P151" s="236"/>
    </row>
    <row r="152" spans="1:17" s="251" customFormat="1" ht="35.1" customHeight="1" thickBot="1" x14ac:dyDescent="0.25">
      <c r="A152" s="239" t="s">
        <v>249</v>
      </c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</row>
    <row r="153" spans="1:17" ht="43.5" customHeight="1" thickBot="1" x14ac:dyDescent="0.25">
      <c r="A153" s="239" t="s">
        <v>250</v>
      </c>
      <c r="B153" s="240"/>
      <c r="C153" s="240"/>
      <c r="D153" s="240"/>
      <c r="E153" s="240"/>
      <c r="F153" s="240"/>
      <c r="G153" s="240"/>
      <c r="H153" s="240"/>
      <c r="I153" s="240"/>
      <c r="J153" s="240"/>
      <c r="K153" s="240"/>
      <c r="L153" s="240"/>
      <c r="M153" s="240"/>
      <c r="N153" s="240"/>
      <c r="O153" s="240"/>
      <c r="P153" s="240"/>
    </row>
    <row r="154" spans="1:17" ht="35.1" customHeight="1" x14ac:dyDescent="0.2">
      <c r="A154" s="245">
        <f>+A149+1</f>
        <v>74</v>
      </c>
      <c r="B154" s="72" t="s">
        <v>240</v>
      </c>
      <c r="C154" s="73" t="s">
        <v>347</v>
      </c>
      <c r="D154" s="91" t="s">
        <v>445</v>
      </c>
      <c r="E154" s="72" t="s">
        <v>100</v>
      </c>
      <c r="F154" s="226">
        <v>120000</v>
      </c>
      <c r="G154" s="226">
        <f>F154*2.87%</f>
        <v>3444</v>
      </c>
      <c r="H154" s="68">
        <f>+F154*3.04%</f>
        <v>3648</v>
      </c>
      <c r="I154" s="68"/>
      <c r="J154" s="69">
        <f>+G154+H154+I154</f>
        <v>7092</v>
      </c>
      <c r="K154" s="69">
        <f>+F154-J154</f>
        <v>112908</v>
      </c>
      <c r="L154" s="69">
        <f>IF(K154*12&lt;=416220,0,IF(K154*12&lt;=624329,(((K154*12-416220.01)*0.15)/12),IF((K154*12&lt;=867123),(31216+0.2*(K154*12-624329.01))/12,((79776+0.25*(K154*12-867123.01))/12))))-M154</f>
        <v>16809.937291666665</v>
      </c>
      <c r="M154" s="69"/>
      <c r="N154" s="244">
        <v>25</v>
      </c>
      <c r="O154" s="225">
        <f>+N154+I154+H154+G154+L154</f>
        <v>23926.937291666665</v>
      </c>
      <c r="P154" s="244">
        <f>+F154-O154</f>
        <v>96073.062708333338</v>
      </c>
    </row>
    <row r="155" spans="1:17" s="229" customFormat="1" ht="35.1" customHeight="1" x14ac:dyDescent="0.2">
      <c r="A155" s="233" t="s">
        <v>103</v>
      </c>
      <c r="B155" s="234"/>
      <c r="C155" s="234"/>
      <c r="D155" s="234"/>
      <c r="E155" s="250"/>
      <c r="F155" s="235">
        <f t="shared" ref="F155:P155" si="39">SUM(F154:F154)</f>
        <v>120000</v>
      </c>
      <c r="G155" s="235">
        <f t="shared" si="39"/>
        <v>3444</v>
      </c>
      <c r="H155" s="235">
        <f t="shared" si="39"/>
        <v>3648</v>
      </c>
      <c r="I155" s="235">
        <f t="shared" si="39"/>
        <v>0</v>
      </c>
      <c r="J155" s="235">
        <f t="shared" si="39"/>
        <v>7092</v>
      </c>
      <c r="K155" s="235">
        <f t="shared" si="39"/>
        <v>112908</v>
      </c>
      <c r="L155" s="235">
        <f t="shared" si="39"/>
        <v>16809.937291666665</v>
      </c>
      <c r="M155" s="235">
        <f t="shared" si="39"/>
        <v>0</v>
      </c>
      <c r="N155" s="235">
        <f t="shared" si="39"/>
        <v>25</v>
      </c>
      <c r="O155" s="235">
        <f t="shared" si="39"/>
        <v>23926.937291666665</v>
      </c>
      <c r="P155" s="235">
        <f t="shared" si="39"/>
        <v>96073.062708333338</v>
      </c>
      <c r="Q155" s="336"/>
    </row>
    <row r="156" spans="1:17" s="251" customFormat="1" ht="35.1" customHeight="1" thickBot="1" x14ac:dyDescent="0.25">
      <c r="A156" s="152"/>
      <c r="B156" s="152"/>
      <c r="C156" s="237"/>
      <c r="D156" s="152"/>
      <c r="E156" s="152"/>
      <c r="F156" s="152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</row>
    <row r="157" spans="1:17" s="251" customFormat="1" ht="35.1" customHeight="1" thickBot="1" x14ac:dyDescent="0.25">
      <c r="A157" s="239" t="s">
        <v>72</v>
      </c>
      <c r="B157" s="240"/>
      <c r="C157" s="240"/>
      <c r="D157" s="240"/>
      <c r="E157" s="240"/>
      <c r="F157" s="240"/>
      <c r="G157" s="240"/>
      <c r="H157" s="240"/>
      <c r="I157" s="240"/>
      <c r="J157" s="240"/>
      <c r="K157" s="240"/>
      <c r="L157" s="240"/>
      <c r="M157" s="240"/>
      <c r="N157" s="240"/>
      <c r="O157" s="240"/>
      <c r="P157" s="240"/>
    </row>
    <row r="158" spans="1:17" s="152" customFormat="1" ht="35.1" customHeight="1" x14ac:dyDescent="0.2">
      <c r="A158" s="245">
        <f>+A154+1</f>
        <v>75</v>
      </c>
      <c r="B158" s="285" t="s">
        <v>545</v>
      </c>
      <c r="C158" s="245" t="s">
        <v>347</v>
      </c>
      <c r="D158" s="295" t="s">
        <v>568</v>
      </c>
      <c r="E158" s="248" t="s">
        <v>101</v>
      </c>
      <c r="F158" s="68">
        <v>100000</v>
      </c>
      <c r="G158" s="68">
        <f>F158*2.87%</f>
        <v>2870</v>
      </c>
      <c r="H158" s="68">
        <f>+F158*3.04%</f>
        <v>3040</v>
      </c>
      <c r="I158" s="68">
        <v>1715.46</v>
      </c>
      <c r="J158" s="69">
        <f>+G158+H158+I158</f>
        <v>7625.46</v>
      </c>
      <c r="K158" s="69">
        <f>+F158-J158</f>
        <v>92374.54</v>
      </c>
      <c r="L158" s="69">
        <f>IF(K158*12&lt;=416220,0,IF(K158*12&lt;=624329,(((K158*12-416220.01)*0.15)/12),IF((K158*12&lt;=867123),(31216+0.2*(K158*12-624329.01))/12,((79776+0.25*(K158*12-867123.01))/12))))-M158</f>
        <v>11676.572291666665</v>
      </c>
      <c r="M158" s="69"/>
      <c r="N158" s="244">
        <v>25</v>
      </c>
      <c r="O158" s="225">
        <f>+N158+I158+H158+G158+L158</f>
        <v>19327.032291666666</v>
      </c>
      <c r="P158" s="244">
        <f>+F158-O158</f>
        <v>80672.967708333337</v>
      </c>
    </row>
    <row r="159" spans="1:17" s="229" customFormat="1" ht="35.1" customHeight="1" thickBot="1" x14ac:dyDescent="0.25">
      <c r="A159" s="233" t="s">
        <v>103</v>
      </c>
      <c r="B159" s="234"/>
      <c r="C159" s="234"/>
      <c r="D159" s="234"/>
      <c r="E159" s="250"/>
      <c r="F159" s="235">
        <f t="shared" ref="F159:P159" si="40">SUM(F158:F158)</f>
        <v>100000</v>
      </c>
      <c r="G159" s="235">
        <f t="shared" si="40"/>
        <v>2870</v>
      </c>
      <c r="H159" s="235">
        <f t="shared" si="40"/>
        <v>3040</v>
      </c>
      <c r="I159" s="235">
        <f t="shared" si="40"/>
        <v>1715.46</v>
      </c>
      <c r="J159" s="235">
        <f t="shared" si="40"/>
        <v>7625.46</v>
      </c>
      <c r="K159" s="235">
        <f t="shared" si="40"/>
        <v>92374.54</v>
      </c>
      <c r="L159" s="235">
        <f t="shared" si="40"/>
        <v>11676.572291666665</v>
      </c>
      <c r="M159" s="235">
        <f t="shared" si="40"/>
        <v>0</v>
      </c>
      <c r="N159" s="235">
        <f t="shared" si="40"/>
        <v>25</v>
      </c>
      <c r="O159" s="235">
        <f t="shared" si="40"/>
        <v>19327.032291666666</v>
      </c>
      <c r="P159" s="235">
        <f t="shared" si="40"/>
        <v>80672.967708333337</v>
      </c>
      <c r="Q159" s="336"/>
    </row>
    <row r="160" spans="1:17" s="229" customFormat="1" ht="35.1" customHeight="1" thickBot="1" x14ac:dyDescent="0.25">
      <c r="A160" s="239" t="s">
        <v>73</v>
      </c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</row>
    <row r="161" spans="1:17" s="251" customFormat="1" ht="35.1" customHeight="1" x14ac:dyDescent="0.2">
      <c r="A161" s="247">
        <f>+A158+1</f>
        <v>76</v>
      </c>
      <c r="B161" s="224" t="s">
        <v>9</v>
      </c>
      <c r="C161" s="223" t="s">
        <v>347</v>
      </c>
      <c r="D161" s="230" t="s">
        <v>88</v>
      </c>
      <c r="E161" s="224" t="s">
        <v>169</v>
      </c>
      <c r="F161" s="225">
        <v>145000</v>
      </c>
      <c r="G161" s="225">
        <f>F161*2.87%</f>
        <v>4161.5</v>
      </c>
      <c r="H161" s="225">
        <f>+F161*3.04%</f>
        <v>4408</v>
      </c>
      <c r="I161" s="225"/>
      <c r="J161" s="69">
        <f>+G161+H161+I161</f>
        <v>8569.5</v>
      </c>
      <c r="K161" s="69">
        <f>+F161-J161</f>
        <v>136430.5</v>
      </c>
      <c r="L161" s="69">
        <f>+IF(K161*12&lt;=416220.01,0,IF(K161*12&lt;=624329.01,(((K161*12-416220.01)*0.15)/12),IF((K161*12&lt;=867123.01),(31216+0.2*(K161*12-624329.01))/12,((79776+0.25*(K161*12-867123.01))/12))))-M161</f>
        <v>22690.562291666665</v>
      </c>
      <c r="M161" s="69"/>
      <c r="N161" s="87">
        <v>25</v>
      </c>
      <c r="O161" s="225">
        <f>+N161+I161+H161+G161+L161</f>
        <v>31285.062291666665</v>
      </c>
      <c r="P161" s="227">
        <f>+F161-O161</f>
        <v>113714.93770833334</v>
      </c>
    </row>
    <row r="162" spans="1:17" s="101" customFormat="1" ht="35.1" customHeight="1" x14ac:dyDescent="0.2">
      <c r="A162" s="233" t="s">
        <v>103</v>
      </c>
      <c r="B162" s="234"/>
      <c r="C162" s="234"/>
      <c r="D162" s="234"/>
      <c r="E162" s="250"/>
      <c r="F162" s="235">
        <f t="shared" ref="F162:L162" si="41">SUM(F161:F161)</f>
        <v>145000</v>
      </c>
      <c r="G162" s="235">
        <f t="shared" si="41"/>
        <v>4161.5</v>
      </c>
      <c r="H162" s="235">
        <f t="shared" si="41"/>
        <v>4408</v>
      </c>
      <c r="I162" s="235">
        <f t="shared" si="41"/>
        <v>0</v>
      </c>
      <c r="J162" s="235">
        <f t="shared" si="41"/>
        <v>8569.5</v>
      </c>
      <c r="K162" s="235">
        <f t="shared" si="41"/>
        <v>136430.5</v>
      </c>
      <c r="L162" s="235">
        <f t="shared" si="41"/>
        <v>22690.562291666665</v>
      </c>
      <c r="M162" s="235"/>
      <c r="N162" s="235">
        <f>SUM(N161:N161)</f>
        <v>25</v>
      </c>
      <c r="O162" s="235">
        <f t="shared" ref="O162:P162" si="42">SUM(O161:O161)</f>
        <v>31285.062291666665</v>
      </c>
      <c r="P162" s="235">
        <f t="shared" si="42"/>
        <v>113714.93770833334</v>
      </c>
      <c r="Q162" s="340"/>
    </row>
    <row r="163" spans="1:17" s="229" customFormat="1" ht="35.1" customHeight="1" thickBot="1" x14ac:dyDescent="0.25">
      <c r="A163" s="150"/>
      <c r="B163" s="150"/>
      <c r="C163" s="150"/>
      <c r="D163" s="150"/>
      <c r="E163" s="150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</row>
    <row r="164" spans="1:17" s="229" customFormat="1" ht="35.1" customHeight="1" thickBot="1" x14ac:dyDescent="0.25">
      <c r="A164" s="239" t="s">
        <v>248</v>
      </c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</row>
    <row r="165" spans="1:17" s="229" customFormat="1" ht="35.1" customHeight="1" x14ac:dyDescent="0.2">
      <c r="A165" s="247">
        <f>+A161+1</f>
        <v>77</v>
      </c>
      <c r="B165" s="248" t="s">
        <v>46</v>
      </c>
      <c r="C165" s="245" t="s">
        <v>347</v>
      </c>
      <c r="D165" s="243" t="s">
        <v>427</v>
      </c>
      <c r="E165" s="248" t="s">
        <v>100</v>
      </c>
      <c r="F165" s="68">
        <v>135000</v>
      </c>
      <c r="G165" s="68">
        <f>F165*2.87%</f>
        <v>3874.5</v>
      </c>
      <c r="H165" s="68">
        <f>+F165*3.04%</f>
        <v>4104</v>
      </c>
      <c r="I165" s="68">
        <v>1715.46</v>
      </c>
      <c r="J165" s="69">
        <f>+G165+H165+I165</f>
        <v>9693.9599999999991</v>
      </c>
      <c r="K165" s="69">
        <f>+F165-J165</f>
        <v>125306.04000000001</v>
      </c>
      <c r="L165" s="69">
        <f t="shared" ref="L165:L169" si="43">+IF(K165*12&lt;=416220.01,0,IF(K165*12&lt;=624329.01,(((K165*12-416220.01)*0.15)/12),IF((K165*12&lt;=867123.01),(31216+0.2*(K165*12-624329.01))/12,((79776+0.25*(K165*12-867123.01))/12))))-M165</f>
        <v>19909.447291666667</v>
      </c>
      <c r="M165" s="69"/>
      <c r="N165" s="244">
        <v>25</v>
      </c>
      <c r="O165" s="225">
        <f>+N165+I165+H165+G165+L165</f>
        <v>29628.407291666666</v>
      </c>
      <c r="P165" s="87">
        <f>+F165-O165</f>
        <v>105371.59270833334</v>
      </c>
    </row>
    <row r="166" spans="1:17" s="216" customFormat="1" ht="35.1" customHeight="1" x14ac:dyDescent="0.2">
      <c r="A166" s="247">
        <f>+A165+1</f>
        <v>78</v>
      </c>
      <c r="B166" s="248" t="s">
        <v>244</v>
      </c>
      <c r="C166" s="245" t="s">
        <v>347</v>
      </c>
      <c r="D166" s="243" t="s">
        <v>243</v>
      </c>
      <c r="E166" s="248" t="s">
        <v>101</v>
      </c>
      <c r="F166" s="68">
        <v>100000</v>
      </c>
      <c r="G166" s="226">
        <f>F166*2.87%</f>
        <v>2870</v>
      </c>
      <c r="H166" s="68">
        <f>+F166*3.04%</f>
        <v>3040</v>
      </c>
      <c r="I166" s="68"/>
      <c r="J166" s="69">
        <f>+G166+H166+I166</f>
        <v>5910</v>
      </c>
      <c r="K166" s="69">
        <f>+F166-J166</f>
        <v>94090</v>
      </c>
      <c r="L166" s="69">
        <f t="shared" si="43"/>
        <v>12105.437291666667</v>
      </c>
      <c r="M166" s="69"/>
      <c r="N166" s="244">
        <v>25</v>
      </c>
      <c r="O166" s="225">
        <f>+N166+I166+H166+G166+L166</f>
        <v>18040.437291666669</v>
      </c>
      <c r="P166" s="87">
        <f>+F166-O166</f>
        <v>81959.562708333338</v>
      </c>
    </row>
    <row r="167" spans="1:17" s="152" customFormat="1" ht="35.1" customHeight="1" x14ac:dyDescent="0.2">
      <c r="A167" s="247">
        <f>+A166+1</f>
        <v>79</v>
      </c>
      <c r="B167" s="248" t="s">
        <v>229</v>
      </c>
      <c r="C167" s="245" t="s">
        <v>347</v>
      </c>
      <c r="D167" s="261" t="s">
        <v>243</v>
      </c>
      <c r="E167" s="248" t="s">
        <v>100</v>
      </c>
      <c r="F167" s="68">
        <v>90000</v>
      </c>
      <c r="G167" s="226">
        <f>F167*2.87%</f>
        <v>2583</v>
      </c>
      <c r="H167" s="226">
        <f>+F167*3.04%</f>
        <v>2736</v>
      </c>
      <c r="I167" s="226"/>
      <c r="J167" s="225">
        <f>+G167+H167+I167</f>
        <v>5319</v>
      </c>
      <c r="K167" s="225">
        <f>+F167-J167</f>
        <v>84681</v>
      </c>
      <c r="L167" s="69">
        <f t="shared" si="43"/>
        <v>9753.1872916666671</v>
      </c>
      <c r="M167" s="225"/>
      <c r="N167" s="231">
        <v>305</v>
      </c>
      <c r="O167" s="225">
        <f>+N167+I167+H167+G167+L167</f>
        <v>15377.187291666667</v>
      </c>
      <c r="P167" s="227">
        <f>+F167-O167</f>
        <v>74622.812708333338</v>
      </c>
    </row>
    <row r="168" spans="1:17" s="152" customFormat="1" ht="35.1" customHeight="1" x14ac:dyDescent="0.2">
      <c r="A168" s="247">
        <f>+A167+1</f>
        <v>80</v>
      </c>
      <c r="B168" s="248" t="s">
        <v>218</v>
      </c>
      <c r="C168" s="245" t="s">
        <v>347</v>
      </c>
      <c r="D168" s="243" t="s">
        <v>243</v>
      </c>
      <c r="E168" s="248" t="s">
        <v>100</v>
      </c>
      <c r="F168" s="68">
        <v>85000</v>
      </c>
      <c r="G168" s="68">
        <f>F168*2.87%</f>
        <v>2439.5</v>
      </c>
      <c r="H168" s="68">
        <f>+F168*3.04%</f>
        <v>2584</v>
      </c>
      <c r="I168" s="68"/>
      <c r="J168" s="69">
        <f>+G168+H168+I168</f>
        <v>5023.5</v>
      </c>
      <c r="K168" s="69">
        <f>+F168-J168</f>
        <v>79976.5</v>
      </c>
      <c r="L168" s="69">
        <f t="shared" si="43"/>
        <v>8577.0622916666671</v>
      </c>
      <c r="M168" s="69"/>
      <c r="N168" s="87">
        <v>4725</v>
      </c>
      <c r="O168" s="225">
        <f>+N168+I168+H168+G168+L168</f>
        <v>18325.562291666669</v>
      </c>
      <c r="P168" s="87">
        <f>+F168-O168</f>
        <v>66674.437708333338</v>
      </c>
    </row>
    <row r="169" spans="1:17" s="152" customFormat="1" ht="35.1" customHeight="1" x14ac:dyDescent="0.2">
      <c r="A169" s="247">
        <f>+A168+1</f>
        <v>81</v>
      </c>
      <c r="B169" s="248" t="s">
        <v>241</v>
      </c>
      <c r="C169" s="245" t="s">
        <v>347</v>
      </c>
      <c r="D169" s="243" t="s">
        <v>54</v>
      </c>
      <c r="E169" s="248" t="s">
        <v>101</v>
      </c>
      <c r="F169" s="68">
        <v>50000</v>
      </c>
      <c r="G169" s="68">
        <f>F169*2.87%</f>
        <v>1435</v>
      </c>
      <c r="H169" s="68">
        <f>+F169*3.04%</f>
        <v>1520</v>
      </c>
      <c r="I169" s="68">
        <v>1715.46</v>
      </c>
      <c r="J169" s="69">
        <f>+G169+H169+I169</f>
        <v>4670.46</v>
      </c>
      <c r="K169" s="69">
        <f>+F169-J169</f>
        <v>45329.54</v>
      </c>
      <c r="L169" s="69">
        <f t="shared" si="43"/>
        <v>1596.6808749999998</v>
      </c>
      <c r="M169" s="69"/>
      <c r="N169" s="87">
        <v>17696.330000000002</v>
      </c>
      <c r="O169" s="225">
        <f>+N169+I169+H169+G169+L169</f>
        <v>23963.470874999999</v>
      </c>
      <c r="P169" s="244">
        <f>+F169-O169</f>
        <v>26036.529125000001</v>
      </c>
    </row>
    <row r="170" spans="1:17" s="152" customFormat="1" ht="35.1" customHeight="1" x14ac:dyDescent="0.2">
      <c r="A170" s="233" t="s">
        <v>103</v>
      </c>
      <c r="B170" s="234"/>
      <c r="C170" s="234"/>
      <c r="D170" s="234"/>
      <c r="E170" s="250"/>
      <c r="F170" s="235">
        <f>SUM(F165:F169)</f>
        <v>460000</v>
      </c>
      <c r="G170" s="235">
        <f t="shared" ref="G170:P170" si="44">SUM(G165:G169)</f>
        <v>13202</v>
      </c>
      <c r="H170" s="235">
        <f t="shared" si="44"/>
        <v>13984</v>
      </c>
      <c r="I170" s="235">
        <f t="shared" si="44"/>
        <v>3430.92</v>
      </c>
      <c r="J170" s="235">
        <f t="shared" si="44"/>
        <v>30616.92</v>
      </c>
      <c r="K170" s="235">
        <f t="shared" si="44"/>
        <v>429383.08</v>
      </c>
      <c r="L170" s="235">
        <f t="shared" si="44"/>
        <v>51941.815041666669</v>
      </c>
      <c r="M170" s="235">
        <f t="shared" si="44"/>
        <v>0</v>
      </c>
      <c r="N170" s="235">
        <f t="shared" si="44"/>
        <v>22776.33</v>
      </c>
      <c r="O170" s="235">
        <f t="shared" si="44"/>
        <v>105335.06504166668</v>
      </c>
      <c r="P170" s="235">
        <f t="shared" si="44"/>
        <v>354664.93495833338</v>
      </c>
      <c r="Q170" s="336"/>
    </row>
    <row r="171" spans="1:17" s="229" customFormat="1" ht="26.45" customHeight="1" thickBot="1" x14ac:dyDescent="0.25">
      <c r="A171" s="237"/>
      <c r="B171" s="271"/>
      <c r="C171" s="272"/>
      <c r="D171" s="271"/>
      <c r="E171" s="271"/>
      <c r="F171" s="273"/>
      <c r="G171" s="152"/>
      <c r="H171" s="152"/>
      <c r="I171" s="152"/>
      <c r="J171" s="152"/>
      <c r="K171" s="152"/>
      <c r="L171" s="152"/>
      <c r="M171" s="152"/>
      <c r="N171" s="152"/>
      <c r="O171" s="152"/>
      <c r="P171" s="152"/>
    </row>
    <row r="172" spans="1:17" s="152" customFormat="1" ht="35.1" customHeight="1" thickBot="1" x14ac:dyDescent="0.25">
      <c r="A172" s="239" t="s">
        <v>74</v>
      </c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</row>
    <row r="173" spans="1:17" s="251" customFormat="1" ht="35.1" customHeight="1" x14ac:dyDescent="0.2">
      <c r="A173" s="245">
        <f>+A169+1</f>
        <v>82</v>
      </c>
      <c r="B173" s="72" t="s">
        <v>60</v>
      </c>
      <c r="C173" s="73" t="s">
        <v>347</v>
      </c>
      <c r="D173" s="243" t="s">
        <v>446</v>
      </c>
      <c r="E173" s="72" t="s">
        <v>100</v>
      </c>
      <c r="F173" s="226">
        <v>120000</v>
      </c>
      <c r="G173" s="68">
        <f t="shared" ref="G173:G176" si="45">F173*2.87%</f>
        <v>3444</v>
      </c>
      <c r="H173" s="68">
        <f t="shared" ref="H173:H176" si="46">+F173*3.04%</f>
        <v>3648</v>
      </c>
      <c r="I173" s="68"/>
      <c r="J173" s="69">
        <f t="shared" ref="J173:J176" si="47">+G173+H173+I173</f>
        <v>7092</v>
      </c>
      <c r="K173" s="69">
        <f t="shared" ref="K173:K176" si="48">+F173-J173</f>
        <v>112908</v>
      </c>
      <c r="L173" s="225">
        <f>+IF(K173*12&lt;=416220.01,0,IF(K173*12&lt;=624329.01,(((K173*12-416220.01)*0.15)/12),IF((K173*12&lt;=867123.01),(31216+0.2*(K173*12-624329.01))/12,((79776+0.25*(K173*12-867123.01))/12))))-M173</f>
        <v>16809.937291666665</v>
      </c>
      <c r="M173" s="225"/>
      <c r="N173" s="231">
        <v>8335.58</v>
      </c>
      <c r="O173" s="225">
        <f>+N173+I173+H173+G173+L173</f>
        <v>32237.517291666663</v>
      </c>
      <c r="P173" s="87">
        <f>+F173-O173</f>
        <v>87762.482708333337</v>
      </c>
    </row>
    <row r="174" spans="1:17" s="251" customFormat="1" ht="35.1" customHeight="1" x14ac:dyDescent="0.2">
      <c r="A174" s="245">
        <f>+A173+1</f>
        <v>83</v>
      </c>
      <c r="B174" s="248" t="s">
        <v>242</v>
      </c>
      <c r="C174" s="245" t="s">
        <v>347</v>
      </c>
      <c r="D174" s="261" t="s">
        <v>245</v>
      </c>
      <c r="E174" s="248" t="s">
        <v>100</v>
      </c>
      <c r="F174" s="68">
        <v>90000</v>
      </c>
      <c r="G174" s="68">
        <f>F174*2.87%</f>
        <v>2583</v>
      </c>
      <c r="H174" s="68">
        <f>+F174*3.04%</f>
        <v>2736</v>
      </c>
      <c r="I174" s="68">
        <v>0</v>
      </c>
      <c r="J174" s="69">
        <f>+G174+H174+I174</f>
        <v>5319</v>
      </c>
      <c r="K174" s="69">
        <f>+F174-J174</f>
        <v>84681</v>
      </c>
      <c r="L174" s="225">
        <f>+IF(K174*12&lt;=416220.01,0,IF(K174*12&lt;=624329.01,(((K174*12-416220.01)*0.15)/12),IF((K174*12&lt;=867123.01),(31216+0.2*(K174*12-624329.01))/12,((79776+0.25*(K174*12-867123.01))/12))))-M174</f>
        <v>9753.1872916666671</v>
      </c>
      <c r="M174" s="225"/>
      <c r="N174" s="231">
        <v>25</v>
      </c>
      <c r="O174" s="225">
        <f>+N174+I174+H174+G174+L174</f>
        <v>15097.187291666667</v>
      </c>
      <c r="P174" s="87">
        <f>+F174-O174</f>
        <v>74902.812708333338</v>
      </c>
    </row>
    <row r="175" spans="1:17" s="229" customFormat="1" ht="35.1" customHeight="1" x14ac:dyDescent="0.2">
      <c r="A175" s="245">
        <f>+A174+1</f>
        <v>84</v>
      </c>
      <c r="B175" s="72" t="s">
        <v>225</v>
      </c>
      <c r="C175" s="73" t="s">
        <v>347</v>
      </c>
      <c r="D175" s="243" t="s">
        <v>245</v>
      </c>
      <c r="E175" s="72" t="s">
        <v>100</v>
      </c>
      <c r="F175" s="226">
        <v>80000</v>
      </c>
      <c r="G175" s="68">
        <f t="shared" si="45"/>
        <v>2296</v>
      </c>
      <c r="H175" s="68">
        <f t="shared" si="46"/>
        <v>2432</v>
      </c>
      <c r="I175" s="68"/>
      <c r="J175" s="69">
        <f t="shared" si="47"/>
        <v>4728</v>
      </c>
      <c r="K175" s="69">
        <f t="shared" si="48"/>
        <v>75272</v>
      </c>
      <c r="L175" s="225">
        <f>+IF(K175*12&lt;=416220.01,0,IF(K175*12&lt;=624329.01,(((K175*12-416220.01)*0.15)/12),IF((K175*12&lt;=867123.01),(31216+0.2*(K175*12-624329.01))/12,((79776+0.25*(K175*12-867123.01))/12))))-M175</f>
        <v>7400.9372916666662</v>
      </c>
      <c r="M175" s="225"/>
      <c r="N175" s="231">
        <v>25</v>
      </c>
      <c r="O175" s="225">
        <f>+N175+I175+H175+G175+L175</f>
        <v>12153.937291666665</v>
      </c>
      <c r="P175" s="87">
        <f>+F175-O175</f>
        <v>67846.062708333338</v>
      </c>
    </row>
    <row r="176" spans="1:17" s="152" customFormat="1" ht="51" customHeight="1" x14ac:dyDescent="0.2">
      <c r="A176" s="223">
        <f>+A175+1</f>
        <v>85</v>
      </c>
      <c r="B176" s="72" t="s">
        <v>115</v>
      </c>
      <c r="C176" s="73" t="s">
        <v>347</v>
      </c>
      <c r="D176" s="72" t="s">
        <v>54</v>
      </c>
      <c r="E176" s="72" t="s">
        <v>196</v>
      </c>
      <c r="F176" s="226">
        <v>45000</v>
      </c>
      <c r="G176" s="226">
        <f t="shared" si="45"/>
        <v>1291.5</v>
      </c>
      <c r="H176" s="226">
        <f t="shared" si="46"/>
        <v>1368</v>
      </c>
      <c r="I176" s="68"/>
      <c r="J176" s="69">
        <f t="shared" si="47"/>
        <v>2659.5</v>
      </c>
      <c r="K176" s="69">
        <f t="shared" si="48"/>
        <v>42340.5</v>
      </c>
      <c r="L176" s="225">
        <f>+IF(K176*12&lt;=416220.01,0,IF(K176*12&lt;=624329.01,(((K176*12-416220.01)*0.15)/12),IF((K176*12&lt;=867123.01),(31216+0.2*(K176*12-624329.01))/12,((79776+0.25*(K176*12-867123.01))/12))))-M176</f>
        <v>1148.3248749999998</v>
      </c>
      <c r="M176" s="225"/>
      <c r="N176" s="231">
        <v>225</v>
      </c>
      <c r="O176" s="225">
        <f>+N176+I176+H176+G176+L176</f>
        <v>4032.8248749999998</v>
      </c>
      <c r="P176" s="227">
        <f>+F176-O176</f>
        <v>40967.175125000002</v>
      </c>
    </row>
    <row r="177" spans="1:17" s="152" customFormat="1" ht="41.25" customHeight="1" x14ac:dyDescent="0.2">
      <c r="A177" s="233" t="s">
        <v>103</v>
      </c>
      <c r="B177" s="234"/>
      <c r="C177" s="234"/>
      <c r="D177" s="234"/>
      <c r="E177" s="250"/>
      <c r="F177" s="235">
        <f t="shared" ref="F177:M177" si="49">SUM(F173:F176)</f>
        <v>335000</v>
      </c>
      <c r="G177" s="235">
        <f t="shared" si="49"/>
        <v>9614.5</v>
      </c>
      <c r="H177" s="235">
        <f t="shared" si="49"/>
        <v>10184</v>
      </c>
      <c r="I177" s="235">
        <f t="shared" si="49"/>
        <v>0</v>
      </c>
      <c r="J177" s="235">
        <f t="shared" si="49"/>
        <v>19798.5</v>
      </c>
      <c r="K177" s="235">
        <f t="shared" si="49"/>
        <v>315201.5</v>
      </c>
      <c r="L177" s="235">
        <f t="shared" si="49"/>
        <v>35112.386749999998</v>
      </c>
      <c r="M177" s="235">
        <f t="shared" si="49"/>
        <v>0</v>
      </c>
      <c r="N177" s="235">
        <f>SUM(N173:N176)</f>
        <v>8610.58</v>
      </c>
      <c r="O177" s="235">
        <f>SUM(O173:O176)</f>
        <v>63521.46675</v>
      </c>
      <c r="P177" s="235">
        <f>SUM(P173:P176)</f>
        <v>271478.53324999998</v>
      </c>
      <c r="Q177" s="336"/>
    </row>
    <row r="178" spans="1:17" s="229" customFormat="1" ht="42.75" customHeight="1" thickBot="1" x14ac:dyDescent="0.25">
      <c r="A178" s="150"/>
      <c r="B178" s="150"/>
      <c r="C178" s="150"/>
      <c r="D178" s="150"/>
      <c r="E178" s="150"/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</row>
    <row r="179" spans="1:17" s="229" customFormat="1" ht="35.1" customHeight="1" thickBot="1" x14ac:dyDescent="0.25">
      <c r="A179" s="239" t="s">
        <v>175</v>
      </c>
      <c r="B179" s="240"/>
      <c r="C179" s="240"/>
      <c r="D179" s="240"/>
      <c r="E179" s="240"/>
      <c r="F179" s="240"/>
      <c r="G179" s="240"/>
      <c r="H179" s="240"/>
      <c r="I179" s="240"/>
      <c r="J179" s="240"/>
      <c r="K179" s="240"/>
      <c r="L179" s="240"/>
      <c r="M179" s="240"/>
      <c r="N179" s="240"/>
      <c r="O179" s="240"/>
      <c r="P179" s="240"/>
    </row>
    <row r="180" spans="1:17" s="229" customFormat="1" ht="35.1" customHeight="1" x14ac:dyDescent="0.2">
      <c r="A180" s="223">
        <f>+A176+1</f>
        <v>86</v>
      </c>
      <c r="B180" s="224" t="s">
        <v>157</v>
      </c>
      <c r="C180" s="223" t="s">
        <v>347</v>
      </c>
      <c r="D180" s="223" t="s">
        <v>247</v>
      </c>
      <c r="E180" s="224" t="s">
        <v>100</v>
      </c>
      <c r="F180" s="275">
        <v>60000</v>
      </c>
      <c r="G180" s="69">
        <f>F180*2.87%</f>
        <v>1722</v>
      </c>
      <c r="H180" s="69">
        <f>+F180*3.04%</f>
        <v>1824</v>
      </c>
      <c r="I180" s="276"/>
      <c r="J180" s="69">
        <f>+G180+H180+I180</f>
        <v>3546</v>
      </c>
      <c r="K180" s="69">
        <f>+F180-J180</f>
        <v>56454</v>
      </c>
      <c r="L180" s="69">
        <f>+IF(K180*12&lt;=416220.01,0,IF(K180*12&lt;=624329.01,(((K180*12-416220.01)*0.15)/12),IF((K180*12&lt;=867123.01),(31216+0.2*(K180*12-624329.01))/12,((79776+0.25*(K180*12-867123.01))/12))))-M180</f>
        <v>3486.6498333333329</v>
      </c>
      <c r="M180" s="69"/>
      <c r="N180" s="87">
        <v>11390.95</v>
      </c>
      <c r="O180" s="225">
        <f>+N180+I180+H180+G180+L180</f>
        <v>18423.599833333334</v>
      </c>
      <c r="P180" s="87">
        <f>+F180-O180</f>
        <v>41576.400166666666</v>
      </c>
    </row>
    <row r="181" spans="1:17" s="152" customFormat="1" ht="35.1" customHeight="1" x14ac:dyDescent="0.2">
      <c r="A181" s="233" t="s">
        <v>103</v>
      </c>
      <c r="B181" s="234"/>
      <c r="C181" s="234"/>
      <c r="D181" s="234"/>
      <c r="E181" s="250"/>
      <c r="F181" s="235">
        <f t="shared" ref="F181:L181" si="50">SUM(F180)</f>
        <v>60000</v>
      </c>
      <c r="G181" s="235">
        <f t="shared" si="50"/>
        <v>1722</v>
      </c>
      <c r="H181" s="235">
        <f t="shared" si="50"/>
        <v>1824</v>
      </c>
      <c r="I181" s="235">
        <f t="shared" si="50"/>
        <v>0</v>
      </c>
      <c r="J181" s="235">
        <f t="shared" si="50"/>
        <v>3546</v>
      </c>
      <c r="K181" s="235">
        <f t="shared" si="50"/>
        <v>56454</v>
      </c>
      <c r="L181" s="235">
        <f t="shared" si="50"/>
        <v>3486.6498333333329</v>
      </c>
      <c r="M181" s="235"/>
      <c r="N181" s="235">
        <f>SUM(N180)</f>
        <v>11390.95</v>
      </c>
      <c r="O181" s="235">
        <f t="shared" ref="O181:P181" si="51">SUM(O180)</f>
        <v>18423.599833333334</v>
      </c>
      <c r="P181" s="235">
        <f t="shared" si="51"/>
        <v>41576.400166666666</v>
      </c>
      <c r="Q181" s="336"/>
    </row>
    <row r="182" spans="1:17" s="152" customFormat="1" ht="35.1" customHeight="1" thickBot="1" x14ac:dyDescent="0.25">
      <c r="A182" s="150"/>
      <c r="B182" s="150"/>
      <c r="C182" s="150"/>
      <c r="D182" s="150"/>
      <c r="E182" s="150"/>
      <c r="F182" s="277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</row>
    <row r="183" spans="1:17" s="229" customFormat="1" ht="44.25" customHeight="1" thickBot="1" x14ac:dyDescent="0.25">
      <c r="A183" s="239" t="s">
        <v>251</v>
      </c>
      <c r="B183" s="240"/>
      <c r="C183" s="240"/>
      <c r="D183" s="240"/>
      <c r="E183" s="240"/>
      <c r="F183" s="240"/>
      <c r="G183" s="240"/>
      <c r="H183" s="240"/>
      <c r="I183" s="240"/>
      <c r="J183" s="240"/>
      <c r="K183" s="240"/>
      <c r="L183" s="240"/>
      <c r="M183" s="240"/>
      <c r="N183" s="240"/>
      <c r="O183" s="240"/>
      <c r="P183" s="240"/>
    </row>
    <row r="184" spans="1:17" s="229" customFormat="1" ht="36.75" customHeight="1" x14ac:dyDescent="0.2">
      <c r="A184" s="223">
        <f>+A180+1</f>
        <v>87</v>
      </c>
      <c r="B184" s="72" t="s">
        <v>8</v>
      </c>
      <c r="C184" s="73" t="s">
        <v>347</v>
      </c>
      <c r="D184" s="91" t="s">
        <v>606</v>
      </c>
      <c r="E184" s="72" t="s">
        <v>100</v>
      </c>
      <c r="F184" s="226">
        <v>170000</v>
      </c>
      <c r="G184" s="69">
        <f>F184*2.87%</f>
        <v>4879</v>
      </c>
      <c r="H184" s="69">
        <f>+F184*3.04%</f>
        <v>5168</v>
      </c>
      <c r="I184" s="69">
        <v>0</v>
      </c>
      <c r="J184" s="69">
        <f>+G184+H184+I184</f>
        <v>10047</v>
      </c>
      <c r="K184" s="69">
        <f>+F184-J184</f>
        <v>159953</v>
      </c>
      <c r="L184" s="69">
        <f>+IF(K184*12&lt;=416220.01,0,IF(K184*12&lt;=624329.01,(((K184*12-416220.01)*0.15)/12),IF((K184*12&lt;=867123.01),(31216+0.2*(K184*12-624329.01))/12,((79776+0.25*(K184*12-867123.01))/12))))-M184</f>
        <v>28571.187291666665</v>
      </c>
      <c r="M184" s="69"/>
      <c r="N184" s="87">
        <v>2185</v>
      </c>
      <c r="O184" s="225">
        <f>+N184+I184+H184+G184+L184</f>
        <v>40803.187291666662</v>
      </c>
      <c r="P184" s="87">
        <f>+F184-O184</f>
        <v>129196.81270833334</v>
      </c>
    </row>
    <row r="185" spans="1:17" s="229" customFormat="1" ht="46.5" customHeight="1" x14ac:dyDescent="0.2">
      <c r="A185" s="245">
        <f>+A184+1</f>
        <v>88</v>
      </c>
      <c r="B185" s="248" t="s">
        <v>82</v>
      </c>
      <c r="C185" s="245" t="s">
        <v>346</v>
      </c>
      <c r="D185" s="248" t="s">
        <v>78</v>
      </c>
      <c r="E185" s="248" t="s">
        <v>101</v>
      </c>
      <c r="F185" s="68">
        <v>80000</v>
      </c>
      <c r="G185" s="68">
        <f>F185*2.87%</f>
        <v>2296</v>
      </c>
      <c r="H185" s="226">
        <f>+F185*3.04%</f>
        <v>2432</v>
      </c>
      <c r="I185" s="226">
        <v>0</v>
      </c>
      <c r="J185" s="225">
        <f>+G185+H185+I185</f>
        <v>4728</v>
      </c>
      <c r="K185" s="225">
        <f>+F185-J185</f>
        <v>75272</v>
      </c>
      <c r="L185" s="69">
        <f>+IF(K185*12&lt;=416220.01,0,IF(K185*12&lt;=624329.01,(((K185*12-416220.01)*0.15)/12),IF((K185*12&lt;=867123.01),(31216+0.2*(K185*12-624329.01))/12,((79776+0.25*(K185*12-867123.01))/12))))-M185</f>
        <v>7400.9372916666662</v>
      </c>
      <c r="M185" s="225"/>
      <c r="N185" s="227">
        <v>6470.72</v>
      </c>
      <c r="O185" s="225">
        <f>+N185+I185+H185+G185+L185</f>
        <v>18599.657291666666</v>
      </c>
      <c r="P185" s="227">
        <f>+F185-O185</f>
        <v>61400.342708333337</v>
      </c>
    </row>
    <row r="186" spans="1:17" s="229" customFormat="1" ht="45" customHeight="1" thickBot="1" x14ac:dyDescent="0.25">
      <c r="A186" s="233" t="s">
        <v>103</v>
      </c>
      <c r="B186" s="234"/>
      <c r="C186" s="234"/>
      <c r="D186" s="234"/>
      <c r="E186" s="250"/>
      <c r="F186" s="235">
        <f t="shared" ref="F186:L186" si="52">SUM(F184:F185)</f>
        <v>250000</v>
      </c>
      <c r="G186" s="235">
        <f t="shared" si="52"/>
        <v>7175</v>
      </c>
      <c r="H186" s="235">
        <f t="shared" si="52"/>
        <v>7600</v>
      </c>
      <c r="I186" s="235">
        <f t="shared" si="52"/>
        <v>0</v>
      </c>
      <c r="J186" s="235">
        <f t="shared" si="52"/>
        <v>14775</v>
      </c>
      <c r="K186" s="235">
        <f t="shared" si="52"/>
        <v>235225</v>
      </c>
      <c r="L186" s="235">
        <f t="shared" si="52"/>
        <v>35972.124583333331</v>
      </c>
      <c r="M186" s="235"/>
      <c r="N186" s="235">
        <f>SUM(N184:N185)</f>
        <v>8655.7200000000012</v>
      </c>
      <c r="O186" s="235">
        <f t="shared" ref="O186:P186" si="53">SUM(O184:O185)</f>
        <v>59402.844583333324</v>
      </c>
      <c r="P186" s="235">
        <f t="shared" si="53"/>
        <v>190597.15541666668</v>
      </c>
      <c r="Q186" s="336"/>
    </row>
    <row r="187" spans="1:17" s="152" customFormat="1" ht="46.5" customHeight="1" thickBot="1" x14ac:dyDescent="0.25">
      <c r="A187" s="218" t="s">
        <v>252</v>
      </c>
      <c r="B187" s="219"/>
      <c r="C187" s="219"/>
      <c r="D187" s="219"/>
      <c r="E187" s="219"/>
      <c r="F187" s="219"/>
      <c r="G187" s="219"/>
      <c r="H187" s="219"/>
      <c r="I187" s="219"/>
      <c r="J187" s="219"/>
      <c r="K187" s="219"/>
      <c r="L187" s="219"/>
      <c r="M187" s="219"/>
      <c r="N187" s="219"/>
      <c r="O187" s="219"/>
      <c r="P187" s="219"/>
    </row>
    <row r="188" spans="1:17" s="152" customFormat="1" ht="33" customHeight="1" x14ac:dyDescent="0.2">
      <c r="A188" s="247">
        <f>+A185+1</f>
        <v>89</v>
      </c>
      <c r="B188" s="72" t="s">
        <v>253</v>
      </c>
      <c r="C188" s="73" t="s">
        <v>346</v>
      </c>
      <c r="D188" s="72" t="s">
        <v>92</v>
      </c>
      <c r="E188" s="72" t="s">
        <v>101</v>
      </c>
      <c r="F188" s="226">
        <v>80000</v>
      </c>
      <c r="G188" s="68">
        <f>F188*2.87%</f>
        <v>2296</v>
      </c>
      <c r="H188" s="68">
        <f>+F188*3.04%</f>
        <v>2432</v>
      </c>
      <c r="I188" s="68"/>
      <c r="J188" s="69">
        <f>+G188+H188+I188</f>
        <v>4728</v>
      </c>
      <c r="K188" s="69">
        <f>+F188-J188</f>
        <v>75272</v>
      </c>
      <c r="L188" s="69">
        <f>+IF(K188*12&lt;=416220.01,0,IF(K188*12&lt;=624329.01,(((K188*12-416220.01)*0.15)/12),IF((K188*12&lt;=867123.01),(31216+0.2*(K188*12-624329.01))/12,((79776+0.25*(K188*12-867123.01))/12))))-M188</f>
        <v>7400.9372916666662</v>
      </c>
      <c r="M188" s="69"/>
      <c r="N188" s="87">
        <v>28520.76</v>
      </c>
      <c r="O188" s="225">
        <f>+N188+I188+H188+G188+L188</f>
        <v>40649.697291666664</v>
      </c>
      <c r="P188" s="244">
        <f>+F188-O188</f>
        <v>39350.302708333336</v>
      </c>
    </row>
    <row r="189" spans="1:17" s="152" customFormat="1" ht="33.75" customHeight="1" x14ac:dyDescent="0.2">
      <c r="A189" s="247">
        <f>+A188+1</f>
        <v>90</v>
      </c>
      <c r="B189" s="72" t="s">
        <v>532</v>
      </c>
      <c r="C189" s="73" t="s">
        <v>347</v>
      </c>
      <c r="D189" s="72" t="s">
        <v>531</v>
      </c>
      <c r="E189" s="72" t="s">
        <v>101</v>
      </c>
      <c r="F189" s="226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 t="shared" ref="L189:L190" si="54">+IF(K189*12&lt;=416220.01,0,IF(K189*12&lt;=624329.01,(((K189*12-416220.01)*0.15)/12),IF((K189*12&lt;=867123.01),(31216+0.2*(K189*12-624329.01))/12,((79776+0.25*(K189*12-867123.01))/12))))-M189</f>
        <v>7400.9372916666662</v>
      </c>
      <c r="M189" s="69"/>
      <c r="N189" s="87">
        <v>5025</v>
      </c>
      <c r="O189" s="225">
        <f>+N189+I189+H189+G189+L189</f>
        <v>17153.937291666665</v>
      </c>
      <c r="P189" s="244">
        <f>+F189-O189</f>
        <v>62846.062708333338</v>
      </c>
    </row>
    <row r="190" spans="1:17" s="152" customFormat="1" ht="33" customHeight="1" x14ac:dyDescent="0.2">
      <c r="A190" s="247">
        <f>+A189+1</f>
        <v>91</v>
      </c>
      <c r="B190" s="72" t="s">
        <v>291</v>
      </c>
      <c r="C190" s="73" t="s">
        <v>347</v>
      </c>
      <c r="D190" s="72" t="s">
        <v>535</v>
      </c>
      <c r="E190" s="72" t="s">
        <v>100</v>
      </c>
      <c r="F190" s="226">
        <v>45000</v>
      </c>
      <c r="G190" s="68">
        <f>F190*2.87%</f>
        <v>1291.5</v>
      </c>
      <c r="H190" s="68">
        <f>+F190*3.04%</f>
        <v>1368</v>
      </c>
      <c r="I190" s="68"/>
      <c r="J190" s="69">
        <f>+G190+H190+I190</f>
        <v>2659.5</v>
      </c>
      <c r="K190" s="69">
        <f>+F190-J190</f>
        <v>42340.5</v>
      </c>
      <c r="L190" s="69">
        <f t="shared" si="54"/>
        <v>1148.3248749999998</v>
      </c>
      <c r="M190" s="69"/>
      <c r="N190" s="87">
        <v>6265</v>
      </c>
      <c r="O190" s="225">
        <f>+N190+I190+H190+G190+L190</f>
        <v>10072.824875</v>
      </c>
      <c r="P190" s="244">
        <f>+F190-O190</f>
        <v>34927.175125000002</v>
      </c>
    </row>
    <row r="191" spans="1:17" s="229" customFormat="1" ht="28.5" customHeight="1" x14ac:dyDescent="0.2">
      <c r="A191" s="233" t="s">
        <v>103</v>
      </c>
      <c r="B191" s="234"/>
      <c r="C191" s="234"/>
      <c r="D191" s="234"/>
      <c r="E191" s="250"/>
      <c r="F191" s="235">
        <f t="shared" ref="F191:P191" si="55">SUM(F188:F190)</f>
        <v>205000</v>
      </c>
      <c r="G191" s="235">
        <f t="shared" si="55"/>
        <v>5883.5</v>
      </c>
      <c r="H191" s="235">
        <f t="shared" si="55"/>
        <v>6232</v>
      </c>
      <c r="I191" s="235">
        <f t="shared" si="55"/>
        <v>0</v>
      </c>
      <c r="J191" s="235">
        <f t="shared" si="55"/>
        <v>12115.5</v>
      </c>
      <c r="K191" s="235">
        <f t="shared" si="55"/>
        <v>192884.5</v>
      </c>
      <c r="L191" s="235">
        <f t="shared" si="55"/>
        <v>15950.199458333333</v>
      </c>
      <c r="M191" s="235">
        <f t="shared" si="55"/>
        <v>0</v>
      </c>
      <c r="N191" s="235">
        <f t="shared" si="55"/>
        <v>39810.759999999995</v>
      </c>
      <c r="O191" s="235">
        <f t="shared" si="55"/>
        <v>67876.459458333338</v>
      </c>
      <c r="P191" s="235">
        <f t="shared" si="55"/>
        <v>137123.54054166668</v>
      </c>
      <c r="Q191" s="336"/>
    </row>
    <row r="192" spans="1:17" s="263" customFormat="1" ht="31.5" customHeight="1" thickBot="1" x14ac:dyDescent="0.25">
      <c r="A192" s="212"/>
      <c r="B192" s="151"/>
      <c r="C192" s="212"/>
      <c r="D192" s="238"/>
      <c r="E192" s="238"/>
      <c r="F192" s="152"/>
      <c r="G192" s="153"/>
      <c r="H192" s="153"/>
      <c r="I192" s="153"/>
      <c r="J192" s="153"/>
      <c r="K192" s="153"/>
      <c r="L192" s="153"/>
      <c r="M192" s="153"/>
      <c r="N192" s="153"/>
      <c r="O192" s="153"/>
      <c r="P192" s="153"/>
    </row>
    <row r="193" spans="1:17" s="229" customFormat="1" ht="35.1" customHeight="1" thickBot="1" x14ac:dyDescent="0.25">
      <c r="A193" s="218" t="s">
        <v>254</v>
      </c>
      <c r="B193" s="219"/>
      <c r="C193" s="219"/>
      <c r="D193" s="219"/>
      <c r="E193" s="219"/>
      <c r="F193" s="219"/>
      <c r="G193" s="219"/>
      <c r="H193" s="219"/>
      <c r="I193" s="219"/>
      <c r="J193" s="219"/>
      <c r="K193" s="219"/>
      <c r="L193" s="219"/>
      <c r="M193" s="219"/>
      <c r="N193" s="219"/>
      <c r="O193" s="219"/>
      <c r="P193" s="219"/>
    </row>
    <row r="194" spans="1:17" s="152" customFormat="1" ht="35.1" customHeight="1" x14ac:dyDescent="0.2">
      <c r="A194" s="223">
        <f>+A190+1</f>
        <v>92</v>
      </c>
      <c r="B194" s="224" t="s">
        <v>256</v>
      </c>
      <c r="C194" s="223" t="s">
        <v>347</v>
      </c>
      <c r="D194" s="230" t="s">
        <v>551</v>
      </c>
      <c r="E194" s="72" t="s">
        <v>100</v>
      </c>
      <c r="F194" s="225">
        <v>145000</v>
      </c>
      <c r="G194" s="69">
        <f>F194*2.87%</f>
        <v>4161.5</v>
      </c>
      <c r="H194" s="69">
        <f>F194*3.04%</f>
        <v>4408</v>
      </c>
      <c r="I194" s="69">
        <v>1715.46</v>
      </c>
      <c r="J194" s="69">
        <f>+G194+H194+I194</f>
        <v>10284.959999999999</v>
      </c>
      <c r="K194" s="69">
        <f>+F194-J194</f>
        <v>134715.04</v>
      </c>
      <c r="L194" s="69">
        <f>+IF(K194*12&lt;=416220.01,0,IF(K194*12&lt;=624329.01,(((K194*12-416220.01)*0.15)/12),IF((K194*12&lt;=867123.01),(31216+0.2*(K194*12-624329.01))/12,((79776+0.25*(K194*12-867123.01))/12))))-M194</f>
        <v>22261.697291666667</v>
      </c>
      <c r="M194" s="69"/>
      <c r="N194" s="87">
        <v>25</v>
      </c>
      <c r="O194" s="69">
        <f>+N194+I194+H194+G194+L194</f>
        <v>32571.657291666666</v>
      </c>
      <c r="P194" s="69">
        <f>+F194-O194</f>
        <v>112428.34270833334</v>
      </c>
    </row>
    <row r="195" spans="1:17" s="229" customFormat="1" ht="35.1" customHeight="1" x14ac:dyDescent="0.2">
      <c r="A195" s="233" t="s">
        <v>103</v>
      </c>
      <c r="B195" s="234"/>
      <c r="C195" s="234"/>
      <c r="D195" s="234"/>
      <c r="E195" s="250"/>
      <c r="F195" s="235">
        <f t="shared" ref="F195:L195" si="56">SUM(F194:F194)</f>
        <v>145000</v>
      </c>
      <c r="G195" s="235">
        <f t="shared" si="56"/>
        <v>4161.5</v>
      </c>
      <c r="H195" s="235">
        <f t="shared" si="56"/>
        <v>4408</v>
      </c>
      <c r="I195" s="235">
        <f t="shared" si="56"/>
        <v>1715.46</v>
      </c>
      <c r="J195" s="235">
        <f t="shared" si="56"/>
        <v>10284.959999999999</v>
      </c>
      <c r="K195" s="235">
        <f t="shared" si="56"/>
        <v>134715.04</v>
      </c>
      <c r="L195" s="235">
        <f t="shared" si="56"/>
        <v>22261.697291666667</v>
      </c>
      <c r="M195" s="235"/>
      <c r="N195" s="235">
        <f>SUM(N194:N194)</f>
        <v>25</v>
      </c>
      <c r="O195" s="235">
        <f t="shared" ref="O195:P195" si="57">SUM(O194:O194)</f>
        <v>32571.657291666666</v>
      </c>
      <c r="P195" s="235">
        <f t="shared" si="57"/>
        <v>112428.34270833334</v>
      </c>
      <c r="Q195" s="336"/>
    </row>
    <row r="196" spans="1:17" s="152" customFormat="1" ht="35.1" customHeight="1" thickBot="1" x14ac:dyDescent="0.25">
      <c r="A196" s="150"/>
      <c r="B196" s="150"/>
      <c r="C196" s="150"/>
      <c r="D196" s="150"/>
      <c r="E196" s="150"/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</row>
    <row r="197" spans="1:17" s="152" customFormat="1" ht="35.1" customHeight="1" thickBot="1" x14ac:dyDescent="0.25">
      <c r="A197" s="239" t="s">
        <v>257</v>
      </c>
      <c r="B197" s="240"/>
      <c r="C197" s="240"/>
      <c r="D197" s="240"/>
      <c r="E197" s="240"/>
      <c r="F197" s="240"/>
      <c r="G197" s="240"/>
      <c r="H197" s="240"/>
      <c r="I197" s="240"/>
      <c r="J197" s="240"/>
      <c r="K197" s="240"/>
      <c r="L197" s="240"/>
      <c r="M197" s="240"/>
      <c r="N197" s="240"/>
      <c r="O197" s="240"/>
      <c r="P197" s="240"/>
    </row>
    <row r="198" spans="1:17" s="229" customFormat="1" ht="35.1" customHeight="1" x14ac:dyDescent="0.2">
      <c r="A198" s="245">
        <f>+A194+1</f>
        <v>93</v>
      </c>
      <c r="B198" s="72" t="s">
        <v>90</v>
      </c>
      <c r="C198" s="73" t="s">
        <v>347</v>
      </c>
      <c r="D198" s="72" t="s">
        <v>91</v>
      </c>
      <c r="E198" s="72" t="s">
        <v>101</v>
      </c>
      <c r="F198" s="226">
        <v>100000</v>
      </c>
      <c r="G198" s="68">
        <f>F198*2.87%</f>
        <v>2870</v>
      </c>
      <c r="H198" s="68">
        <f>+F198*3.04%</f>
        <v>3040</v>
      </c>
      <c r="I198" s="68"/>
      <c r="J198" s="69">
        <f>+G198+H198+I198</f>
        <v>5910</v>
      </c>
      <c r="K198" s="69">
        <f>+F198-J198</f>
        <v>94090</v>
      </c>
      <c r="L198" s="69">
        <f>+IF(K198*12&lt;=416220.01,0,IF(K198*12&lt;=624329.01,(((K198*12-416220.01)*0.15)/12),IF((K198*12&lt;=867123.01),(31216+0.2*(K198*12-624329.01))/12,((79776+0.25*(K198*12-867123.01))/12))))-M198</f>
        <v>12105.437291666667</v>
      </c>
      <c r="M198" s="69"/>
      <c r="N198" s="227">
        <v>25</v>
      </c>
      <c r="O198" s="225">
        <f>+N198+I198+H198+G198+L198</f>
        <v>18040.437291666669</v>
      </c>
      <c r="P198" s="69">
        <f>+F198-O198</f>
        <v>81959.562708333338</v>
      </c>
    </row>
    <row r="199" spans="1:17" s="152" customFormat="1" ht="35.1" customHeight="1" x14ac:dyDescent="0.2">
      <c r="A199" s="233" t="s">
        <v>103</v>
      </c>
      <c r="B199" s="234"/>
      <c r="C199" s="234"/>
      <c r="D199" s="234"/>
      <c r="E199" s="250"/>
      <c r="F199" s="235">
        <f>SUM(F198)</f>
        <v>100000</v>
      </c>
      <c r="G199" s="235">
        <f t="shared" ref="G199:P199" si="58">SUM(G198)</f>
        <v>2870</v>
      </c>
      <c r="H199" s="235">
        <f t="shared" si="58"/>
        <v>3040</v>
      </c>
      <c r="I199" s="235">
        <f t="shared" si="58"/>
        <v>0</v>
      </c>
      <c r="J199" s="235">
        <f t="shared" si="58"/>
        <v>5910</v>
      </c>
      <c r="K199" s="235">
        <f t="shared" si="58"/>
        <v>94090</v>
      </c>
      <c r="L199" s="235">
        <f t="shared" si="58"/>
        <v>12105.437291666667</v>
      </c>
      <c r="M199" s="235"/>
      <c r="N199" s="235">
        <f t="shared" si="58"/>
        <v>25</v>
      </c>
      <c r="O199" s="235">
        <f t="shared" si="58"/>
        <v>18040.437291666669</v>
      </c>
      <c r="P199" s="235">
        <f t="shared" si="58"/>
        <v>81959.562708333338</v>
      </c>
      <c r="Q199" s="336"/>
    </row>
    <row r="200" spans="1:17" s="152" customFormat="1" ht="35.1" customHeight="1" thickBot="1" x14ac:dyDescent="0.25">
      <c r="A200" s="237"/>
      <c r="B200" s="271"/>
      <c r="C200" s="272"/>
      <c r="D200" s="271"/>
      <c r="E200" s="271"/>
      <c r="F200" s="273"/>
    </row>
    <row r="201" spans="1:17" s="152" customFormat="1" ht="35.1" customHeight="1" x14ac:dyDescent="0.2">
      <c r="A201" s="278" t="s">
        <v>176</v>
      </c>
      <c r="B201" s="279"/>
      <c r="C201" s="279"/>
      <c r="D201" s="279"/>
      <c r="E201" s="279"/>
      <c r="F201" s="279"/>
      <c r="G201" s="279"/>
      <c r="H201" s="279"/>
      <c r="I201" s="279"/>
      <c r="J201" s="279"/>
      <c r="K201" s="279"/>
      <c r="L201" s="279"/>
      <c r="M201" s="279"/>
      <c r="N201" s="279"/>
      <c r="O201" s="279"/>
      <c r="P201" s="279"/>
    </row>
    <row r="202" spans="1:17" s="152" customFormat="1" ht="35.1" customHeight="1" x14ac:dyDescent="0.2">
      <c r="A202" s="73">
        <f>+A198+1</f>
        <v>94</v>
      </c>
      <c r="B202" s="72" t="s">
        <v>536</v>
      </c>
      <c r="C202" s="73" t="s">
        <v>347</v>
      </c>
      <c r="D202" s="72" t="s">
        <v>537</v>
      </c>
      <c r="E202" s="274" t="s">
        <v>196</v>
      </c>
      <c r="F202" s="226">
        <v>60000</v>
      </c>
      <c r="G202" s="226">
        <f>F202*2.87%</f>
        <v>1722</v>
      </c>
      <c r="H202" s="226">
        <f>+F202*3.04%</f>
        <v>1824</v>
      </c>
      <c r="I202" s="226">
        <v>1715.46</v>
      </c>
      <c r="J202" s="225">
        <f>+G202+H202+I202</f>
        <v>5261.46</v>
      </c>
      <c r="K202" s="225">
        <f>+F202-J202</f>
        <v>54738.54</v>
      </c>
      <c r="L202" s="69">
        <f>+IF(K202*12&lt;=416220.01,0,IF(K202*12&lt;=624329.01,(((K202*12-416220.01)*0.15)/12),IF((K202*12&lt;=867123.01),(31216+0.2*(K202*12-624329.01))/12,((79776+0.25*(K202*12-867123.01))/12))))-M202</f>
        <v>3143.5578333333328</v>
      </c>
      <c r="M202" s="225"/>
      <c r="N202" s="227">
        <v>8323.19</v>
      </c>
      <c r="O202" s="225">
        <f>+N202+I202+H202+G202+L202</f>
        <v>16728.207833333334</v>
      </c>
      <c r="P202" s="69">
        <f>+F202-O202</f>
        <v>43271.792166666666</v>
      </c>
    </row>
    <row r="203" spans="1:17" s="229" customFormat="1" ht="35.1" customHeight="1" x14ac:dyDescent="0.2">
      <c r="A203" s="73">
        <f>+A202+1</f>
        <v>95</v>
      </c>
      <c r="B203" s="72" t="s">
        <v>459</v>
      </c>
      <c r="C203" s="73" t="s">
        <v>347</v>
      </c>
      <c r="D203" s="72" t="s">
        <v>14</v>
      </c>
      <c r="E203" s="274" t="s">
        <v>196</v>
      </c>
      <c r="F203" s="226">
        <v>45000</v>
      </c>
      <c r="G203" s="226">
        <f>F203*2.87%</f>
        <v>1291.5</v>
      </c>
      <c r="H203" s="226">
        <f>+F203*3.04%</f>
        <v>1368</v>
      </c>
      <c r="I203" s="226"/>
      <c r="J203" s="225">
        <f>+G203+H203+I203</f>
        <v>2659.5</v>
      </c>
      <c r="K203" s="225">
        <f t="shared" ref="K203" si="59">+F203-J203</f>
        <v>42340.5</v>
      </c>
      <c r="L203" s="69">
        <f>+IF(K203*12&lt;=416220.01,0,IF(K203*12&lt;=624329.01,(((K203*12-416220.01)*0.15)/12),IF((K203*12&lt;=867123.01),(31216+0.2*(K203*12-624329.01))/12,((79776+0.25*(K203*12-867123.01))/12))))-M203</f>
        <v>1148.3248749999998</v>
      </c>
      <c r="M203" s="225"/>
      <c r="N203" s="227">
        <v>4039.63</v>
      </c>
      <c r="O203" s="225">
        <f>+N203+I203+H203+G203+L203</f>
        <v>7847.4548749999994</v>
      </c>
      <c r="P203" s="69">
        <f>+F203-O203</f>
        <v>37152.545125000004</v>
      </c>
    </row>
    <row r="204" spans="1:17" s="152" customFormat="1" ht="35.1" customHeight="1" x14ac:dyDescent="0.2">
      <c r="A204" s="73">
        <v>97</v>
      </c>
      <c r="B204" s="72" t="s">
        <v>653</v>
      </c>
      <c r="C204" s="73" t="s">
        <v>347</v>
      </c>
      <c r="D204" s="72" t="s">
        <v>499</v>
      </c>
      <c r="E204" s="274" t="s">
        <v>196</v>
      </c>
      <c r="F204" s="226">
        <v>38000</v>
      </c>
      <c r="G204" s="226">
        <f>F204*2.87%</f>
        <v>1090.5999999999999</v>
      </c>
      <c r="H204" s="226">
        <f>+F204*3.04%</f>
        <v>1155.2</v>
      </c>
      <c r="I204" s="226"/>
      <c r="J204" s="225">
        <f>+G204+H204+I204</f>
        <v>2245.8000000000002</v>
      </c>
      <c r="K204" s="225">
        <f>+F204-J204</f>
        <v>35754.199999999997</v>
      </c>
      <c r="L204" s="69">
        <f>+IF(K204*12&lt;=416220.01,0,IF(K204*12&lt;=624329.01,(((K204*12-416220.01)*0.15)/12),IF((K204*12&lt;=867123.01),(31216+0.2*(K204*12-624329.01))/12,((79776+0.25*(K204*12-867123.01))/12))))-M204</f>
        <v>160.37987499999943</v>
      </c>
      <c r="M204" s="226"/>
      <c r="N204" s="227">
        <v>25</v>
      </c>
      <c r="O204" s="225">
        <f>+N204+I204+H204+G204+L204</f>
        <v>2431.1798749999998</v>
      </c>
      <c r="P204" s="69">
        <f>+F204-O204</f>
        <v>35568.820124999998</v>
      </c>
    </row>
    <row r="205" spans="1:17" s="152" customFormat="1" ht="35.1" customHeight="1" x14ac:dyDescent="0.2">
      <c r="A205" s="73">
        <v>98</v>
      </c>
      <c r="B205" s="72" t="s">
        <v>182</v>
      </c>
      <c r="C205" s="73" t="s">
        <v>347</v>
      </c>
      <c r="D205" s="72" t="s">
        <v>499</v>
      </c>
      <c r="E205" s="274" t="s">
        <v>196</v>
      </c>
      <c r="F205" s="226">
        <v>33342</v>
      </c>
      <c r="G205" s="226">
        <f>F205*2.87%</f>
        <v>956.91539999999998</v>
      </c>
      <c r="H205" s="226">
        <f>+F205*3.04%</f>
        <v>1013.5968</v>
      </c>
      <c r="I205" s="226">
        <v>0</v>
      </c>
      <c r="J205" s="225">
        <f t="shared" ref="J205" si="60">+G205+H205+I205</f>
        <v>1970.5122000000001</v>
      </c>
      <c r="K205" s="225">
        <f>+F205-J205</f>
        <v>31371.487799999999</v>
      </c>
      <c r="L205" s="69">
        <f t="shared" ref="L205" si="61">+IF(K205*12&lt;=416220.01,0,IF(K205*12&lt;=624329.01,(((K205*12-416220.01)*0.15)/12),IF((K205*12&lt;=867123.01),(31216+0.2*(K205*12-624329.01))/12,((79776+0.25*(K205*12-867123.01))/12))))-M205</f>
        <v>0</v>
      </c>
      <c r="M205" s="226"/>
      <c r="N205" s="227">
        <v>4558.18</v>
      </c>
      <c r="O205" s="225">
        <f>+N205+I205+H205+G205+L205</f>
        <v>6528.6922000000004</v>
      </c>
      <c r="P205" s="69">
        <f>+F205-O205</f>
        <v>26813.307799999999</v>
      </c>
    </row>
    <row r="206" spans="1:17" s="152" customFormat="1" ht="33" customHeight="1" x14ac:dyDescent="0.2">
      <c r="A206" s="233" t="s">
        <v>103</v>
      </c>
      <c r="B206" s="234"/>
      <c r="C206" s="234"/>
      <c r="D206" s="234"/>
      <c r="E206" s="250"/>
      <c r="F206" s="235">
        <f t="shared" ref="F206:P206" si="62">SUM(F202:F205)</f>
        <v>176342</v>
      </c>
      <c r="G206" s="235">
        <f t="shared" si="62"/>
        <v>5061.0154000000002</v>
      </c>
      <c r="H206" s="235">
        <f t="shared" si="62"/>
        <v>5360.7968000000001</v>
      </c>
      <c r="I206" s="235">
        <f t="shared" si="62"/>
        <v>1715.46</v>
      </c>
      <c r="J206" s="235">
        <f t="shared" si="62"/>
        <v>12137.272199999999</v>
      </c>
      <c r="K206" s="235">
        <f t="shared" si="62"/>
        <v>164204.72779999999</v>
      </c>
      <c r="L206" s="235">
        <f t="shared" si="62"/>
        <v>4452.2625833333323</v>
      </c>
      <c r="M206" s="235">
        <f t="shared" si="62"/>
        <v>0</v>
      </c>
      <c r="N206" s="235">
        <f t="shared" si="62"/>
        <v>16946</v>
      </c>
      <c r="O206" s="235">
        <f t="shared" si="62"/>
        <v>33535.534783333329</v>
      </c>
      <c r="P206" s="235">
        <f t="shared" si="62"/>
        <v>142806.46521666666</v>
      </c>
      <c r="Q206" s="336"/>
    </row>
    <row r="207" spans="1:17" s="229" customFormat="1" ht="35.1" customHeight="1" thickBot="1" x14ac:dyDescent="0.25">
      <c r="A207" s="280"/>
      <c r="B207" s="281"/>
      <c r="C207" s="150"/>
      <c r="D207" s="282"/>
      <c r="E207" s="282"/>
      <c r="F207" s="236"/>
      <c r="G207" s="236"/>
      <c r="H207" s="236"/>
      <c r="I207" s="236"/>
      <c r="J207" s="236"/>
      <c r="K207" s="236"/>
      <c r="L207" s="236"/>
      <c r="M207" s="236"/>
      <c r="N207" s="236"/>
      <c r="O207" s="236"/>
      <c r="P207" s="236"/>
    </row>
    <row r="208" spans="1:17" s="228" customFormat="1" ht="35.1" customHeight="1" thickBot="1" x14ac:dyDescent="0.25">
      <c r="A208" s="239" t="s">
        <v>68</v>
      </c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</row>
    <row r="209" spans="1:17" s="229" customFormat="1" ht="35.1" customHeight="1" x14ac:dyDescent="0.2">
      <c r="A209" s="245">
        <v>99</v>
      </c>
      <c r="B209" s="72" t="s">
        <v>7</v>
      </c>
      <c r="C209" s="73" t="s">
        <v>347</v>
      </c>
      <c r="D209" s="72" t="s">
        <v>76</v>
      </c>
      <c r="E209" s="72" t="s">
        <v>101</v>
      </c>
      <c r="F209" s="226">
        <v>60000</v>
      </c>
      <c r="G209" s="226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f t="shared" ref="L209" si="63">+IF(K209*12&lt;=416220.01,0,IF(K209*12&lt;=624329.01,(((K209*12-416220.01)*0.15)/12),IF((K209*12&lt;=867123.01),(31216+0.2*(K209*12-624329.01))/12,((79776+0.25*(K209*12-867123.01))/12))))-M209</f>
        <v>3486.6498333333329</v>
      </c>
      <c r="M209" s="69"/>
      <c r="N209" s="68">
        <v>2725</v>
      </c>
      <c r="O209" s="225">
        <f>+N209+I209+H209+G209+L209</f>
        <v>9757.6498333333329</v>
      </c>
      <c r="P209" s="69">
        <f>+F209-O209</f>
        <v>50242.350166666671</v>
      </c>
    </row>
    <row r="210" spans="1:17" s="152" customFormat="1" ht="35.25" customHeight="1" x14ac:dyDescent="0.2">
      <c r="A210" s="233" t="s">
        <v>103</v>
      </c>
      <c r="B210" s="234"/>
      <c r="C210" s="234"/>
      <c r="D210" s="234"/>
      <c r="E210" s="250"/>
      <c r="F210" s="235">
        <f>SUM(F209:F209)</f>
        <v>60000</v>
      </c>
      <c r="G210" s="235">
        <f t="shared" ref="G210:P210" si="64">SUM(G209:G209)</f>
        <v>1722</v>
      </c>
      <c r="H210" s="235">
        <f t="shared" si="64"/>
        <v>1824</v>
      </c>
      <c r="I210" s="235">
        <f t="shared" si="64"/>
        <v>0</v>
      </c>
      <c r="J210" s="235">
        <f t="shared" si="64"/>
        <v>3546</v>
      </c>
      <c r="K210" s="235">
        <f>SUM(K209:K209)</f>
        <v>56454</v>
      </c>
      <c r="L210" s="235">
        <f t="shared" si="64"/>
        <v>3486.6498333333329</v>
      </c>
      <c r="M210" s="235"/>
      <c r="N210" s="235">
        <f t="shared" si="64"/>
        <v>2725</v>
      </c>
      <c r="O210" s="235">
        <f t="shared" si="64"/>
        <v>9757.6498333333329</v>
      </c>
      <c r="P210" s="235">
        <f t="shared" si="64"/>
        <v>50242.350166666671</v>
      </c>
      <c r="Q210" s="336"/>
    </row>
    <row r="211" spans="1:17" s="229" customFormat="1" ht="35.1" customHeight="1" thickBot="1" x14ac:dyDescent="0.25">
      <c r="A211" s="150"/>
      <c r="B211" s="150"/>
      <c r="C211" s="150"/>
      <c r="D211" s="150"/>
      <c r="E211" s="150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</row>
    <row r="212" spans="1:17" s="152" customFormat="1" ht="35.1" customHeight="1" thickBot="1" x14ac:dyDescent="0.25">
      <c r="A212" s="239" t="s">
        <v>149</v>
      </c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</row>
    <row r="213" spans="1:17" s="152" customFormat="1" ht="35.1" customHeight="1" x14ac:dyDescent="0.2">
      <c r="A213" s="73">
        <f>+A209+1</f>
        <v>100</v>
      </c>
      <c r="B213" s="72" t="s">
        <v>408</v>
      </c>
      <c r="C213" s="73" t="s">
        <v>346</v>
      </c>
      <c r="D213" s="72" t="s">
        <v>168</v>
      </c>
      <c r="E213" s="72" t="s">
        <v>196</v>
      </c>
      <c r="F213" s="226">
        <v>60000</v>
      </c>
      <c r="G213" s="226">
        <f>F213*2.87%</f>
        <v>1722</v>
      </c>
      <c r="H213" s="226">
        <f>+F213*3.04%</f>
        <v>1824</v>
      </c>
      <c r="I213" s="226"/>
      <c r="J213" s="69">
        <f>+G213+H213+I213</f>
        <v>3546</v>
      </c>
      <c r="K213" s="69">
        <f>+F213-J213</f>
        <v>56454</v>
      </c>
      <c r="L213" s="69">
        <f t="shared" ref="L213" si="65">+IF(K213*12&lt;=416220.01,0,IF(K213*12&lt;=624329.01,(((K213*12-416220.01)*0.15)/12),IF((K213*12&lt;=867123.01),(31216+0.2*(K213*12-624329.01))/12,((79776+0.25*(K213*12-867123.01))/12))))-M213</f>
        <v>3486.6498333333329</v>
      </c>
      <c r="M213" s="69"/>
      <c r="N213" s="244">
        <v>225</v>
      </c>
      <c r="O213" s="225">
        <f>+N213+I213+H213+G213+L213</f>
        <v>7257.6498333333329</v>
      </c>
      <c r="P213" s="225">
        <f>+F213-O213</f>
        <v>52742.350166666671</v>
      </c>
    </row>
    <row r="214" spans="1:17" s="152" customFormat="1" ht="35.1" customHeight="1" x14ac:dyDescent="0.2">
      <c r="A214" s="233" t="s">
        <v>103</v>
      </c>
      <c r="B214" s="234"/>
      <c r="C214" s="234"/>
      <c r="D214" s="234"/>
      <c r="E214" s="250"/>
      <c r="F214" s="235">
        <f t="shared" ref="F214:L214" si="66">SUM(F213:F213)</f>
        <v>60000</v>
      </c>
      <c r="G214" s="235">
        <f t="shared" si="66"/>
        <v>1722</v>
      </c>
      <c r="H214" s="235">
        <f t="shared" si="66"/>
        <v>1824</v>
      </c>
      <c r="I214" s="235">
        <f t="shared" si="66"/>
        <v>0</v>
      </c>
      <c r="J214" s="235">
        <f t="shared" si="66"/>
        <v>3546</v>
      </c>
      <c r="K214" s="235">
        <f t="shared" si="66"/>
        <v>56454</v>
      </c>
      <c r="L214" s="235">
        <f t="shared" si="66"/>
        <v>3486.6498333333329</v>
      </c>
      <c r="M214" s="235"/>
      <c r="N214" s="235">
        <f>SUM(N213:N213)</f>
        <v>225</v>
      </c>
      <c r="O214" s="235">
        <f t="shared" ref="O214:P214" si="67">SUM(O213:O213)</f>
        <v>7257.6498333333329</v>
      </c>
      <c r="P214" s="235">
        <f t="shared" si="67"/>
        <v>52742.350166666671</v>
      </c>
      <c r="Q214" s="336"/>
    </row>
    <row r="215" spans="1:17" s="229" customFormat="1" ht="35.1" customHeight="1" thickBot="1" x14ac:dyDescent="0.25">
      <c r="A215" s="212"/>
      <c r="B215" s="151"/>
      <c r="C215" s="212"/>
      <c r="D215" s="151"/>
      <c r="E215" s="151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</row>
    <row r="216" spans="1:17" s="263" customFormat="1" ht="35.1" customHeight="1" thickBot="1" x14ac:dyDescent="0.25">
      <c r="A216" s="239" t="s">
        <v>150</v>
      </c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</row>
    <row r="217" spans="1:17" s="263" customFormat="1" ht="35.1" customHeight="1" x14ac:dyDescent="0.2">
      <c r="A217" s="245">
        <f>+A213+1</f>
        <v>101</v>
      </c>
      <c r="B217" s="72" t="s">
        <v>163</v>
      </c>
      <c r="C217" s="73" t="s">
        <v>346</v>
      </c>
      <c r="D217" s="72" t="s">
        <v>6</v>
      </c>
      <c r="E217" s="72" t="s">
        <v>101</v>
      </c>
      <c r="F217" s="226">
        <v>80000</v>
      </c>
      <c r="G217" s="226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f t="shared" ref="L217:L219" si="68">+IF(K217*12&lt;=416220.01,0,IF(K217*12&lt;=624329.01,(((K217*12-416220.01)*0.15)/12),IF((K217*12&lt;=867123.01),(31216+0.2*(K217*12-624329.01))/12,((79776+0.25*(K217*12-867123.01))/12))))-M217</f>
        <v>7400.9372916666662</v>
      </c>
      <c r="M217" s="69"/>
      <c r="N217" s="87">
        <v>3521.07</v>
      </c>
      <c r="O217" s="225">
        <f>+N217+I217+H217+G217+L217</f>
        <v>15650.007291666665</v>
      </c>
      <c r="P217" s="87">
        <f>+F217-O217</f>
        <v>64349.992708333331</v>
      </c>
    </row>
    <row r="218" spans="1:17" s="152" customFormat="1" ht="35.1" customHeight="1" x14ac:dyDescent="0.2">
      <c r="A218" s="247">
        <f>+A217+1</f>
        <v>102</v>
      </c>
      <c r="B218" s="224" t="s">
        <v>258</v>
      </c>
      <c r="C218" s="223" t="s">
        <v>346</v>
      </c>
      <c r="D218" s="224" t="s">
        <v>168</v>
      </c>
      <c r="E218" s="224" t="s">
        <v>196</v>
      </c>
      <c r="F218" s="225">
        <v>60000</v>
      </c>
      <c r="G218" s="225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:K219" si="69">+F218-J218</f>
        <v>56454</v>
      </c>
      <c r="L218" s="69">
        <f t="shared" si="68"/>
        <v>3486.6498333333329</v>
      </c>
      <c r="M218" s="69"/>
      <c r="N218" s="87">
        <v>225</v>
      </c>
      <c r="O218" s="225">
        <f>+N218+I218+H218+G218+L218</f>
        <v>7257.6498333333329</v>
      </c>
      <c r="P218" s="69">
        <f>+F218-O218</f>
        <v>52742.350166666671</v>
      </c>
    </row>
    <row r="219" spans="1:17" s="152" customFormat="1" ht="35.1" customHeight="1" x14ac:dyDescent="0.2">
      <c r="A219" s="283">
        <f>+A218+1</f>
        <v>103</v>
      </c>
      <c r="B219" s="248" t="s">
        <v>515</v>
      </c>
      <c r="C219" s="284" t="s">
        <v>347</v>
      </c>
      <c r="D219" s="249" t="s">
        <v>189</v>
      </c>
      <c r="E219" s="255" t="s">
        <v>196</v>
      </c>
      <c r="F219" s="69">
        <v>70000</v>
      </c>
      <c r="G219" s="225">
        <f>F219*2.87%</f>
        <v>2009</v>
      </c>
      <c r="H219" s="69">
        <f>+F219*3.04%</f>
        <v>2128</v>
      </c>
      <c r="I219" s="69">
        <v>1715.46</v>
      </c>
      <c r="J219" s="69">
        <f>+G219+H219+I219</f>
        <v>5852.46</v>
      </c>
      <c r="K219" s="69">
        <f t="shared" si="69"/>
        <v>64147.54</v>
      </c>
      <c r="L219" s="69">
        <f t="shared" si="68"/>
        <v>5025.3578333333326</v>
      </c>
      <c r="M219" s="69"/>
      <c r="N219" s="87">
        <v>25</v>
      </c>
      <c r="O219" s="225">
        <f>+N219+I219+H219+G219+L219</f>
        <v>10902.817833333333</v>
      </c>
      <c r="P219" s="69">
        <f>+F219-O219</f>
        <v>59097.182166666666</v>
      </c>
    </row>
    <row r="220" spans="1:17" s="229" customFormat="1" ht="35.1" customHeight="1" x14ac:dyDescent="0.2">
      <c r="A220" s="233" t="s">
        <v>103</v>
      </c>
      <c r="B220" s="234"/>
      <c r="C220" s="234"/>
      <c r="D220" s="234"/>
      <c r="E220" s="250"/>
      <c r="F220" s="235">
        <f>SUM(F217:F219)</f>
        <v>210000</v>
      </c>
      <c r="G220" s="235">
        <f t="shared" ref="G220:P220" si="70">SUM(G217:G219)</f>
        <v>6027</v>
      </c>
      <c r="H220" s="235">
        <f t="shared" si="70"/>
        <v>6384</v>
      </c>
      <c r="I220" s="235">
        <f t="shared" si="70"/>
        <v>1715.46</v>
      </c>
      <c r="J220" s="235">
        <f t="shared" si="70"/>
        <v>14126.46</v>
      </c>
      <c r="K220" s="235">
        <f>SUM(K217:K219)</f>
        <v>195873.54</v>
      </c>
      <c r="L220" s="235">
        <f t="shared" si="70"/>
        <v>15912.94495833333</v>
      </c>
      <c r="M220" s="235"/>
      <c r="N220" s="235">
        <f t="shared" si="70"/>
        <v>3771.07</v>
      </c>
      <c r="O220" s="235">
        <f t="shared" si="70"/>
        <v>33810.474958333332</v>
      </c>
      <c r="P220" s="235">
        <f t="shared" si="70"/>
        <v>176189.52504166667</v>
      </c>
      <c r="Q220" s="336"/>
    </row>
    <row r="221" spans="1:17" s="229" customFormat="1" ht="22.9" customHeight="1" thickBot="1" x14ac:dyDescent="0.25">
      <c r="A221" s="212"/>
      <c r="B221" s="151"/>
      <c r="C221" s="212"/>
      <c r="D221" s="151"/>
      <c r="E221" s="151"/>
      <c r="F221" s="152"/>
      <c r="G221" s="152"/>
      <c r="H221" s="152"/>
      <c r="I221" s="152"/>
      <c r="J221" s="152"/>
      <c r="K221" s="152"/>
      <c r="L221" s="152"/>
      <c r="M221" s="152"/>
      <c r="N221" s="152"/>
      <c r="O221" s="152"/>
      <c r="P221" s="152"/>
    </row>
    <row r="222" spans="1:17" s="229" customFormat="1" ht="35.1" customHeight="1" thickBot="1" x14ac:dyDescent="0.25">
      <c r="A222" s="351" t="s">
        <v>259</v>
      </c>
      <c r="B222" s="352"/>
      <c r="C222" s="352"/>
      <c r="D222" s="352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</row>
    <row r="223" spans="1:17" s="152" customFormat="1" ht="35.1" customHeight="1" thickBot="1" x14ac:dyDescent="0.25">
      <c r="A223" s="218" t="s">
        <v>260</v>
      </c>
      <c r="B223" s="219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302"/>
      <c r="O223" s="219"/>
      <c r="P223" s="219"/>
    </row>
    <row r="224" spans="1:17" s="229" customFormat="1" ht="35.1" customHeight="1" x14ac:dyDescent="0.2">
      <c r="A224" s="245">
        <f>+A219+1</f>
        <v>104</v>
      </c>
      <c r="B224" s="72" t="s">
        <v>11</v>
      </c>
      <c r="C224" s="73" t="s">
        <v>346</v>
      </c>
      <c r="D224" s="91" t="s">
        <v>261</v>
      </c>
      <c r="E224" s="72" t="s">
        <v>101</v>
      </c>
      <c r="F224" s="68">
        <v>70000</v>
      </c>
      <c r="G224" s="68">
        <f>F224*2.87%</f>
        <v>2009</v>
      </c>
      <c r="H224" s="68">
        <f>+F224*3.04%</f>
        <v>2128</v>
      </c>
      <c r="I224" s="68"/>
      <c r="J224" s="69">
        <f>+G224+H224+I224</f>
        <v>4137</v>
      </c>
      <c r="K224" s="69">
        <f>+F224-J224</f>
        <v>65863</v>
      </c>
      <c r="L224" s="69">
        <f t="shared" ref="L224" si="71">+IF(K224*12&lt;=416220.01,0,IF(K224*12&lt;=624329.01,(((K224*12-416220.01)*0.15)/12),IF((K224*12&lt;=867123.01),(31216+0.2*(K224*12-624329.01))/12,((79776+0.25*(K224*12-867123.01))/12))))-M224</f>
        <v>5368.4498333333331</v>
      </c>
      <c r="M224" s="69"/>
      <c r="N224" s="227">
        <v>18656.64</v>
      </c>
      <c r="O224" s="225">
        <f>+N224+I224+H224+G224+L224</f>
        <v>28162.089833333332</v>
      </c>
      <c r="P224" s="87">
        <f>+F224-O224</f>
        <v>41837.910166666668</v>
      </c>
    </row>
    <row r="225" spans="1:17" s="152" customFormat="1" ht="35.1" customHeight="1" x14ac:dyDescent="0.2">
      <c r="A225" s="233" t="s">
        <v>103</v>
      </c>
      <c r="B225" s="234"/>
      <c r="C225" s="234"/>
      <c r="D225" s="234"/>
      <c r="E225" s="250"/>
      <c r="F225" s="235">
        <f t="shared" ref="F225:L225" si="72">SUM(F224:F224)</f>
        <v>70000</v>
      </c>
      <c r="G225" s="235">
        <f t="shared" si="72"/>
        <v>2009</v>
      </c>
      <c r="H225" s="235">
        <f t="shared" si="72"/>
        <v>2128</v>
      </c>
      <c r="I225" s="235">
        <f t="shared" si="72"/>
        <v>0</v>
      </c>
      <c r="J225" s="235">
        <f t="shared" si="72"/>
        <v>4137</v>
      </c>
      <c r="K225" s="235">
        <f t="shared" si="72"/>
        <v>65863</v>
      </c>
      <c r="L225" s="235">
        <f t="shared" si="72"/>
        <v>5368.4498333333331</v>
      </c>
      <c r="M225" s="235"/>
      <c r="N225" s="235">
        <f>SUM(N224:N224)</f>
        <v>18656.64</v>
      </c>
      <c r="O225" s="235">
        <f>SUM(O224:O224)</f>
        <v>28162.089833333332</v>
      </c>
      <c r="P225" s="235">
        <f>SUM(P224:P224)</f>
        <v>41837.910166666668</v>
      </c>
      <c r="Q225" s="336"/>
    </row>
    <row r="226" spans="1:17" s="152" customFormat="1" ht="35.1" customHeight="1" thickBot="1" x14ac:dyDescent="0.25">
      <c r="A226" s="150"/>
      <c r="B226" s="150"/>
      <c r="C226" s="150"/>
      <c r="D226" s="150"/>
      <c r="E226" s="150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</row>
    <row r="227" spans="1:17" s="152" customFormat="1" ht="35.1" customHeight="1" thickBot="1" x14ac:dyDescent="0.25">
      <c r="A227" s="218" t="s">
        <v>263</v>
      </c>
      <c r="B227" s="219"/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19"/>
      <c r="O227" s="219"/>
      <c r="P227" s="219"/>
    </row>
    <row r="228" spans="1:17" s="152" customFormat="1" ht="35.1" customHeight="1" x14ac:dyDescent="0.2">
      <c r="A228" s="245">
        <f>+A224+1</f>
        <v>105</v>
      </c>
      <c r="B228" s="72" t="s">
        <v>262</v>
      </c>
      <c r="C228" s="73" t="s">
        <v>346</v>
      </c>
      <c r="D228" s="91" t="s">
        <v>77</v>
      </c>
      <c r="E228" s="72" t="s">
        <v>101</v>
      </c>
      <c r="F228" s="226">
        <v>95000</v>
      </c>
      <c r="G228" s="226">
        <f>F228*2.87%</f>
        <v>2726.5</v>
      </c>
      <c r="H228" s="226">
        <f>+F228*3.04%</f>
        <v>2888</v>
      </c>
      <c r="I228" s="68">
        <v>1715.46</v>
      </c>
      <c r="J228" s="69">
        <f t="shared" ref="J228:J288" si="73">+G228+H228+I228</f>
        <v>7329.96</v>
      </c>
      <c r="K228" s="69">
        <f>+F228-J228</f>
        <v>87670.04</v>
      </c>
      <c r="L228" s="69">
        <f>+IF(K228*12&lt;=416220.01,0,IF(K228*12&lt;=624329.01,(((K228*12-416220.01)*0.15)/12),IF((K228*12&lt;=867123.01),(31216+0.2*(K228*12-624329.01))/12,((79776+0.25*(K228*12-867123.01))/12))))-M228</f>
        <v>10500.447291666665</v>
      </c>
      <c r="M228" s="69"/>
      <c r="N228" s="87">
        <v>225</v>
      </c>
      <c r="O228" s="225">
        <f>+N228+I228+H228+G228+L228</f>
        <v>18055.407291666666</v>
      </c>
      <c r="P228" s="87">
        <f>+F228-O228</f>
        <v>76944.592708333337</v>
      </c>
    </row>
    <row r="229" spans="1:17" s="152" customFormat="1" ht="35.1" customHeight="1" x14ac:dyDescent="0.2">
      <c r="A229" s="233" t="s">
        <v>103</v>
      </c>
      <c r="B229" s="234"/>
      <c r="C229" s="234"/>
      <c r="D229" s="234"/>
      <c r="E229" s="250"/>
      <c r="F229" s="235">
        <f t="shared" ref="F229:L229" si="74">SUM(F228:F228)</f>
        <v>95000</v>
      </c>
      <c r="G229" s="235">
        <f t="shared" si="74"/>
        <v>2726.5</v>
      </c>
      <c r="H229" s="235">
        <f t="shared" si="74"/>
        <v>2888</v>
      </c>
      <c r="I229" s="235">
        <f t="shared" si="74"/>
        <v>1715.46</v>
      </c>
      <c r="J229" s="235">
        <f t="shared" si="74"/>
        <v>7329.96</v>
      </c>
      <c r="K229" s="235">
        <f t="shared" si="74"/>
        <v>87670.04</v>
      </c>
      <c r="L229" s="235">
        <f t="shared" si="74"/>
        <v>10500.447291666665</v>
      </c>
      <c r="M229" s="235"/>
      <c r="N229" s="235">
        <f>SUM(N228:N228)</f>
        <v>225</v>
      </c>
      <c r="O229" s="235">
        <f t="shared" ref="O229:P229" si="75">SUM(O228:O228)</f>
        <v>18055.407291666666</v>
      </c>
      <c r="P229" s="235">
        <f t="shared" si="75"/>
        <v>76944.592708333337</v>
      </c>
      <c r="Q229" s="336"/>
    </row>
    <row r="230" spans="1:17" s="152" customFormat="1" ht="35.1" customHeight="1" thickBot="1" x14ac:dyDescent="0.25">
      <c r="A230" s="150"/>
      <c r="B230" s="150"/>
      <c r="C230" s="150"/>
      <c r="D230" s="150"/>
      <c r="E230" s="150"/>
      <c r="F230" s="236"/>
      <c r="G230" s="236"/>
      <c r="H230" s="236"/>
      <c r="I230" s="236"/>
      <c r="J230" s="236"/>
      <c r="K230" s="236"/>
      <c r="L230" s="236"/>
      <c r="M230" s="236"/>
      <c r="N230" s="236"/>
      <c r="O230" s="236"/>
      <c r="P230" s="236"/>
    </row>
    <row r="231" spans="1:17" s="229" customFormat="1" ht="35.1" customHeight="1" thickBot="1" x14ac:dyDescent="0.25">
      <c r="A231" s="218" t="s">
        <v>197</v>
      </c>
      <c r="B231" s="219"/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19"/>
      <c r="O231" s="219"/>
      <c r="P231" s="219"/>
    </row>
    <row r="232" spans="1:17" s="229" customFormat="1" ht="35.1" customHeight="1" x14ac:dyDescent="0.2">
      <c r="A232" s="245">
        <f>+A228+1</f>
        <v>106</v>
      </c>
      <c r="B232" s="72" t="s">
        <v>64</v>
      </c>
      <c r="C232" s="73" t="s">
        <v>346</v>
      </c>
      <c r="D232" s="72" t="s">
        <v>12</v>
      </c>
      <c r="E232" s="72" t="s">
        <v>101</v>
      </c>
      <c r="F232" s="226">
        <v>65000</v>
      </c>
      <c r="G232" s="226">
        <f>F232*2.87%</f>
        <v>1865.5</v>
      </c>
      <c r="H232" s="68">
        <f>+F232*3.04%</f>
        <v>1976</v>
      </c>
      <c r="I232" s="68"/>
      <c r="J232" s="69">
        <f t="shared" si="73"/>
        <v>3841.5</v>
      </c>
      <c r="K232" s="69">
        <f t="shared" ref="K232:K233" si="76">+F232-J232</f>
        <v>61158.5</v>
      </c>
      <c r="L232" s="69">
        <f t="shared" ref="L232:L233" si="77">+IF(K232*12&lt;=416220.01,0,IF(K232*12&lt;=624329.01,(((K232*12-416220.01)*0.15)/12),IF((K232*12&lt;=867123.01),(31216+0.2*(K232*12-624329.01))/12,((79776+0.25*(K232*12-867123.01))/12))))-M232</f>
        <v>4427.5498333333335</v>
      </c>
      <c r="M232" s="69"/>
      <c r="N232" s="87">
        <v>225</v>
      </c>
      <c r="O232" s="225">
        <f>+N232+I232+H232+G232+L232</f>
        <v>8494.0498333333344</v>
      </c>
      <c r="P232" s="87">
        <f>+F232-O232</f>
        <v>56505.950166666662</v>
      </c>
    </row>
    <row r="233" spans="1:17" s="152" customFormat="1" ht="35.1" customHeight="1" x14ac:dyDescent="0.2">
      <c r="A233" s="245">
        <f>+A232+1</f>
        <v>107</v>
      </c>
      <c r="B233" s="72" t="s">
        <v>370</v>
      </c>
      <c r="C233" s="73" t="s">
        <v>346</v>
      </c>
      <c r="D233" s="72" t="s">
        <v>12</v>
      </c>
      <c r="E233" s="72" t="s">
        <v>101</v>
      </c>
      <c r="F233" s="226">
        <v>65000</v>
      </c>
      <c r="G233" s="226">
        <f>F233*2.87%</f>
        <v>1865.5</v>
      </c>
      <c r="H233" s="68">
        <f>+F233*3.04%</f>
        <v>1976</v>
      </c>
      <c r="I233" s="68">
        <v>1715.46</v>
      </c>
      <c r="J233" s="69">
        <f t="shared" si="73"/>
        <v>5556.96</v>
      </c>
      <c r="K233" s="69">
        <f t="shared" si="76"/>
        <v>59443.040000000001</v>
      </c>
      <c r="L233" s="69">
        <f t="shared" si="77"/>
        <v>4084.4578333333325</v>
      </c>
      <c r="M233" s="69"/>
      <c r="N233" s="87">
        <v>225</v>
      </c>
      <c r="O233" s="225">
        <f>+N233+I233+H233+G233+L233</f>
        <v>9866.417833333333</v>
      </c>
      <c r="P233" s="87">
        <f>+F233-O233</f>
        <v>55133.582166666667</v>
      </c>
    </row>
    <row r="234" spans="1:17" s="229" customFormat="1" ht="35.1" customHeight="1" x14ac:dyDescent="0.2">
      <c r="A234" s="233" t="s">
        <v>103</v>
      </c>
      <c r="B234" s="234"/>
      <c r="C234" s="234"/>
      <c r="D234" s="234"/>
      <c r="E234" s="250"/>
      <c r="F234" s="235">
        <f t="shared" ref="F234:L234" si="78">SUM(F232:F233)</f>
        <v>130000</v>
      </c>
      <c r="G234" s="235">
        <f t="shared" si="78"/>
        <v>3731</v>
      </c>
      <c r="H234" s="235">
        <f t="shared" si="78"/>
        <v>3952</v>
      </c>
      <c r="I234" s="235">
        <f t="shared" si="78"/>
        <v>1715.46</v>
      </c>
      <c r="J234" s="235">
        <f t="shared" si="78"/>
        <v>9398.4599999999991</v>
      </c>
      <c r="K234" s="235">
        <f t="shared" si="78"/>
        <v>120601.54000000001</v>
      </c>
      <c r="L234" s="235">
        <f t="shared" si="78"/>
        <v>8512.0076666666664</v>
      </c>
      <c r="M234" s="235"/>
      <c r="N234" s="235">
        <f>SUM(N232:N233)</f>
        <v>450</v>
      </c>
      <c r="O234" s="235">
        <f>SUM(O232:O233)</f>
        <v>18360.467666666667</v>
      </c>
      <c r="P234" s="235">
        <f>SUM(P232:P233)</f>
        <v>111639.53233333334</v>
      </c>
      <c r="Q234" s="336"/>
    </row>
    <row r="235" spans="1:17" s="152" customFormat="1" ht="35.1" customHeight="1" thickBot="1" x14ac:dyDescent="0.25">
      <c r="A235" s="150"/>
      <c r="B235" s="150"/>
      <c r="C235" s="150"/>
      <c r="D235" s="150"/>
      <c r="E235" s="150"/>
      <c r="F235" s="236"/>
      <c r="G235" s="236"/>
      <c r="H235" s="236"/>
      <c r="I235" s="236"/>
      <c r="J235" s="236"/>
      <c r="K235" s="236"/>
      <c r="L235" s="236"/>
      <c r="M235" s="236"/>
      <c r="N235" s="236"/>
      <c r="O235" s="236"/>
      <c r="P235" s="236"/>
    </row>
    <row r="236" spans="1:17" s="229" customFormat="1" ht="35.1" customHeight="1" thickBot="1" x14ac:dyDescent="0.25">
      <c r="A236" s="239" t="s">
        <v>264</v>
      </c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</row>
    <row r="237" spans="1:17" s="263" customFormat="1" ht="35.1" customHeight="1" x14ac:dyDescent="0.2">
      <c r="A237" s="245">
        <f>+A233+1</f>
        <v>108</v>
      </c>
      <c r="B237" s="72" t="s">
        <v>17</v>
      </c>
      <c r="C237" s="73" t="s">
        <v>347</v>
      </c>
      <c r="D237" s="72" t="s">
        <v>164</v>
      </c>
      <c r="E237" s="72" t="s">
        <v>101</v>
      </c>
      <c r="F237" s="226">
        <v>95000</v>
      </c>
      <c r="G237" s="225">
        <f>F237*2.87%</f>
        <v>2726.5</v>
      </c>
      <c r="H237" s="69">
        <f>+F237*3.04%</f>
        <v>2888</v>
      </c>
      <c r="I237" s="69"/>
      <c r="J237" s="69">
        <f t="shared" si="73"/>
        <v>5614.5</v>
      </c>
      <c r="K237" s="69">
        <f>+F237-J237</f>
        <v>89385.5</v>
      </c>
      <c r="L237" s="69">
        <f>+IF(K237*12&lt;=416220.01,0,IF(K237*12&lt;=624329.01,(((K237*12-416220.01)*0.15)/12),IF((K237*12&lt;=867123.01),(31216+0.2*(K237*12-624329.01))/12,((79776+0.25*(K237*12-867123.01))/12))))-M237</f>
        <v>10929.312291666667</v>
      </c>
      <c r="M237" s="69"/>
      <c r="N237" s="244">
        <v>25</v>
      </c>
      <c r="O237" s="225">
        <f>+N237+I237+H237+G237+L237</f>
        <v>16568.812291666669</v>
      </c>
      <c r="P237" s="87">
        <f>+F237-O237</f>
        <v>78431.187708333338</v>
      </c>
    </row>
    <row r="238" spans="1:17" s="229" customFormat="1" ht="35.1" customHeight="1" x14ac:dyDescent="0.2">
      <c r="A238" s="245">
        <f>+A237+1</f>
        <v>109</v>
      </c>
      <c r="B238" s="72" t="s">
        <v>27</v>
      </c>
      <c r="C238" s="73" t="s">
        <v>347</v>
      </c>
      <c r="D238" s="72" t="s">
        <v>76</v>
      </c>
      <c r="E238" s="72" t="s">
        <v>196</v>
      </c>
      <c r="F238" s="226">
        <v>50000</v>
      </c>
      <c r="G238" s="68">
        <f>F238*2.87%</f>
        <v>1435</v>
      </c>
      <c r="H238" s="69">
        <f>+F238*3.04%</f>
        <v>1520</v>
      </c>
      <c r="I238" s="225">
        <v>0</v>
      </c>
      <c r="J238" s="69">
        <f t="shared" si="73"/>
        <v>2955</v>
      </c>
      <c r="K238" s="69">
        <f>+F238-J238</f>
        <v>47045</v>
      </c>
      <c r="L238" s="69">
        <f>+IF(K238*12&lt;=416220.01,0,IF(K238*12&lt;=624329.01,(((K238*12-416220.01)*0.15)/12),IF((K238*12&lt;=867123.01),(31216+0.2*(K238*12-624329.01))/12,((79776+0.25*(K238*12-867123.01))/12))))-M238</f>
        <v>1853.9998749999997</v>
      </c>
      <c r="M238" s="69"/>
      <c r="N238" s="244">
        <v>345</v>
      </c>
      <c r="O238" s="225">
        <f>+N238+I238+H238+G238+L238</f>
        <v>5153.9998749999995</v>
      </c>
      <c r="P238" s="87">
        <f>+F238-O238</f>
        <v>44846.000124999999</v>
      </c>
    </row>
    <row r="239" spans="1:17" s="152" customFormat="1" ht="35.1" customHeight="1" thickBot="1" x14ac:dyDescent="0.25">
      <c r="A239" s="233" t="s">
        <v>103</v>
      </c>
      <c r="B239" s="234"/>
      <c r="C239" s="234"/>
      <c r="D239" s="234"/>
      <c r="E239" s="250"/>
      <c r="F239" s="235">
        <f>SUM(F237:F238)</f>
        <v>145000</v>
      </c>
      <c r="G239" s="235">
        <f t="shared" ref="G239:P239" si="79">SUM(G237:G238)</f>
        <v>4161.5</v>
      </c>
      <c r="H239" s="235">
        <f t="shared" si="79"/>
        <v>4408</v>
      </c>
      <c r="I239" s="235">
        <f t="shared" si="79"/>
        <v>0</v>
      </c>
      <c r="J239" s="235">
        <f t="shared" si="79"/>
        <v>8569.5</v>
      </c>
      <c r="K239" s="235">
        <f>SUM(K237:K238)</f>
        <v>136430.5</v>
      </c>
      <c r="L239" s="235">
        <f t="shared" si="79"/>
        <v>12783.312166666667</v>
      </c>
      <c r="M239" s="235"/>
      <c r="N239" s="235">
        <f t="shared" si="79"/>
        <v>370</v>
      </c>
      <c r="O239" s="235">
        <f t="shared" si="79"/>
        <v>21722.81216666667</v>
      </c>
      <c r="P239" s="235">
        <f t="shared" si="79"/>
        <v>123277.18783333333</v>
      </c>
      <c r="Q239" s="336"/>
    </row>
    <row r="240" spans="1:17" s="152" customFormat="1" ht="35.1" customHeight="1" thickBot="1" x14ac:dyDescent="0.25">
      <c r="A240" s="239" t="s">
        <v>265</v>
      </c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</row>
    <row r="241" spans="1:16" s="229" customFormat="1" ht="44.25" customHeight="1" x14ac:dyDescent="0.2">
      <c r="A241" s="247">
        <f>+A238+1</f>
        <v>110</v>
      </c>
      <c r="B241" s="72" t="s">
        <v>328</v>
      </c>
      <c r="C241" s="73" t="s">
        <v>346</v>
      </c>
      <c r="D241" s="72" t="s">
        <v>266</v>
      </c>
      <c r="E241" s="72" t="s">
        <v>196</v>
      </c>
      <c r="F241" s="226">
        <v>55000</v>
      </c>
      <c r="G241" s="226">
        <f t="shared" ref="G241:G245" si="80">F241*2.87%</f>
        <v>1578.5</v>
      </c>
      <c r="H241" s="226">
        <f t="shared" ref="H241:H245" si="81">+F241*3.04%</f>
        <v>1672</v>
      </c>
      <c r="I241" s="226"/>
      <c r="J241" s="225">
        <f t="shared" si="73"/>
        <v>3250.5</v>
      </c>
      <c r="K241" s="225">
        <f>+F241-J241</f>
        <v>51749.5</v>
      </c>
      <c r="L241" s="225">
        <f>+IF(K241*12&lt;=416220.01,0,IF(K241*12&lt;=624329.01,(((K241*12-416220.01)*0.15)/12),IF((K241*12&lt;=867123.01),(31216+0.2*(K241*12-624329.01))/12,((79776+0.25*(K241*12-867123.01))/12))))-M241</f>
        <v>2559.6748749999997</v>
      </c>
      <c r="M241" s="225"/>
      <c r="N241" s="231">
        <v>5741.9</v>
      </c>
      <c r="O241" s="225">
        <f t="shared" ref="O241:O273" si="82">+N241+I241+H241+G241+L241</f>
        <v>11552.074874999998</v>
      </c>
      <c r="P241" s="87">
        <f t="shared" ref="P241:P273" si="83">+F241-O241</f>
        <v>43447.925125000002</v>
      </c>
    </row>
    <row r="242" spans="1:16" s="229" customFormat="1" ht="35.1" customHeight="1" x14ac:dyDescent="0.2">
      <c r="A242" s="247">
        <f t="shared" ref="A242:A266" si="84">+A241+1</f>
        <v>111</v>
      </c>
      <c r="B242" s="72" t="s">
        <v>443</v>
      </c>
      <c r="C242" s="73" t="s">
        <v>346</v>
      </c>
      <c r="D242" s="72" t="s">
        <v>266</v>
      </c>
      <c r="E242" s="72" t="s">
        <v>196</v>
      </c>
      <c r="F242" s="226">
        <v>50000</v>
      </c>
      <c r="G242" s="226">
        <f>F242*2.87%</f>
        <v>1435</v>
      </c>
      <c r="H242" s="226">
        <f>+F242*3.04%</f>
        <v>1520</v>
      </c>
      <c r="I242" s="226"/>
      <c r="J242" s="225">
        <f>+G242+H242+I242</f>
        <v>2955</v>
      </c>
      <c r="K242" s="225">
        <f>+F242-J242</f>
        <v>47045</v>
      </c>
      <c r="L242" s="225">
        <f t="shared" ref="L242:L273" si="85">+IF(K242*12&lt;=416220.01,0,IF(K242*12&lt;=624329.01,(((K242*12-416220.01)*0.15)/12),IF((K242*12&lt;=867123.01),(31216+0.2*(K242*12-624329.01))/12,((79776+0.25*(K242*12-867123.01))/12))))-M242</f>
        <v>1853.9998749999997</v>
      </c>
      <c r="M242" s="225"/>
      <c r="N242" s="231">
        <v>10249.200000000001</v>
      </c>
      <c r="O242" s="225">
        <f t="shared" si="82"/>
        <v>15058.199875</v>
      </c>
      <c r="P242" s="87">
        <f t="shared" si="83"/>
        <v>34941.800125000002</v>
      </c>
    </row>
    <row r="243" spans="1:16" s="152" customFormat="1" ht="35.1" customHeight="1" x14ac:dyDescent="0.2">
      <c r="A243" s="247">
        <f t="shared" si="84"/>
        <v>112</v>
      </c>
      <c r="B243" s="72" t="s">
        <v>525</v>
      </c>
      <c r="C243" s="73" t="s">
        <v>347</v>
      </c>
      <c r="D243" s="72" t="s">
        <v>266</v>
      </c>
      <c r="E243" s="72" t="s">
        <v>196</v>
      </c>
      <c r="F243" s="226">
        <v>50000</v>
      </c>
      <c r="G243" s="226">
        <f t="shared" ref="G243" si="86">F243*2.87%</f>
        <v>1435</v>
      </c>
      <c r="H243" s="226">
        <f t="shared" ref="H243" si="87">+F243*3.04%</f>
        <v>1520</v>
      </c>
      <c r="I243" s="226"/>
      <c r="J243" s="225">
        <f t="shared" ref="J243" si="88">+G243+H243+I243</f>
        <v>2955</v>
      </c>
      <c r="K243" s="225">
        <f t="shared" ref="K243:K265" si="89">+F243-J243</f>
        <v>47045</v>
      </c>
      <c r="L243" s="225">
        <f t="shared" si="85"/>
        <v>1853.9998749999997</v>
      </c>
      <c r="M243" s="225"/>
      <c r="N243" s="231">
        <v>6119.23</v>
      </c>
      <c r="O243" s="225">
        <f t="shared" si="82"/>
        <v>10928.229874999999</v>
      </c>
      <c r="P243" s="87">
        <f t="shared" si="83"/>
        <v>39071.770125000003</v>
      </c>
    </row>
    <row r="244" spans="1:16" s="152" customFormat="1" ht="35.1" customHeight="1" x14ac:dyDescent="0.2">
      <c r="A244" s="247">
        <f t="shared" si="84"/>
        <v>113</v>
      </c>
      <c r="B244" s="72" t="s">
        <v>124</v>
      </c>
      <c r="C244" s="73" t="s">
        <v>346</v>
      </c>
      <c r="D244" s="72" t="s">
        <v>266</v>
      </c>
      <c r="E244" s="72" t="s">
        <v>196</v>
      </c>
      <c r="F244" s="226">
        <v>35000</v>
      </c>
      <c r="G244" s="226">
        <f t="shared" si="80"/>
        <v>1004.5</v>
      </c>
      <c r="H244" s="226">
        <f t="shared" si="81"/>
        <v>1064</v>
      </c>
      <c r="I244" s="226"/>
      <c r="J244" s="225">
        <f>+G244+H244+I244</f>
        <v>2068.5</v>
      </c>
      <c r="K244" s="225">
        <f t="shared" si="89"/>
        <v>32931.5</v>
      </c>
      <c r="L244" s="225">
        <f t="shared" si="85"/>
        <v>0</v>
      </c>
      <c r="M244" s="225"/>
      <c r="N244" s="231">
        <v>385</v>
      </c>
      <c r="O244" s="225">
        <f t="shared" si="82"/>
        <v>2453.5</v>
      </c>
      <c r="P244" s="87">
        <f t="shared" si="83"/>
        <v>32546.5</v>
      </c>
    </row>
    <row r="245" spans="1:16" s="152" customFormat="1" ht="35.1" customHeight="1" x14ac:dyDescent="0.2">
      <c r="A245" s="247">
        <f t="shared" si="84"/>
        <v>114</v>
      </c>
      <c r="B245" s="72" t="s">
        <v>20</v>
      </c>
      <c r="C245" s="73" t="s">
        <v>347</v>
      </c>
      <c r="D245" s="72" t="s">
        <v>79</v>
      </c>
      <c r="E245" s="72" t="s">
        <v>101</v>
      </c>
      <c r="F245" s="226">
        <v>32000</v>
      </c>
      <c r="G245" s="226">
        <f t="shared" si="80"/>
        <v>918.4</v>
      </c>
      <c r="H245" s="226">
        <f t="shared" si="81"/>
        <v>972.8</v>
      </c>
      <c r="I245" s="226"/>
      <c r="J245" s="225">
        <f t="shared" si="73"/>
        <v>1891.1999999999998</v>
      </c>
      <c r="K245" s="225">
        <f t="shared" si="89"/>
        <v>30108.799999999999</v>
      </c>
      <c r="L245" s="225">
        <f t="shared" si="85"/>
        <v>0</v>
      </c>
      <c r="M245" s="225"/>
      <c r="N245" s="231">
        <v>225</v>
      </c>
      <c r="O245" s="225">
        <f t="shared" si="82"/>
        <v>2116.1999999999998</v>
      </c>
      <c r="P245" s="87">
        <f t="shared" si="83"/>
        <v>29883.8</v>
      </c>
    </row>
    <row r="246" spans="1:16" s="229" customFormat="1" ht="35.1" customHeight="1" x14ac:dyDescent="0.2">
      <c r="A246" s="247">
        <f t="shared" si="84"/>
        <v>115</v>
      </c>
      <c r="B246" s="72" t="s">
        <v>19</v>
      </c>
      <c r="C246" s="73" t="s">
        <v>347</v>
      </c>
      <c r="D246" s="72" t="s">
        <v>79</v>
      </c>
      <c r="E246" s="72" t="s">
        <v>101</v>
      </c>
      <c r="F246" s="226">
        <v>32000</v>
      </c>
      <c r="G246" s="226">
        <f>F246*2.87%</f>
        <v>918.4</v>
      </c>
      <c r="H246" s="226">
        <f>+F246*3.04%</f>
        <v>972.8</v>
      </c>
      <c r="I246" s="226">
        <v>1715.46</v>
      </c>
      <c r="J246" s="225">
        <f t="shared" si="73"/>
        <v>3606.66</v>
      </c>
      <c r="K246" s="225">
        <f t="shared" si="89"/>
        <v>28393.34</v>
      </c>
      <c r="L246" s="225">
        <f t="shared" si="85"/>
        <v>0</v>
      </c>
      <c r="M246" s="225"/>
      <c r="N246" s="231">
        <v>225</v>
      </c>
      <c r="O246" s="225">
        <f t="shared" si="82"/>
        <v>3831.6600000000003</v>
      </c>
      <c r="P246" s="87">
        <f t="shared" si="83"/>
        <v>28168.34</v>
      </c>
    </row>
    <row r="247" spans="1:16" s="229" customFormat="1" ht="35.1" customHeight="1" x14ac:dyDescent="0.2">
      <c r="A247" s="247">
        <f t="shared" si="84"/>
        <v>116</v>
      </c>
      <c r="B247" s="72" t="s">
        <v>165</v>
      </c>
      <c r="C247" s="73" t="s">
        <v>347</v>
      </c>
      <c r="D247" s="72" t="s">
        <v>79</v>
      </c>
      <c r="E247" s="72" t="s">
        <v>101</v>
      </c>
      <c r="F247" s="226">
        <v>32000</v>
      </c>
      <c r="G247" s="226">
        <f t="shared" ref="G247:G258" si="90">F247*2.87%</f>
        <v>918.4</v>
      </c>
      <c r="H247" s="226">
        <f t="shared" ref="H247:H258" si="91">+F247*3.04%</f>
        <v>972.8</v>
      </c>
      <c r="I247" s="226"/>
      <c r="J247" s="225">
        <f t="shared" si="73"/>
        <v>1891.1999999999998</v>
      </c>
      <c r="K247" s="225">
        <f t="shared" si="89"/>
        <v>30108.799999999999</v>
      </c>
      <c r="L247" s="225">
        <f t="shared" si="85"/>
        <v>0</v>
      </c>
      <c r="M247" s="225"/>
      <c r="N247" s="231">
        <v>3947.6500000000005</v>
      </c>
      <c r="O247" s="225">
        <f t="shared" si="82"/>
        <v>5838.85</v>
      </c>
      <c r="P247" s="87">
        <f t="shared" si="83"/>
        <v>26161.15</v>
      </c>
    </row>
    <row r="248" spans="1:16" s="152" customFormat="1" ht="35.1" customHeight="1" x14ac:dyDescent="0.2">
      <c r="A248" s="247">
        <f t="shared" si="84"/>
        <v>117</v>
      </c>
      <c r="B248" s="72" t="s">
        <v>22</v>
      </c>
      <c r="C248" s="73" t="s">
        <v>347</v>
      </c>
      <c r="D248" s="72" t="s">
        <v>25</v>
      </c>
      <c r="E248" s="72" t="s">
        <v>196</v>
      </c>
      <c r="F248" s="226">
        <v>32000</v>
      </c>
      <c r="G248" s="226">
        <f t="shared" si="90"/>
        <v>918.4</v>
      </c>
      <c r="H248" s="226">
        <f t="shared" si="91"/>
        <v>972.8</v>
      </c>
      <c r="I248" s="226">
        <v>3430.92</v>
      </c>
      <c r="J248" s="225">
        <f t="shared" si="73"/>
        <v>5322.12</v>
      </c>
      <c r="K248" s="225">
        <f t="shared" si="89"/>
        <v>26677.88</v>
      </c>
      <c r="L248" s="225">
        <f t="shared" si="85"/>
        <v>0</v>
      </c>
      <c r="M248" s="225"/>
      <c r="N248" s="231">
        <v>265</v>
      </c>
      <c r="O248" s="225">
        <f t="shared" si="82"/>
        <v>5587.12</v>
      </c>
      <c r="P248" s="87">
        <f t="shared" si="83"/>
        <v>26412.880000000001</v>
      </c>
    </row>
    <row r="249" spans="1:16" s="152" customFormat="1" ht="35.1" customHeight="1" x14ac:dyDescent="0.2">
      <c r="A249" s="247">
        <f t="shared" si="84"/>
        <v>118</v>
      </c>
      <c r="B249" s="72" t="s">
        <v>23</v>
      </c>
      <c r="C249" s="73" t="s">
        <v>346</v>
      </c>
      <c r="D249" s="72" t="s">
        <v>25</v>
      </c>
      <c r="E249" s="72" t="s">
        <v>196</v>
      </c>
      <c r="F249" s="226">
        <v>32000</v>
      </c>
      <c r="G249" s="226">
        <f t="shared" si="90"/>
        <v>918.4</v>
      </c>
      <c r="H249" s="226">
        <f t="shared" si="91"/>
        <v>972.8</v>
      </c>
      <c r="I249" s="226"/>
      <c r="J249" s="225">
        <f t="shared" si="73"/>
        <v>1891.1999999999998</v>
      </c>
      <c r="K249" s="225">
        <f t="shared" si="89"/>
        <v>30108.799999999999</v>
      </c>
      <c r="L249" s="225">
        <f t="shared" si="85"/>
        <v>0</v>
      </c>
      <c r="M249" s="225"/>
      <c r="N249" s="231">
        <v>2887.11</v>
      </c>
      <c r="O249" s="225">
        <f t="shared" si="82"/>
        <v>4778.3099999999995</v>
      </c>
      <c r="P249" s="87">
        <f t="shared" si="83"/>
        <v>27221.690000000002</v>
      </c>
    </row>
    <row r="250" spans="1:16" s="229" customFormat="1" ht="35.1" customHeight="1" x14ac:dyDescent="0.2">
      <c r="A250" s="247">
        <f t="shared" si="84"/>
        <v>119</v>
      </c>
      <c r="B250" s="72" t="s">
        <v>267</v>
      </c>
      <c r="C250" s="73" t="s">
        <v>347</v>
      </c>
      <c r="D250" s="72" t="s">
        <v>25</v>
      </c>
      <c r="E250" s="72" t="s">
        <v>101</v>
      </c>
      <c r="F250" s="226">
        <v>32000</v>
      </c>
      <c r="G250" s="226">
        <f t="shared" si="90"/>
        <v>918.4</v>
      </c>
      <c r="H250" s="226">
        <f t="shared" si="91"/>
        <v>972.8</v>
      </c>
      <c r="I250" s="226"/>
      <c r="J250" s="225">
        <f t="shared" si="73"/>
        <v>1891.1999999999998</v>
      </c>
      <c r="K250" s="225">
        <f t="shared" si="89"/>
        <v>30108.799999999999</v>
      </c>
      <c r="L250" s="225">
        <f t="shared" si="85"/>
        <v>0</v>
      </c>
      <c r="M250" s="225"/>
      <c r="N250" s="231">
        <v>3225</v>
      </c>
      <c r="O250" s="225">
        <f t="shared" si="82"/>
        <v>5116.2</v>
      </c>
      <c r="P250" s="87">
        <f t="shared" si="83"/>
        <v>26883.8</v>
      </c>
    </row>
    <row r="251" spans="1:16" s="263" customFormat="1" ht="35.1" customHeight="1" x14ac:dyDescent="0.2">
      <c r="A251" s="247">
        <f t="shared" si="84"/>
        <v>120</v>
      </c>
      <c r="B251" s="72" t="s">
        <v>24</v>
      </c>
      <c r="C251" s="73" t="s">
        <v>347</v>
      </c>
      <c r="D251" s="72" t="s">
        <v>25</v>
      </c>
      <c r="E251" s="72" t="s">
        <v>101</v>
      </c>
      <c r="F251" s="226">
        <v>32000</v>
      </c>
      <c r="G251" s="226">
        <f t="shared" si="90"/>
        <v>918.4</v>
      </c>
      <c r="H251" s="226">
        <f t="shared" si="91"/>
        <v>972.8</v>
      </c>
      <c r="I251" s="226">
        <v>0</v>
      </c>
      <c r="J251" s="225">
        <f t="shared" si="73"/>
        <v>1891.1999999999998</v>
      </c>
      <c r="K251" s="225">
        <f t="shared" si="89"/>
        <v>30108.799999999999</v>
      </c>
      <c r="L251" s="225">
        <f t="shared" si="85"/>
        <v>0</v>
      </c>
      <c r="M251" s="225"/>
      <c r="N251" s="231">
        <v>5579.45</v>
      </c>
      <c r="O251" s="225">
        <f t="shared" si="82"/>
        <v>7470.65</v>
      </c>
      <c r="P251" s="87">
        <f t="shared" si="83"/>
        <v>24529.35</v>
      </c>
    </row>
    <row r="252" spans="1:16" s="152" customFormat="1" ht="35.1" customHeight="1" x14ac:dyDescent="0.2">
      <c r="A252" s="247">
        <f>+A251+1</f>
        <v>121</v>
      </c>
      <c r="B252" s="72" t="s">
        <v>273</v>
      </c>
      <c r="C252" s="73" t="s">
        <v>347</v>
      </c>
      <c r="D252" s="72" t="s">
        <v>25</v>
      </c>
      <c r="E252" s="72" t="s">
        <v>196</v>
      </c>
      <c r="F252" s="226">
        <v>32000</v>
      </c>
      <c r="G252" s="226">
        <f>F252*2.87%</f>
        <v>918.4</v>
      </c>
      <c r="H252" s="226">
        <f>+F252*3.04%</f>
        <v>972.8</v>
      </c>
      <c r="I252" s="226"/>
      <c r="J252" s="225">
        <f>+G252+H252+I252</f>
        <v>1891.1999999999998</v>
      </c>
      <c r="K252" s="225">
        <f t="shared" si="89"/>
        <v>30108.799999999999</v>
      </c>
      <c r="L252" s="225">
        <f t="shared" si="85"/>
        <v>0</v>
      </c>
      <c r="M252" s="225"/>
      <c r="N252" s="231">
        <v>5082.54</v>
      </c>
      <c r="O252" s="225">
        <f t="shared" si="82"/>
        <v>6973.74</v>
      </c>
      <c r="P252" s="87">
        <f t="shared" si="83"/>
        <v>25026.260000000002</v>
      </c>
    </row>
    <row r="253" spans="1:16" s="152" customFormat="1" ht="35.1" customHeight="1" x14ac:dyDescent="0.2">
      <c r="A253" s="247">
        <f t="shared" si="84"/>
        <v>122</v>
      </c>
      <c r="B253" s="72" t="s">
        <v>123</v>
      </c>
      <c r="C253" s="73" t="s">
        <v>347</v>
      </c>
      <c r="D253" s="72" t="s">
        <v>25</v>
      </c>
      <c r="E253" s="72" t="s">
        <v>196</v>
      </c>
      <c r="F253" s="226">
        <v>32000</v>
      </c>
      <c r="G253" s="226">
        <f>F253*2.87%</f>
        <v>918.4</v>
      </c>
      <c r="H253" s="226">
        <f>+F253*3.04%</f>
        <v>972.8</v>
      </c>
      <c r="I253" s="226"/>
      <c r="J253" s="225">
        <f>+G253+H253+I253</f>
        <v>1891.1999999999998</v>
      </c>
      <c r="K253" s="225">
        <f t="shared" si="89"/>
        <v>30108.799999999999</v>
      </c>
      <c r="L253" s="225">
        <f t="shared" si="85"/>
        <v>0</v>
      </c>
      <c r="M253" s="225"/>
      <c r="N253" s="231">
        <v>12526.66</v>
      </c>
      <c r="O253" s="225">
        <f t="shared" si="82"/>
        <v>14417.859999999999</v>
      </c>
      <c r="P253" s="87">
        <f t="shared" si="83"/>
        <v>17582.14</v>
      </c>
    </row>
    <row r="254" spans="1:16" s="229" customFormat="1" ht="35.1" customHeight="1" x14ac:dyDescent="0.2">
      <c r="A254" s="247">
        <f>+A253+1</f>
        <v>123</v>
      </c>
      <c r="B254" s="72" t="s">
        <v>21</v>
      </c>
      <c r="C254" s="73" t="s">
        <v>346</v>
      </c>
      <c r="D254" s="72" t="s">
        <v>25</v>
      </c>
      <c r="E254" s="72" t="s">
        <v>101</v>
      </c>
      <c r="F254" s="226">
        <v>28000</v>
      </c>
      <c r="G254" s="226">
        <f t="shared" si="90"/>
        <v>803.6</v>
      </c>
      <c r="H254" s="226">
        <f t="shared" si="91"/>
        <v>851.2</v>
      </c>
      <c r="I254" s="226">
        <v>0</v>
      </c>
      <c r="J254" s="225">
        <f t="shared" si="73"/>
        <v>1654.8000000000002</v>
      </c>
      <c r="K254" s="225">
        <f t="shared" si="89"/>
        <v>26345.200000000001</v>
      </c>
      <c r="L254" s="225">
        <f t="shared" si="85"/>
        <v>0</v>
      </c>
      <c r="M254" s="225"/>
      <c r="N254" s="231">
        <v>10670.87</v>
      </c>
      <c r="O254" s="225">
        <f t="shared" si="82"/>
        <v>12325.670000000002</v>
      </c>
      <c r="P254" s="87">
        <f t="shared" si="83"/>
        <v>15674.329999999998</v>
      </c>
    </row>
    <row r="255" spans="1:16" s="229" customFormat="1" ht="35.1" customHeight="1" x14ac:dyDescent="0.2">
      <c r="A255" s="247">
        <f t="shared" si="84"/>
        <v>124</v>
      </c>
      <c r="B255" s="72" t="s">
        <v>268</v>
      </c>
      <c r="C255" s="73" t="s">
        <v>347</v>
      </c>
      <c r="D255" s="72" t="s">
        <v>25</v>
      </c>
      <c r="E255" s="72" t="s">
        <v>101</v>
      </c>
      <c r="F255" s="226">
        <v>28000</v>
      </c>
      <c r="G255" s="226">
        <f t="shared" si="90"/>
        <v>803.6</v>
      </c>
      <c r="H255" s="226">
        <f t="shared" si="91"/>
        <v>851.2</v>
      </c>
      <c r="I255" s="226"/>
      <c r="J255" s="225">
        <f t="shared" si="73"/>
        <v>1654.8000000000002</v>
      </c>
      <c r="K255" s="225">
        <f t="shared" si="89"/>
        <v>26345.200000000001</v>
      </c>
      <c r="L255" s="225">
        <f t="shared" si="85"/>
        <v>0</v>
      </c>
      <c r="M255" s="225"/>
      <c r="N255" s="231">
        <v>225</v>
      </c>
      <c r="O255" s="225">
        <f t="shared" si="82"/>
        <v>1879.8000000000002</v>
      </c>
      <c r="P255" s="87">
        <f t="shared" si="83"/>
        <v>26120.2</v>
      </c>
    </row>
    <row r="256" spans="1:16" s="229" customFormat="1" ht="35.1" customHeight="1" x14ac:dyDescent="0.2">
      <c r="A256" s="247">
        <f>+A255+1</f>
        <v>125</v>
      </c>
      <c r="B256" s="72" t="s">
        <v>270</v>
      </c>
      <c r="C256" s="73" t="s">
        <v>346</v>
      </c>
      <c r="D256" s="72" t="s">
        <v>25</v>
      </c>
      <c r="E256" s="72" t="s">
        <v>196</v>
      </c>
      <c r="F256" s="226">
        <v>28000</v>
      </c>
      <c r="G256" s="226">
        <f t="shared" si="90"/>
        <v>803.6</v>
      </c>
      <c r="H256" s="226">
        <f t="shared" si="91"/>
        <v>851.2</v>
      </c>
      <c r="I256" s="226"/>
      <c r="J256" s="225">
        <f t="shared" si="73"/>
        <v>1654.8000000000002</v>
      </c>
      <c r="K256" s="225">
        <f t="shared" si="89"/>
        <v>26345.200000000001</v>
      </c>
      <c r="L256" s="225">
        <f t="shared" si="85"/>
        <v>0</v>
      </c>
      <c r="M256" s="225"/>
      <c r="N256" s="231">
        <v>225</v>
      </c>
      <c r="O256" s="225">
        <f t="shared" si="82"/>
        <v>1879.8000000000002</v>
      </c>
      <c r="P256" s="87">
        <f t="shared" si="83"/>
        <v>26120.2</v>
      </c>
    </row>
    <row r="257" spans="1:16" s="229" customFormat="1" ht="35.1" customHeight="1" x14ac:dyDescent="0.2">
      <c r="A257" s="247">
        <f t="shared" si="84"/>
        <v>126</v>
      </c>
      <c r="B257" s="72" t="s">
        <v>272</v>
      </c>
      <c r="C257" s="73" t="s">
        <v>347</v>
      </c>
      <c r="D257" s="72" t="s">
        <v>25</v>
      </c>
      <c r="E257" s="72" t="s">
        <v>196</v>
      </c>
      <c r="F257" s="226">
        <v>28000</v>
      </c>
      <c r="G257" s="226">
        <f t="shared" si="90"/>
        <v>803.6</v>
      </c>
      <c r="H257" s="226">
        <f t="shared" si="91"/>
        <v>851.2</v>
      </c>
      <c r="I257" s="226"/>
      <c r="J257" s="225">
        <f t="shared" si="73"/>
        <v>1654.8000000000002</v>
      </c>
      <c r="K257" s="225">
        <f t="shared" si="89"/>
        <v>26345.200000000001</v>
      </c>
      <c r="L257" s="225">
        <f t="shared" si="85"/>
        <v>0</v>
      </c>
      <c r="M257" s="225"/>
      <c r="N257" s="231">
        <v>1265</v>
      </c>
      <c r="O257" s="225">
        <f t="shared" si="82"/>
        <v>2919.7999999999997</v>
      </c>
      <c r="P257" s="87">
        <f t="shared" si="83"/>
        <v>25080.2</v>
      </c>
    </row>
    <row r="258" spans="1:16" s="152" customFormat="1" ht="35.1" customHeight="1" x14ac:dyDescent="0.2">
      <c r="A258" s="247">
        <f>+A257+1</f>
        <v>127</v>
      </c>
      <c r="B258" s="72" t="s">
        <v>385</v>
      </c>
      <c r="C258" s="73" t="s">
        <v>346</v>
      </c>
      <c r="D258" s="72" t="s">
        <v>25</v>
      </c>
      <c r="E258" s="72" t="s">
        <v>196</v>
      </c>
      <c r="F258" s="226">
        <v>28000</v>
      </c>
      <c r="G258" s="226">
        <f t="shared" si="90"/>
        <v>803.6</v>
      </c>
      <c r="H258" s="226">
        <f t="shared" si="91"/>
        <v>851.2</v>
      </c>
      <c r="I258" s="226">
        <v>1715.46</v>
      </c>
      <c r="J258" s="225">
        <f t="shared" si="73"/>
        <v>3370.26</v>
      </c>
      <c r="K258" s="225">
        <f t="shared" si="89"/>
        <v>24629.739999999998</v>
      </c>
      <c r="L258" s="225">
        <f t="shared" si="85"/>
        <v>0</v>
      </c>
      <c r="M258" s="225"/>
      <c r="N258" s="231">
        <v>25</v>
      </c>
      <c r="O258" s="225">
        <f t="shared" si="82"/>
        <v>3395.2599999999998</v>
      </c>
      <c r="P258" s="87">
        <f t="shared" si="83"/>
        <v>24604.74</v>
      </c>
    </row>
    <row r="259" spans="1:16" s="152" customFormat="1" ht="35.1" customHeight="1" x14ac:dyDescent="0.2">
      <c r="A259" s="247">
        <f>+A258+1</f>
        <v>128</v>
      </c>
      <c r="B259" s="72" t="s">
        <v>460</v>
      </c>
      <c r="C259" s="73" t="s">
        <v>346</v>
      </c>
      <c r="D259" s="72" t="s">
        <v>25</v>
      </c>
      <c r="E259" s="72" t="s">
        <v>196</v>
      </c>
      <c r="F259" s="226">
        <v>24000</v>
      </c>
      <c r="G259" s="226">
        <f t="shared" ref="G259" si="92">F259*2.87%</f>
        <v>688.8</v>
      </c>
      <c r="H259" s="226">
        <f t="shared" ref="H259" si="93">+F259*3.04%</f>
        <v>729.6</v>
      </c>
      <c r="I259" s="226">
        <v>1715.46</v>
      </c>
      <c r="J259" s="225">
        <f t="shared" si="73"/>
        <v>3133.86</v>
      </c>
      <c r="K259" s="225">
        <f t="shared" si="89"/>
        <v>20866.14</v>
      </c>
      <c r="L259" s="225">
        <f t="shared" si="85"/>
        <v>0</v>
      </c>
      <c r="M259" s="225"/>
      <c r="N259" s="231">
        <v>10334.83</v>
      </c>
      <c r="O259" s="225">
        <f t="shared" si="82"/>
        <v>13468.69</v>
      </c>
      <c r="P259" s="87">
        <f t="shared" si="83"/>
        <v>10531.31</v>
      </c>
    </row>
    <row r="260" spans="1:16" s="152" customFormat="1" ht="35.1" customHeight="1" x14ac:dyDescent="0.2">
      <c r="A260" s="247">
        <f t="shared" si="84"/>
        <v>129</v>
      </c>
      <c r="B260" s="72" t="s">
        <v>461</v>
      </c>
      <c r="C260" s="73" t="s">
        <v>346</v>
      </c>
      <c r="D260" s="72" t="s">
        <v>25</v>
      </c>
      <c r="E260" s="72" t="s">
        <v>196</v>
      </c>
      <c r="F260" s="226">
        <v>24000</v>
      </c>
      <c r="G260" s="226">
        <f t="shared" ref="G260:G262" si="94">F260*2.87%</f>
        <v>688.8</v>
      </c>
      <c r="H260" s="226">
        <f t="shared" ref="H260:H262" si="95">+F260*3.04%</f>
        <v>729.6</v>
      </c>
      <c r="I260" s="226">
        <v>1715.46</v>
      </c>
      <c r="J260" s="225">
        <f t="shared" si="73"/>
        <v>3133.86</v>
      </c>
      <c r="K260" s="225">
        <f t="shared" si="89"/>
        <v>20866.14</v>
      </c>
      <c r="L260" s="225">
        <f t="shared" si="85"/>
        <v>0</v>
      </c>
      <c r="M260" s="225"/>
      <c r="N260" s="231">
        <v>2887.2699999999995</v>
      </c>
      <c r="O260" s="225">
        <f t="shared" si="82"/>
        <v>6021.13</v>
      </c>
      <c r="P260" s="87">
        <f t="shared" si="83"/>
        <v>17978.87</v>
      </c>
    </row>
    <row r="261" spans="1:16" s="229" customFormat="1" ht="35.1" customHeight="1" x14ac:dyDescent="0.2">
      <c r="A261" s="247">
        <f t="shared" si="84"/>
        <v>130</v>
      </c>
      <c r="B261" s="72" t="s">
        <v>462</v>
      </c>
      <c r="C261" s="73" t="s">
        <v>347</v>
      </c>
      <c r="D261" s="72" t="s">
        <v>79</v>
      </c>
      <c r="E261" s="72" t="s">
        <v>196</v>
      </c>
      <c r="F261" s="226">
        <v>24000</v>
      </c>
      <c r="G261" s="226">
        <f t="shared" si="94"/>
        <v>688.8</v>
      </c>
      <c r="H261" s="226">
        <f t="shared" si="95"/>
        <v>729.6</v>
      </c>
      <c r="I261" s="226"/>
      <c r="J261" s="225">
        <f t="shared" si="73"/>
        <v>1418.4</v>
      </c>
      <c r="K261" s="225">
        <f t="shared" si="89"/>
        <v>22581.599999999999</v>
      </c>
      <c r="L261" s="225">
        <f t="shared" si="85"/>
        <v>0</v>
      </c>
      <c r="M261" s="225"/>
      <c r="N261" s="231">
        <v>3988.06</v>
      </c>
      <c r="O261" s="225">
        <f t="shared" si="82"/>
        <v>5406.46</v>
      </c>
      <c r="P261" s="87">
        <f t="shared" si="83"/>
        <v>18593.54</v>
      </c>
    </row>
    <row r="262" spans="1:16" s="229" customFormat="1" ht="35.1" customHeight="1" x14ac:dyDescent="0.2">
      <c r="A262" s="247">
        <f t="shared" si="84"/>
        <v>131</v>
      </c>
      <c r="B262" s="72" t="s">
        <v>463</v>
      </c>
      <c r="C262" s="73" t="s">
        <v>347</v>
      </c>
      <c r="D262" s="72" t="s">
        <v>25</v>
      </c>
      <c r="E262" s="72" t="s">
        <v>196</v>
      </c>
      <c r="F262" s="226">
        <v>24000</v>
      </c>
      <c r="G262" s="226">
        <f t="shared" si="94"/>
        <v>688.8</v>
      </c>
      <c r="H262" s="226">
        <f t="shared" si="95"/>
        <v>729.6</v>
      </c>
      <c r="I262" s="226"/>
      <c r="J262" s="225">
        <f t="shared" si="73"/>
        <v>1418.4</v>
      </c>
      <c r="K262" s="225">
        <f t="shared" si="89"/>
        <v>22581.599999999999</v>
      </c>
      <c r="L262" s="225">
        <f t="shared" si="85"/>
        <v>0</v>
      </c>
      <c r="M262" s="225"/>
      <c r="N262" s="231">
        <v>4578.21</v>
      </c>
      <c r="O262" s="225">
        <f t="shared" si="82"/>
        <v>5996.6100000000006</v>
      </c>
      <c r="P262" s="87">
        <f t="shared" si="83"/>
        <v>18003.39</v>
      </c>
    </row>
    <row r="263" spans="1:16" s="229" customFormat="1" ht="35.1" customHeight="1" x14ac:dyDescent="0.2">
      <c r="A263" s="247">
        <f t="shared" si="84"/>
        <v>132</v>
      </c>
      <c r="B263" s="72" t="s">
        <v>538</v>
      </c>
      <c r="C263" s="73" t="s">
        <v>347</v>
      </c>
      <c r="D263" s="72" t="s">
        <v>25</v>
      </c>
      <c r="E263" s="72" t="s">
        <v>196</v>
      </c>
      <c r="F263" s="226">
        <v>24000</v>
      </c>
      <c r="G263" s="226">
        <f t="shared" ref="G263:G265" si="96">F263*2.87%</f>
        <v>688.8</v>
      </c>
      <c r="H263" s="226">
        <f t="shared" ref="H263:H265" si="97">+F263*3.04%</f>
        <v>729.6</v>
      </c>
      <c r="I263" s="226"/>
      <c r="J263" s="225">
        <f t="shared" ref="J263:J265" si="98">+G263+H263+I263</f>
        <v>1418.4</v>
      </c>
      <c r="K263" s="225">
        <f t="shared" si="89"/>
        <v>22581.599999999999</v>
      </c>
      <c r="L263" s="225">
        <f t="shared" si="85"/>
        <v>0</v>
      </c>
      <c r="M263" s="225"/>
      <c r="N263" s="231">
        <v>1225</v>
      </c>
      <c r="O263" s="225">
        <f t="shared" si="82"/>
        <v>2643.3999999999996</v>
      </c>
      <c r="P263" s="87">
        <f t="shared" si="83"/>
        <v>21356.6</v>
      </c>
    </row>
    <row r="264" spans="1:16" s="229" customFormat="1" ht="35.1" customHeight="1" x14ac:dyDescent="0.2">
      <c r="A264" s="223">
        <f>+A263+1</f>
        <v>133</v>
      </c>
      <c r="B264" s="72" t="s">
        <v>574</v>
      </c>
      <c r="C264" s="73" t="s">
        <v>347</v>
      </c>
      <c r="D264" s="72" t="s">
        <v>25</v>
      </c>
      <c r="E264" s="72" t="s">
        <v>196</v>
      </c>
      <c r="F264" s="226">
        <v>24000</v>
      </c>
      <c r="G264" s="226">
        <f t="shared" si="96"/>
        <v>688.8</v>
      </c>
      <c r="H264" s="226">
        <f t="shared" si="97"/>
        <v>729.6</v>
      </c>
      <c r="I264" s="226"/>
      <c r="J264" s="225">
        <f t="shared" si="98"/>
        <v>1418.4</v>
      </c>
      <c r="K264" s="225">
        <f t="shared" si="89"/>
        <v>22581.599999999999</v>
      </c>
      <c r="L264" s="225">
        <f t="shared" si="85"/>
        <v>0</v>
      </c>
      <c r="M264" s="225"/>
      <c r="N264" s="231">
        <v>2427.34</v>
      </c>
      <c r="O264" s="225">
        <f t="shared" si="82"/>
        <v>3845.74</v>
      </c>
      <c r="P264" s="87">
        <f t="shared" si="83"/>
        <v>20154.260000000002</v>
      </c>
    </row>
    <row r="265" spans="1:16" s="153" customFormat="1" ht="35.1" customHeight="1" x14ac:dyDescent="0.2">
      <c r="A265" s="223">
        <f t="shared" si="84"/>
        <v>134</v>
      </c>
      <c r="B265" s="72" t="s">
        <v>575</v>
      </c>
      <c r="C265" s="73" t="s">
        <v>346</v>
      </c>
      <c r="D265" s="72" t="s">
        <v>25</v>
      </c>
      <c r="E265" s="72" t="s">
        <v>196</v>
      </c>
      <c r="F265" s="226">
        <v>24000</v>
      </c>
      <c r="G265" s="226">
        <f t="shared" si="96"/>
        <v>688.8</v>
      </c>
      <c r="H265" s="226">
        <f t="shared" si="97"/>
        <v>729.6</v>
      </c>
      <c r="I265" s="226"/>
      <c r="J265" s="225">
        <f t="shared" si="98"/>
        <v>1418.4</v>
      </c>
      <c r="K265" s="225">
        <f t="shared" si="89"/>
        <v>22581.599999999999</v>
      </c>
      <c r="L265" s="225">
        <f t="shared" si="85"/>
        <v>0</v>
      </c>
      <c r="M265" s="225"/>
      <c r="N265" s="231">
        <v>3425</v>
      </c>
      <c r="O265" s="225">
        <f t="shared" si="82"/>
        <v>4843.4000000000005</v>
      </c>
      <c r="P265" s="87">
        <f t="shared" si="83"/>
        <v>19156.599999999999</v>
      </c>
    </row>
    <row r="266" spans="1:16" s="153" customFormat="1" ht="35.1" customHeight="1" x14ac:dyDescent="0.2">
      <c r="A266" s="223">
        <f t="shared" si="84"/>
        <v>135</v>
      </c>
      <c r="B266" s="72" t="s">
        <v>271</v>
      </c>
      <c r="C266" s="73" t="s">
        <v>347</v>
      </c>
      <c r="D266" s="72" t="s">
        <v>25</v>
      </c>
      <c r="E266" s="72" t="s">
        <v>196</v>
      </c>
      <c r="F266" s="226">
        <v>19200</v>
      </c>
      <c r="G266" s="226">
        <f t="shared" ref="G266:G273" si="99">F266*2.87%</f>
        <v>551.04</v>
      </c>
      <c r="H266" s="226">
        <f t="shared" ref="H266:H273" si="100">+F266*3.04%</f>
        <v>583.67999999999995</v>
      </c>
      <c r="I266" s="226"/>
      <c r="J266" s="225">
        <f t="shared" ref="J266:J273" si="101">+G266+H266+I266</f>
        <v>1134.7199999999998</v>
      </c>
      <c r="K266" s="225">
        <f t="shared" ref="K266:K273" si="102">+F266-J266</f>
        <v>18065.28</v>
      </c>
      <c r="L266" s="225">
        <f t="shared" si="85"/>
        <v>0</v>
      </c>
      <c r="M266" s="225"/>
      <c r="N266" s="231">
        <v>1305</v>
      </c>
      <c r="O266" s="225">
        <f t="shared" si="82"/>
        <v>2439.7199999999998</v>
      </c>
      <c r="P266" s="87">
        <f t="shared" si="83"/>
        <v>16760.28</v>
      </c>
    </row>
    <row r="267" spans="1:16" s="152" customFormat="1" ht="35.1" customHeight="1" x14ac:dyDescent="0.2">
      <c r="A267" s="313">
        <f t="shared" ref="A267:A272" si="103">+A266+1</f>
        <v>136</v>
      </c>
      <c r="B267" s="72" t="s">
        <v>594</v>
      </c>
      <c r="C267" s="73" t="s">
        <v>347</v>
      </c>
      <c r="D267" s="72" t="s">
        <v>25</v>
      </c>
      <c r="E267" s="72" t="s">
        <v>196</v>
      </c>
      <c r="F267" s="226">
        <v>24000</v>
      </c>
      <c r="G267" s="226">
        <f t="shared" si="99"/>
        <v>688.8</v>
      </c>
      <c r="H267" s="226">
        <f t="shared" si="100"/>
        <v>729.6</v>
      </c>
      <c r="I267" s="226"/>
      <c r="J267" s="225">
        <f t="shared" si="101"/>
        <v>1418.4</v>
      </c>
      <c r="K267" s="225">
        <f t="shared" si="102"/>
        <v>22581.599999999999</v>
      </c>
      <c r="L267" s="225">
        <f t="shared" si="85"/>
        <v>0</v>
      </c>
      <c r="M267" s="225"/>
      <c r="N267" s="231">
        <v>5370.33</v>
      </c>
      <c r="O267" s="225">
        <f t="shared" si="82"/>
        <v>6788.7300000000005</v>
      </c>
      <c r="P267" s="87">
        <f t="shared" si="83"/>
        <v>17211.27</v>
      </c>
    </row>
    <row r="268" spans="1:16" s="228" customFormat="1" ht="35.1" customHeight="1" x14ac:dyDescent="0.2">
      <c r="A268" s="313">
        <f t="shared" si="103"/>
        <v>137</v>
      </c>
      <c r="B268" s="72" t="s">
        <v>595</v>
      </c>
      <c r="C268" s="73" t="s">
        <v>347</v>
      </c>
      <c r="D268" s="72" t="s">
        <v>25</v>
      </c>
      <c r="E268" s="72" t="s">
        <v>196</v>
      </c>
      <c r="F268" s="226">
        <v>24000</v>
      </c>
      <c r="G268" s="226">
        <f t="shared" si="99"/>
        <v>688.8</v>
      </c>
      <c r="H268" s="226">
        <f t="shared" si="100"/>
        <v>729.6</v>
      </c>
      <c r="I268" s="226"/>
      <c r="J268" s="225">
        <f t="shared" si="101"/>
        <v>1418.4</v>
      </c>
      <c r="K268" s="225">
        <f t="shared" si="102"/>
        <v>22581.599999999999</v>
      </c>
      <c r="L268" s="225">
        <f t="shared" si="85"/>
        <v>0</v>
      </c>
      <c r="M268" s="225"/>
      <c r="N268" s="231">
        <v>2225</v>
      </c>
      <c r="O268" s="225">
        <f t="shared" si="82"/>
        <v>3643.3999999999996</v>
      </c>
      <c r="P268" s="87">
        <f t="shared" si="83"/>
        <v>20356.599999999999</v>
      </c>
    </row>
    <row r="269" spans="1:16" s="228" customFormat="1" ht="35.1" customHeight="1" x14ac:dyDescent="0.2">
      <c r="A269" s="313">
        <f t="shared" si="103"/>
        <v>138</v>
      </c>
      <c r="B269" s="72" t="s">
        <v>596</v>
      </c>
      <c r="C269" s="312" t="s">
        <v>346</v>
      </c>
      <c r="D269" s="72" t="s">
        <v>25</v>
      </c>
      <c r="E269" s="72" t="s">
        <v>196</v>
      </c>
      <c r="F269" s="226">
        <v>24000</v>
      </c>
      <c r="G269" s="226">
        <f t="shared" si="99"/>
        <v>688.8</v>
      </c>
      <c r="H269" s="226">
        <f t="shared" si="100"/>
        <v>729.6</v>
      </c>
      <c r="I269" s="226"/>
      <c r="J269" s="225">
        <f t="shared" si="101"/>
        <v>1418.4</v>
      </c>
      <c r="K269" s="225">
        <f t="shared" si="102"/>
        <v>22581.599999999999</v>
      </c>
      <c r="L269" s="225">
        <f t="shared" si="85"/>
        <v>0</v>
      </c>
      <c r="M269" s="225"/>
      <c r="N269" s="231">
        <v>1025</v>
      </c>
      <c r="O269" s="225">
        <f t="shared" si="82"/>
        <v>2443.3999999999996</v>
      </c>
      <c r="P269" s="87">
        <f t="shared" si="83"/>
        <v>21556.6</v>
      </c>
    </row>
    <row r="270" spans="1:16" s="228" customFormat="1" ht="35.1" customHeight="1" x14ac:dyDescent="0.2">
      <c r="A270" s="313">
        <f t="shared" si="103"/>
        <v>139</v>
      </c>
      <c r="B270" s="72" t="s">
        <v>607</v>
      </c>
      <c r="C270" s="312" t="s">
        <v>346</v>
      </c>
      <c r="D270" s="72" t="s">
        <v>25</v>
      </c>
      <c r="E270" s="72" t="s">
        <v>196</v>
      </c>
      <c r="F270" s="226">
        <v>24000</v>
      </c>
      <c r="G270" s="226">
        <f t="shared" si="99"/>
        <v>688.8</v>
      </c>
      <c r="H270" s="226">
        <f t="shared" si="100"/>
        <v>729.6</v>
      </c>
      <c r="I270" s="226"/>
      <c r="J270" s="225">
        <f t="shared" si="101"/>
        <v>1418.4</v>
      </c>
      <c r="K270" s="225">
        <f t="shared" si="102"/>
        <v>22581.599999999999</v>
      </c>
      <c r="L270" s="225">
        <f t="shared" si="85"/>
        <v>0</v>
      </c>
      <c r="M270" s="225"/>
      <c r="N270" s="231">
        <v>25</v>
      </c>
      <c r="O270" s="225">
        <f t="shared" si="82"/>
        <v>1443.4</v>
      </c>
      <c r="P270" s="87">
        <f t="shared" si="83"/>
        <v>22556.6</v>
      </c>
    </row>
    <row r="271" spans="1:16" s="228" customFormat="1" ht="35.1" customHeight="1" x14ac:dyDescent="0.2">
      <c r="A271" s="313">
        <f t="shared" si="103"/>
        <v>140</v>
      </c>
      <c r="B271" s="72" t="s">
        <v>608</v>
      </c>
      <c r="C271" s="312" t="s">
        <v>347</v>
      </c>
      <c r="D271" s="72" t="s">
        <v>25</v>
      </c>
      <c r="E271" s="72" t="s">
        <v>196</v>
      </c>
      <c r="F271" s="226">
        <v>24000</v>
      </c>
      <c r="G271" s="226">
        <f t="shared" si="99"/>
        <v>688.8</v>
      </c>
      <c r="H271" s="226">
        <f t="shared" si="100"/>
        <v>729.6</v>
      </c>
      <c r="I271" s="226"/>
      <c r="J271" s="225">
        <f t="shared" si="101"/>
        <v>1418.4</v>
      </c>
      <c r="K271" s="225">
        <f t="shared" si="102"/>
        <v>22581.599999999999</v>
      </c>
      <c r="L271" s="225">
        <f t="shared" si="85"/>
        <v>0</v>
      </c>
      <c r="M271" s="225"/>
      <c r="N271" s="231">
        <v>1225</v>
      </c>
      <c r="O271" s="225">
        <f t="shared" si="82"/>
        <v>2643.3999999999996</v>
      </c>
      <c r="P271" s="87">
        <f t="shared" si="83"/>
        <v>21356.6</v>
      </c>
    </row>
    <row r="272" spans="1:16" s="228" customFormat="1" ht="35.1" customHeight="1" x14ac:dyDescent="0.2">
      <c r="A272" s="313">
        <f t="shared" si="103"/>
        <v>141</v>
      </c>
      <c r="B272" s="72" t="s">
        <v>641</v>
      </c>
      <c r="C272" s="312" t="s">
        <v>347</v>
      </c>
      <c r="D272" s="72" t="s">
        <v>25</v>
      </c>
      <c r="E272" s="72" t="s">
        <v>196</v>
      </c>
      <c r="F272" s="226">
        <v>24000</v>
      </c>
      <c r="G272" s="226">
        <f t="shared" si="99"/>
        <v>688.8</v>
      </c>
      <c r="H272" s="226">
        <f t="shared" si="100"/>
        <v>729.6</v>
      </c>
      <c r="I272" s="226"/>
      <c r="J272" s="225">
        <f t="shared" si="101"/>
        <v>1418.4</v>
      </c>
      <c r="K272" s="225">
        <f t="shared" si="102"/>
        <v>22581.599999999999</v>
      </c>
      <c r="L272" s="225">
        <f t="shared" si="85"/>
        <v>0</v>
      </c>
      <c r="M272" s="225"/>
      <c r="N272" s="231">
        <v>525</v>
      </c>
      <c r="O272" s="225">
        <f t="shared" si="82"/>
        <v>1943.3999999999999</v>
      </c>
      <c r="P272" s="87">
        <f t="shared" si="83"/>
        <v>22056.6</v>
      </c>
    </row>
    <row r="273" spans="1:17" s="228" customFormat="1" ht="35.1" customHeight="1" x14ac:dyDescent="0.2">
      <c r="A273" s="313">
        <f>+A272+1</f>
        <v>142</v>
      </c>
      <c r="B273" s="72" t="s">
        <v>652</v>
      </c>
      <c r="C273" s="312" t="s">
        <v>347</v>
      </c>
      <c r="D273" s="72" t="s">
        <v>25</v>
      </c>
      <c r="E273" s="72" t="s">
        <v>196</v>
      </c>
      <c r="F273" s="226">
        <v>24000</v>
      </c>
      <c r="G273" s="226">
        <f t="shared" si="99"/>
        <v>688.8</v>
      </c>
      <c r="H273" s="226">
        <f t="shared" si="100"/>
        <v>729.6</v>
      </c>
      <c r="I273" s="226"/>
      <c r="J273" s="225">
        <f t="shared" si="101"/>
        <v>1418.4</v>
      </c>
      <c r="K273" s="225">
        <f t="shared" si="102"/>
        <v>22581.599999999999</v>
      </c>
      <c r="L273" s="225">
        <f t="shared" si="85"/>
        <v>0</v>
      </c>
      <c r="M273" s="225"/>
      <c r="N273" s="231">
        <v>25</v>
      </c>
      <c r="O273" s="225">
        <f t="shared" si="82"/>
        <v>1443.4</v>
      </c>
      <c r="P273" s="87">
        <f t="shared" si="83"/>
        <v>22556.6</v>
      </c>
    </row>
    <row r="274" spans="1:17" s="253" customFormat="1" ht="35.1" customHeight="1" x14ac:dyDescent="0.2">
      <c r="A274" s="233" t="s">
        <v>103</v>
      </c>
      <c r="B274" s="234"/>
      <c r="C274" s="234"/>
      <c r="D274" s="234"/>
      <c r="E274" s="250"/>
      <c r="F274" s="235">
        <f>SUM(F241:F273)</f>
        <v>973200</v>
      </c>
      <c r="G274" s="235">
        <f t="shared" ref="G274:P274" si="104">SUM(G241:G273)</f>
        <v>27930.839999999986</v>
      </c>
      <c r="H274" s="235">
        <f t="shared" si="104"/>
        <v>29585.279999999977</v>
      </c>
      <c r="I274" s="235">
        <f t="shared" si="104"/>
        <v>10292.759999999998</v>
      </c>
      <c r="J274" s="235">
        <f t="shared" si="104"/>
        <v>67808.880000000019</v>
      </c>
      <c r="K274" s="235">
        <f t="shared" si="104"/>
        <v>905391.11999999976</v>
      </c>
      <c r="L274" s="235">
        <f t="shared" si="104"/>
        <v>6267.6746249999987</v>
      </c>
      <c r="M274" s="235">
        <f t="shared" si="104"/>
        <v>0</v>
      </c>
      <c r="N274" s="235">
        <f t="shared" si="104"/>
        <v>109460.65000000001</v>
      </c>
      <c r="O274" s="235">
        <f>SUM(O241:O273)</f>
        <v>183537.20462499995</v>
      </c>
      <c r="P274" s="235">
        <f t="shared" si="104"/>
        <v>789662.79537499999</v>
      </c>
      <c r="Q274" s="337"/>
    </row>
    <row r="275" spans="1:17" s="229" customFormat="1" ht="35.1" customHeight="1" thickBot="1" x14ac:dyDescent="0.25">
      <c r="A275" s="150"/>
      <c r="B275" s="150"/>
      <c r="C275" s="150"/>
      <c r="D275" s="150"/>
      <c r="E275" s="150"/>
      <c r="F275" s="236"/>
      <c r="G275" s="236"/>
      <c r="H275" s="236"/>
      <c r="I275" s="236"/>
      <c r="J275" s="236"/>
      <c r="K275" s="236"/>
      <c r="L275" s="236"/>
      <c r="M275" s="236"/>
      <c r="N275" s="236"/>
      <c r="O275" s="236"/>
      <c r="P275" s="236"/>
    </row>
    <row r="276" spans="1:17" s="229" customFormat="1" ht="35.1" customHeight="1" thickBot="1" x14ac:dyDescent="0.25">
      <c r="A276" s="239" t="s">
        <v>274</v>
      </c>
      <c r="B276" s="240"/>
      <c r="C276" s="240"/>
      <c r="D276" s="240"/>
      <c r="E276" s="240"/>
      <c r="F276" s="240"/>
      <c r="G276" s="240"/>
      <c r="H276" s="240"/>
      <c r="I276" s="240"/>
      <c r="J276" s="240"/>
      <c r="K276" s="240"/>
      <c r="L276" s="240"/>
      <c r="M276" s="240"/>
      <c r="N276" s="240"/>
      <c r="O276" s="240"/>
      <c r="P276" s="240"/>
    </row>
    <row r="277" spans="1:17" s="229" customFormat="1" ht="35.1" customHeight="1" x14ac:dyDescent="0.2">
      <c r="A277" s="73">
        <f>+A273+1</f>
        <v>143</v>
      </c>
      <c r="B277" s="72" t="s">
        <v>276</v>
      </c>
      <c r="C277" s="73" t="s">
        <v>346</v>
      </c>
      <c r="D277" s="72" t="s">
        <v>275</v>
      </c>
      <c r="E277" s="72" t="s">
        <v>196</v>
      </c>
      <c r="F277" s="226">
        <v>55000</v>
      </c>
      <c r="G277" s="68">
        <f>F277*2.87%</f>
        <v>1578.5</v>
      </c>
      <c r="H277" s="68">
        <f>+F277*3.04%</f>
        <v>1672</v>
      </c>
      <c r="I277" s="68">
        <v>1715.46</v>
      </c>
      <c r="J277" s="69">
        <f>+G277+H277+I277</f>
        <v>4965.96</v>
      </c>
      <c r="K277" s="69">
        <f>+F277-J277</f>
        <v>50034.04</v>
      </c>
      <c r="L277" s="69">
        <f>+IF(K277*12&lt;=416220.01,0,IF(K277*12&lt;=624329.01,(((K277*12-416220.01)*0.15)/12),IF((K277*12&lt;=867123.01),(31216+0.2*(K277*12-624329.01))/12,((79776+0.25*(K277*12-867123.01))/12))))</f>
        <v>2302.3558749999997</v>
      </c>
      <c r="M277" s="69"/>
      <c r="N277" s="231">
        <v>225</v>
      </c>
      <c r="O277" s="225">
        <f>+N277+I277+H277+G277+L277</f>
        <v>7493.3158750000002</v>
      </c>
      <c r="P277" s="87">
        <f>+F277-O277</f>
        <v>47506.684125</v>
      </c>
    </row>
    <row r="278" spans="1:17" s="229" customFormat="1" ht="35.1" customHeight="1" x14ac:dyDescent="0.2">
      <c r="A278" s="73">
        <f>+A277+1</f>
        <v>144</v>
      </c>
      <c r="B278" s="72" t="s">
        <v>329</v>
      </c>
      <c r="C278" s="73" t="s">
        <v>346</v>
      </c>
      <c r="D278" s="72" t="s">
        <v>120</v>
      </c>
      <c r="E278" s="72" t="s">
        <v>196</v>
      </c>
      <c r="F278" s="226">
        <v>32000</v>
      </c>
      <c r="G278" s="226">
        <f t="shared" ref="G278:G281" si="105">F278*2.87%</f>
        <v>918.4</v>
      </c>
      <c r="H278" s="226">
        <f t="shared" ref="H278:H281" si="106">+F278*3.04%</f>
        <v>972.8</v>
      </c>
      <c r="I278" s="68"/>
      <c r="J278" s="69">
        <f t="shared" si="73"/>
        <v>1891.1999999999998</v>
      </c>
      <c r="K278" s="69">
        <f t="shared" ref="K278:K280" si="107">+F278-J278</f>
        <v>30108.799999999999</v>
      </c>
      <c r="L278" s="69">
        <f t="shared" ref="L278:L281" si="108">+IF(K278*12&lt;=416220.01,0,IF(K278*12&lt;=624329.01,(((K278*12-416220.01)*0.15)/12),IF((K278*12&lt;=867123.01),(31216+0.2*(K278*12-624329.01))/12,((79776+0.25*(K278*12-867123.01))/12))))</f>
        <v>0</v>
      </c>
      <c r="M278" s="69"/>
      <c r="N278" s="227">
        <v>225</v>
      </c>
      <c r="O278" s="225">
        <f>+N278+I278+H278+G278+L278</f>
        <v>2116.1999999999998</v>
      </c>
      <c r="P278" s="87">
        <f>+F278-O278</f>
        <v>29883.8</v>
      </c>
    </row>
    <row r="279" spans="1:17" s="229" customFormat="1" ht="35.1" customHeight="1" x14ac:dyDescent="0.2">
      <c r="A279" s="73">
        <f>+A278+1</f>
        <v>145</v>
      </c>
      <c r="B279" s="72" t="s">
        <v>269</v>
      </c>
      <c r="C279" s="73" t="s">
        <v>346</v>
      </c>
      <c r="D279" s="72" t="s">
        <v>120</v>
      </c>
      <c r="E279" s="72" t="s">
        <v>196</v>
      </c>
      <c r="F279" s="226">
        <v>28000</v>
      </c>
      <c r="G279" s="226">
        <f t="shared" si="105"/>
        <v>803.6</v>
      </c>
      <c r="H279" s="226">
        <f t="shared" si="106"/>
        <v>851.2</v>
      </c>
      <c r="I279" s="68"/>
      <c r="J279" s="69">
        <f t="shared" ref="J279" si="109">+G279+H279+I279</f>
        <v>1654.8000000000002</v>
      </c>
      <c r="K279" s="69">
        <f t="shared" si="107"/>
        <v>26345.200000000001</v>
      </c>
      <c r="L279" s="69">
        <f t="shared" si="108"/>
        <v>0</v>
      </c>
      <c r="M279" s="225"/>
      <c r="N279" s="231">
        <v>6659.57</v>
      </c>
      <c r="O279" s="69">
        <f>+N279+I279+H279+G279+L279</f>
        <v>8314.369999999999</v>
      </c>
      <c r="P279" s="87">
        <f>+F279-O279</f>
        <v>19685.63</v>
      </c>
    </row>
    <row r="280" spans="1:17" s="229" customFormat="1" ht="35.1" customHeight="1" x14ac:dyDescent="0.2">
      <c r="A280" s="73">
        <f>+A279+1</f>
        <v>146</v>
      </c>
      <c r="B280" s="226" t="s">
        <v>540</v>
      </c>
      <c r="C280" s="286" t="s">
        <v>346</v>
      </c>
      <c r="D280" s="252" t="s">
        <v>120</v>
      </c>
      <c r="E280" s="72" t="s">
        <v>196</v>
      </c>
      <c r="F280" s="231">
        <v>24000</v>
      </c>
      <c r="G280" s="226">
        <f t="shared" si="105"/>
        <v>688.8</v>
      </c>
      <c r="H280" s="226">
        <f t="shared" si="106"/>
        <v>729.6</v>
      </c>
      <c r="I280" s="68">
        <v>1715.46</v>
      </c>
      <c r="J280" s="69">
        <f t="shared" si="73"/>
        <v>3133.86</v>
      </c>
      <c r="K280" s="69">
        <f t="shared" si="107"/>
        <v>20866.14</v>
      </c>
      <c r="L280" s="69">
        <f t="shared" si="108"/>
        <v>0</v>
      </c>
      <c r="M280" s="69"/>
      <c r="N280" s="225">
        <v>3393.32</v>
      </c>
      <c r="O280" s="225">
        <f>+N280+I280+H280+G280+L280</f>
        <v>6527.1800000000012</v>
      </c>
      <c r="P280" s="87">
        <f>+F280-O280</f>
        <v>17472.82</v>
      </c>
    </row>
    <row r="281" spans="1:17" s="229" customFormat="1" ht="35.1" customHeight="1" x14ac:dyDescent="0.2">
      <c r="A281" s="73">
        <f t="shared" ref="A281" si="110">+A280+1</f>
        <v>147</v>
      </c>
      <c r="B281" s="226" t="s">
        <v>576</v>
      </c>
      <c r="C281" s="286" t="s">
        <v>346</v>
      </c>
      <c r="D281" s="252" t="s">
        <v>120</v>
      </c>
      <c r="E281" s="72" t="s">
        <v>196</v>
      </c>
      <c r="F281" s="244">
        <v>24000</v>
      </c>
      <c r="G281" s="68">
        <f t="shared" si="105"/>
        <v>688.8</v>
      </c>
      <c r="H281" s="68">
        <f t="shared" si="106"/>
        <v>729.6</v>
      </c>
      <c r="I281" s="68"/>
      <c r="J281" s="69">
        <f t="shared" si="73"/>
        <v>1418.4</v>
      </c>
      <c r="K281" s="69">
        <f>+F281-J281</f>
        <v>22581.599999999999</v>
      </c>
      <c r="L281" s="69">
        <f t="shared" si="108"/>
        <v>0</v>
      </c>
      <c r="M281" s="69"/>
      <c r="N281" s="69">
        <v>25</v>
      </c>
      <c r="O281" s="225">
        <f>+N281+I281+H281+G281+L281</f>
        <v>1443.4</v>
      </c>
      <c r="P281" s="87">
        <f>+F281-O281</f>
        <v>22556.6</v>
      </c>
    </row>
    <row r="282" spans="1:17" s="229" customFormat="1" ht="35.1" customHeight="1" thickBot="1" x14ac:dyDescent="0.25">
      <c r="A282" s="233" t="s">
        <v>103</v>
      </c>
      <c r="B282" s="234"/>
      <c r="C282" s="234"/>
      <c r="D282" s="234"/>
      <c r="E282" s="250"/>
      <c r="F282" s="235">
        <f t="shared" ref="F282:P282" si="111">SUM(F277:F281)</f>
        <v>163000</v>
      </c>
      <c r="G282" s="235">
        <f t="shared" si="111"/>
        <v>4678.1000000000004</v>
      </c>
      <c r="H282" s="235">
        <f t="shared" si="111"/>
        <v>4955.2000000000007</v>
      </c>
      <c r="I282" s="235">
        <f t="shared" si="111"/>
        <v>3430.92</v>
      </c>
      <c r="J282" s="235">
        <f t="shared" si="111"/>
        <v>13064.22</v>
      </c>
      <c r="K282" s="235">
        <f t="shared" si="111"/>
        <v>149935.78</v>
      </c>
      <c r="L282" s="235">
        <f t="shared" si="111"/>
        <v>2302.3558749999997</v>
      </c>
      <c r="M282" s="235">
        <f t="shared" si="111"/>
        <v>0</v>
      </c>
      <c r="N282" s="235">
        <f t="shared" si="111"/>
        <v>10527.89</v>
      </c>
      <c r="O282" s="235">
        <f t="shared" si="111"/>
        <v>25894.465875000002</v>
      </c>
      <c r="P282" s="235">
        <f t="shared" si="111"/>
        <v>137105.53412500001</v>
      </c>
      <c r="Q282" s="336"/>
    </row>
    <row r="283" spans="1:17" s="229" customFormat="1" ht="35.1" customHeight="1" thickBot="1" x14ac:dyDescent="0.25">
      <c r="A283" s="239" t="s">
        <v>277</v>
      </c>
      <c r="B283" s="240"/>
      <c r="C283" s="240"/>
      <c r="D283" s="240"/>
      <c r="E283" s="240"/>
      <c r="F283" s="240"/>
      <c r="G283" s="240"/>
      <c r="H283" s="240"/>
      <c r="I283" s="240"/>
      <c r="J283" s="240"/>
      <c r="K283" s="240"/>
      <c r="L283" s="240"/>
      <c r="M283" s="240"/>
      <c r="N283" s="240"/>
      <c r="O283" s="240"/>
      <c r="P283" s="240"/>
    </row>
    <row r="284" spans="1:17" s="229" customFormat="1" ht="35.1" customHeight="1" x14ac:dyDescent="0.2">
      <c r="A284" s="73">
        <f>+A281+1</f>
        <v>148</v>
      </c>
      <c r="B284" s="72" t="s">
        <v>110</v>
      </c>
      <c r="C284" s="73" t="s">
        <v>346</v>
      </c>
      <c r="D284" s="72" t="s">
        <v>112</v>
      </c>
      <c r="E284" s="72" t="s">
        <v>196</v>
      </c>
      <c r="F284" s="226">
        <v>60000</v>
      </c>
      <c r="G284" s="226">
        <f>F284*2.87%</f>
        <v>1722</v>
      </c>
      <c r="H284" s="226">
        <f>+F284*3.04%</f>
        <v>1824</v>
      </c>
      <c r="I284" s="226"/>
      <c r="J284" s="225">
        <f t="shared" si="73"/>
        <v>3546</v>
      </c>
      <c r="K284" s="225">
        <f>+F284-J284</f>
        <v>56454</v>
      </c>
      <c r="L284" s="69">
        <f>+IF(K284*12&lt;=416220.01,0,IF(K284*12&lt;=624329.01,(((K284*12-416220.01)*0.15)/12),IF((K284*12&lt;=867123.01),(31216+0.2*(K284*12-624329.01))/12,((79776+0.25*(K284*12-867123.01))/12))))</f>
        <v>3486.6498333333329</v>
      </c>
      <c r="M284" s="225"/>
      <c r="N284" s="231">
        <v>25</v>
      </c>
      <c r="O284" s="225">
        <f t="shared" ref="O284:O307" si="112">+N284+I284+H284+G284+L284</f>
        <v>7057.6498333333329</v>
      </c>
      <c r="P284" s="231">
        <f t="shared" ref="P284:P307" si="113">+F284-O284</f>
        <v>52942.350166666671</v>
      </c>
    </row>
    <row r="285" spans="1:17" s="229" customFormat="1" ht="35.1" customHeight="1" x14ac:dyDescent="0.2">
      <c r="A285" s="73">
        <f>+A284+1</f>
        <v>149</v>
      </c>
      <c r="B285" s="72" t="s">
        <v>26</v>
      </c>
      <c r="C285" s="73" t="s">
        <v>346</v>
      </c>
      <c r="D285" s="72" t="s">
        <v>112</v>
      </c>
      <c r="E285" s="72" t="s">
        <v>101</v>
      </c>
      <c r="F285" s="226">
        <v>60000</v>
      </c>
      <c r="G285" s="226">
        <f t="shared" ref="G285:G292" si="114">F285*2.87%</f>
        <v>1722</v>
      </c>
      <c r="H285" s="226">
        <f t="shared" ref="H285:H299" si="115">+F285*3.04%</f>
        <v>1824</v>
      </c>
      <c r="I285" s="226"/>
      <c r="J285" s="225">
        <f t="shared" si="73"/>
        <v>3546</v>
      </c>
      <c r="K285" s="225">
        <f t="shared" ref="K285:K306" si="116">+F285-J285</f>
        <v>56454</v>
      </c>
      <c r="L285" s="69">
        <f t="shared" ref="L285:L307" si="117">+IF(K285*12&lt;=416220.01,0,IF(K285*12&lt;=624329.01,(((K285*12-416220.01)*0.15)/12),IF((K285*12&lt;=867123.01),(31216+0.2*(K285*12-624329.01))/12,((79776+0.25*(K285*12-867123.01))/12))))</f>
        <v>3486.6498333333329</v>
      </c>
      <c r="M285" s="225"/>
      <c r="N285" s="231">
        <v>265</v>
      </c>
      <c r="O285" s="225">
        <f t="shared" si="112"/>
        <v>7297.6498333333329</v>
      </c>
      <c r="P285" s="231">
        <f t="shared" si="113"/>
        <v>52702.350166666671</v>
      </c>
    </row>
    <row r="286" spans="1:17" s="153" customFormat="1" ht="35.1" customHeight="1" x14ac:dyDescent="0.2">
      <c r="A286" s="73">
        <f>+A285+1</f>
        <v>150</v>
      </c>
      <c r="B286" s="72" t="s">
        <v>487</v>
      </c>
      <c r="C286" s="73" t="s">
        <v>347</v>
      </c>
      <c r="D286" s="91" t="s">
        <v>14</v>
      </c>
      <c r="E286" s="72" t="s">
        <v>196</v>
      </c>
      <c r="F286" s="226">
        <v>38000</v>
      </c>
      <c r="G286" s="226">
        <f>F286*2.87%</f>
        <v>1090.5999999999999</v>
      </c>
      <c r="H286" s="226">
        <f>+F286*3.04%</f>
        <v>1155.2</v>
      </c>
      <c r="I286" s="226"/>
      <c r="J286" s="225">
        <f>+G286+H286+I286</f>
        <v>2245.8000000000002</v>
      </c>
      <c r="K286" s="225">
        <f>+F286-J286</f>
        <v>35754.199999999997</v>
      </c>
      <c r="L286" s="69">
        <v>0</v>
      </c>
      <c r="M286" s="225"/>
      <c r="N286" s="231">
        <v>2258.4</v>
      </c>
      <c r="O286" s="225">
        <f t="shared" si="112"/>
        <v>4504.2000000000007</v>
      </c>
      <c r="P286" s="225">
        <f t="shared" si="113"/>
        <v>33495.800000000003</v>
      </c>
    </row>
    <row r="287" spans="1:17" s="153" customFormat="1" ht="35.1" customHeight="1" x14ac:dyDescent="0.2">
      <c r="A287" s="73">
        <f>+A286+1</f>
        <v>151</v>
      </c>
      <c r="B287" s="72" t="s">
        <v>278</v>
      </c>
      <c r="C287" s="73" t="s">
        <v>346</v>
      </c>
      <c r="D287" s="72" t="s">
        <v>28</v>
      </c>
      <c r="E287" s="72" t="s">
        <v>196</v>
      </c>
      <c r="F287" s="226">
        <v>36000</v>
      </c>
      <c r="G287" s="226">
        <f t="shared" si="114"/>
        <v>1033.2</v>
      </c>
      <c r="H287" s="226">
        <f t="shared" si="115"/>
        <v>1094.4000000000001</v>
      </c>
      <c r="I287" s="226"/>
      <c r="J287" s="225">
        <f t="shared" si="73"/>
        <v>2127.6000000000004</v>
      </c>
      <c r="K287" s="225">
        <f t="shared" si="116"/>
        <v>33872.400000000001</v>
      </c>
      <c r="L287" s="69">
        <f t="shared" si="117"/>
        <v>0</v>
      </c>
      <c r="M287" s="225"/>
      <c r="N287" s="231">
        <v>345</v>
      </c>
      <c r="O287" s="225">
        <f t="shared" si="112"/>
        <v>2472.6000000000004</v>
      </c>
      <c r="P287" s="231">
        <f t="shared" si="113"/>
        <v>33527.4</v>
      </c>
    </row>
    <row r="288" spans="1:17" s="153" customFormat="1" ht="35.1" customHeight="1" x14ac:dyDescent="0.2">
      <c r="A288" s="73">
        <f>+A287+1</f>
        <v>152</v>
      </c>
      <c r="B288" s="72" t="s">
        <v>279</v>
      </c>
      <c r="C288" s="73" t="s">
        <v>346</v>
      </c>
      <c r="D288" s="72" t="s">
        <v>28</v>
      </c>
      <c r="E288" s="72" t="s">
        <v>196</v>
      </c>
      <c r="F288" s="226">
        <v>36000</v>
      </c>
      <c r="G288" s="226">
        <f t="shared" si="114"/>
        <v>1033.2</v>
      </c>
      <c r="H288" s="226">
        <f t="shared" si="115"/>
        <v>1094.4000000000001</v>
      </c>
      <c r="I288" s="226"/>
      <c r="J288" s="225">
        <f t="shared" si="73"/>
        <v>2127.6000000000004</v>
      </c>
      <c r="K288" s="225">
        <f t="shared" si="116"/>
        <v>33872.400000000001</v>
      </c>
      <c r="L288" s="69">
        <f t="shared" si="117"/>
        <v>0</v>
      </c>
      <c r="M288" s="225"/>
      <c r="N288" s="231">
        <v>2225</v>
      </c>
      <c r="O288" s="225">
        <f t="shared" si="112"/>
        <v>4352.6000000000004</v>
      </c>
      <c r="P288" s="231">
        <f t="shared" si="113"/>
        <v>31647.4</v>
      </c>
    </row>
    <row r="289" spans="1:16" s="153" customFormat="1" ht="35.1" customHeight="1" x14ac:dyDescent="0.2">
      <c r="A289" s="73">
        <f t="shared" ref="A289:A300" si="118">+A288+1</f>
        <v>153</v>
      </c>
      <c r="B289" s="72" t="s">
        <v>65</v>
      </c>
      <c r="C289" s="73" t="s">
        <v>346</v>
      </c>
      <c r="D289" s="72" t="s">
        <v>28</v>
      </c>
      <c r="E289" s="72" t="s">
        <v>196</v>
      </c>
      <c r="F289" s="226">
        <v>36000</v>
      </c>
      <c r="G289" s="226">
        <f t="shared" si="114"/>
        <v>1033.2</v>
      </c>
      <c r="H289" s="226">
        <f t="shared" si="115"/>
        <v>1094.4000000000001</v>
      </c>
      <c r="I289" s="226"/>
      <c r="J289" s="225">
        <f t="shared" ref="J289:J299" si="119">+G289+H289+I289</f>
        <v>2127.6000000000004</v>
      </c>
      <c r="K289" s="225">
        <f t="shared" si="116"/>
        <v>33872.400000000001</v>
      </c>
      <c r="L289" s="69">
        <f t="shared" si="117"/>
        <v>0</v>
      </c>
      <c r="M289" s="225"/>
      <c r="N289" s="231">
        <v>2625</v>
      </c>
      <c r="O289" s="225">
        <f t="shared" si="112"/>
        <v>4752.6000000000004</v>
      </c>
      <c r="P289" s="231">
        <f t="shared" si="113"/>
        <v>31247.4</v>
      </c>
    </row>
    <row r="290" spans="1:16" s="153" customFormat="1" ht="35.1" customHeight="1" x14ac:dyDescent="0.2">
      <c r="A290" s="73">
        <f t="shared" si="118"/>
        <v>154</v>
      </c>
      <c r="B290" s="72" t="s">
        <v>29</v>
      </c>
      <c r="C290" s="73" t="s">
        <v>346</v>
      </c>
      <c r="D290" s="72" t="s">
        <v>28</v>
      </c>
      <c r="E290" s="72" t="s">
        <v>196</v>
      </c>
      <c r="F290" s="226">
        <v>36000</v>
      </c>
      <c r="G290" s="226">
        <f t="shared" si="114"/>
        <v>1033.2</v>
      </c>
      <c r="H290" s="226">
        <f t="shared" si="115"/>
        <v>1094.4000000000001</v>
      </c>
      <c r="I290" s="226"/>
      <c r="J290" s="225">
        <f t="shared" si="119"/>
        <v>2127.6000000000004</v>
      </c>
      <c r="K290" s="225">
        <f t="shared" si="116"/>
        <v>33872.400000000001</v>
      </c>
      <c r="L290" s="69">
        <f t="shared" si="117"/>
        <v>0</v>
      </c>
      <c r="M290" s="225"/>
      <c r="N290" s="231">
        <v>765</v>
      </c>
      <c r="O290" s="225">
        <f t="shared" si="112"/>
        <v>2892.6000000000004</v>
      </c>
      <c r="P290" s="231">
        <f t="shared" si="113"/>
        <v>33107.4</v>
      </c>
    </row>
    <row r="291" spans="1:16" s="153" customFormat="1" ht="35.1" customHeight="1" x14ac:dyDescent="0.2">
      <c r="A291" s="73">
        <f t="shared" si="118"/>
        <v>155</v>
      </c>
      <c r="B291" s="72" t="s">
        <v>111</v>
      </c>
      <c r="C291" s="73" t="s">
        <v>346</v>
      </c>
      <c r="D291" s="91" t="s">
        <v>113</v>
      </c>
      <c r="E291" s="72" t="s">
        <v>196</v>
      </c>
      <c r="F291" s="226">
        <v>35000</v>
      </c>
      <c r="G291" s="226">
        <f>F291*2.87%</f>
        <v>1004.5</v>
      </c>
      <c r="H291" s="226">
        <f>+F291*3.04%</f>
        <v>1064</v>
      </c>
      <c r="I291" s="226"/>
      <c r="J291" s="225">
        <f t="shared" si="119"/>
        <v>2068.5</v>
      </c>
      <c r="K291" s="225">
        <f t="shared" si="116"/>
        <v>32931.5</v>
      </c>
      <c r="L291" s="69">
        <f t="shared" si="117"/>
        <v>0</v>
      </c>
      <c r="M291" s="225"/>
      <c r="N291" s="231">
        <v>25</v>
      </c>
      <c r="O291" s="225">
        <f t="shared" si="112"/>
        <v>2093.5</v>
      </c>
      <c r="P291" s="231">
        <f t="shared" si="113"/>
        <v>32906.5</v>
      </c>
    </row>
    <row r="292" spans="1:16" s="153" customFormat="1" ht="35.1" customHeight="1" x14ac:dyDescent="0.2">
      <c r="A292" s="73">
        <f>+A291+1</f>
        <v>156</v>
      </c>
      <c r="B292" s="72" t="s">
        <v>281</v>
      </c>
      <c r="C292" s="73" t="s">
        <v>346</v>
      </c>
      <c r="D292" s="91" t="s">
        <v>118</v>
      </c>
      <c r="E292" s="72" t="s">
        <v>196</v>
      </c>
      <c r="F292" s="226">
        <v>36000</v>
      </c>
      <c r="G292" s="226">
        <f t="shared" si="114"/>
        <v>1033.2</v>
      </c>
      <c r="H292" s="226">
        <f t="shared" si="115"/>
        <v>1094.4000000000001</v>
      </c>
      <c r="I292" s="226">
        <v>1715.46</v>
      </c>
      <c r="J292" s="225">
        <f t="shared" si="119"/>
        <v>3843.0600000000004</v>
      </c>
      <c r="K292" s="225">
        <f t="shared" si="116"/>
        <v>32156.94</v>
      </c>
      <c r="L292" s="69">
        <f t="shared" si="117"/>
        <v>0</v>
      </c>
      <c r="M292" s="225"/>
      <c r="N292" s="231">
        <v>2225</v>
      </c>
      <c r="O292" s="225">
        <f t="shared" si="112"/>
        <v>6068.06</v>
      </c>
      <c r="P292" s="231">
        <f t="shared" si="113"/>
        <v>29931.94</v>
      </c>
    </row>
    <row r="293" spans="1:16" s="153" customFormat="1" ht="35.1" customHeight="1" x14ac:dyDescent="0.2">
      <c r="A293" s="73">
        <f t="shared" si="118"/>
        <v>157</v>
      </c>
      <c r="B293" s="72" t="s">
        <v>280</v>
      </c>
      <c r="C293" s="73" t="s">
        <v>346</v>
      </c>
      <c r="D293" s="72" t="s">
        <v>118</v>
      </c>
      <c r="E293" s="72" t="s">
        <v>196</v>
      </c>
      <c r="F293" s="226">
        <v>36000</v>
      </c>
      <c r="G293" s="226">
        <f t="shared" ref="G293:G296" si="120">F293*2.87%</f>
        <v>1033.2</v>
      </c>
      <c r="H293" s="226">
        <f t="shared" ref="H293:H296" si="121">+F293*3.04%</f>
        <v>1094.4000000000001</v>
      </c>
      <c r="I293" s="226"/>
      <c r="J293" s="225">
        <f t="shared" si="119"/>
        <v>2127.6000000000004</v>
      </c>
      <c r="K293" s="225">
        <f t="shared" si="116"/>
        <v>33872.400000000001</v>
      </c>
      <c r="L293" s="69">
        <f t="shared" si="117"/>
        <v>0</v>
      </c>
      <c r="M293" s="225"/>
      <c r="N293" s="231">
        <v>1225</v>
      </c>
      <c r="O293" s="225">
        <f t="shared" si="112"/>
        <v>3352.6000000000004</v>
      </c>
      <c r="P293" s="231">
        <f t="shared" si="113"/>
        <v>32647.4</v>
      </c>
    </row>
    <row r="294" spans="1:16" s="229" customFormat="1" ht="35.1" customHeight="1" x14ac:dyDescent="0.2">
      <c r="A294" s="73">
        <f t="shared" si="118"/>
        <v>158</v>
      </c>
      <c r="B294" s="72" t="s">
        <v>282</v>
      </c>
      <c r="C294" s="73" t="s">
        <v>346</v>
      </c>
      <c r="D294" s="91" t="s">
        <v>113</v>
      </c>
      <c r="E294" s="72" t="s">
        <v>196</v>
      </c>
      <c r="F294" s="226">
        <v>35000</v>
      </c>
      <c r="G294" s="226">
        <f t="shared" si="120"/>
        <v>1004.5</v>
      </c>
      <c r="H294" s="226">
        <f t="shared" si="121"/>
        <v>1064</v>
      </c>
      <c r="I294" s="226"/>
      <c r="J294" s="225">
        <f>+G294+H294+I294</f>
        <v>2068.5</v>
      </c>
      <c r="K294" s="225">
        <f t="shared" si="116"/>
        <v>32931.5</v>
      </c>
      <c r="L294" s="69">
        <f t="shared" si="117"/>
        <v>0</v>
      </c>
      <c r="M294" s="225"/>
      <c r="N294" s="231">
        <v>25</v>
      </c>
      <c r="O294" s="225">
        <f t="shared" si="112"/>
        <v>2093.5</v>
      </c>
      <c r="P294" s="231">
        <f t="shared" si="113"/>
        <v>32906.5</v>
      </c>
    </row>
    <row r="295" spans="1:16" s="152" customFormat="1" ht="35.1" customHeight="1" x14ac:dyDescent="0.2">
      <c r="A295" s="73">
        <f t="shared" si="118"/>
        <v>159</v>
      </c>
      <c r="B295" s="72" t="s">
        <v>383</v>
      </c>
      <c r="C295" s="73" t="s">
        <v>346</v>
      </c>
      <c r="D295" s="91" t="s">
        <v>384</v>
      </c>
      <c r="E295" s="72" t="s">
        <v>196</v>
      </c>
      <c r="F295" s="226">
        <v>36000</v>
      </c>
      <c r="G295" s="226">
        <f t="shared" si="120"/>
        <v>1033.2</v>
      </c>
      <c r="H295" s="226">
        <f t="shared" si="121"/>
        <v>1094.4000000000001</v>
      </c>
      <c r="I295" s="226">
        <v>1715.46</v>
      </c>
      <c r="J295" s="225">
        <f>+G295+H295+I295</f>
        <v>3843.0600000000004</v>
      </c>
      <c r="K295" s="225">
        <f t="shared" si="116"/>
        <v>32156.94</v>
      </c>
      <c r="L295" s="69">
        <f t="shared" si="117"/>
        <v>0</v>
      </c>
      <c r="M295" s="225"/>
      <c r="N295" s="231">
        <v>5929.77</v>
      </c>
      <c r="O295" s="225">
        <f t="shared" si="112"/>
        <v>9772.8300000000017</v>
      </c>
      <c r="P295" s="231">
        <f t="shared" si="113"/>
        <v>26227.17</v>
      </c>
    </row>
    <row r="296" spans="1:16" s="229" customFormat="1" ht="35.1" customHeight="1" x14ac:dyDescent="0.2">
      <c r="A296" s="73">
        <f t="shared" si="118"/>
        <v>160</v>
      </c>
      <c r="B296" s="72" t="s">
        <v>429</v>
      </c>
      <c r="C296" s="73" t="s">
        <v>346</v>
      </c>
      <c r="D296" s="72" t="s">
        <v>113</v>
      </c>
      <c r="E296" s="72" t="s">
        <v>196</v>
      </c>
      <c r="F296" s="226">
        <v>36000</v>
      </c>
      <c r="G296" s="226">
        <f t="shared" si="120"/>
        <v>1033.2</v>
      </c>
      <c r="H296" s="226">
        <f t="shared" si="121"/>
        <v>1094.4000000000001</v>
      </c>
      <c r="I296" s="226"/>
      <c r="J296" s="225">
        <f>+G296+H296+I296</f>
        <v>2127.6000000000004</v>
      </c>
      <c r="K296" s="225">
        <f t="shared" si="116"/>
        <v>33872.400000000001</v>
      </c>
      <c r="L296" s="69">
        <f t="shared" si="117"/>
        <v>0</v>
      </c>
      <c r="M296" s="225"/>
      <c r="N296" s="231">
        <v>3265</v>
      </c>
      <c r="O296" s="225">
        <f t="shared" si="112"/>
        <v>5392.5999999999995</v>
      </c>
      <c r="P296" s="231">
        <f t="shared" si="113"/>
        <v>30607.4</v>
      </c>
    </row>
    <row r="297" spans="1:16" s="229" customFormat="1" ht="35.1" customHeight="1" x14ac:dyDescent="0.2">
      <c r="A297" s="73">
        <f>+A296+1</f>
        <v>161</v>
      </c>
      <c r="B297" s="72" t="s">
        <v>285</v>
      </c>
      <c r="C297" s="73" t="s">
        <v>346</v>
      </c>
      <c r="D297" s="91" t="s">
        <v>384</v>
      </c>
      <c r="E297" s="72" t="s">
        <v>101</v>
      </c>
      <c r="F297" s="226">
        <v>32000</v>
      </c>
      <c r="G297" s="226">
        <f>F297*2.87%</f>
        <v>918.4</v>
      </c>
      <c r="H297" s="226">
        <f>+F297*3.04%</f>
        <v>972.8</v>
      </c>
      <c r="I297" s="226"/>
      <c r="J297" s="225">
        <f>+G297+H297+I297</f>
        <v>1891.1999999999998</v>
      </c>
      <c r="K297" s="225">
        <f>+F297-J297</f>
        <v>30108.799999999999</v>
      </c>
      <c r="L297" s="69">
        <f t="shared" si="117"/>
        <v>0</v>
      </c>
      <c r="M297" s="225"/>
      <c r="N297" s="231">
        <v>65</v>
      </c>
      <c r="O297" s="225">
        <f t="shared" si="112"/>
        <v>1956.1999999999998</v>
      </c>
      <c r="P297" s="231">
        <f t="shared" si="113"/>
        <v>30043.8</v>
      </c>
    </row>
    <row r="298" spans="1:16" s="229" customFormat="1" ht="35.1" customHeight="1" x14ac:dyDescent="0.2">
      <c r="A298" s="73">
        <f>+A297+1</f>
        <v>162</v>
      </c>
      <c r="B298" s="72" t="s">
        <v>541</v>
      </c>
      <c r="C298" s="73" t="s">
        <v>346</v>
      </c>
      <c r="D298" s="91" t="s">
        <v>113</v>
      </c>
      <c r="E298" s="72" t="s">
        <v>196</v>
      </c>
      <c r="F298" s="226">
        <v>30000</v>
      </c>
      <c r="G298" s="226">
        <f t="shared" ref="G298:G306" si="122">F298*2.87%</f>
        <v>861</v>
      </c>
      <c r="H298" s="226">
        <f t="shared" si="115"/>
        <v>912</v>
      </c>
      <c r="I298" s="226"/>
      <c r="J298" s="225">
        <f t="shared" si="119"/>
        <v>1773</v>
      </c>
      <c r="K298" s="225">
        <f t="shared" si="116"/>
        <v>28227</v>
      </c>
      <c r="L298" s="69">
        <f t="shared" si="117"/>
        <v>0</v>
      </c>
      <c r="M298" s="225"/>
      <c r="N298" s="231">
        <v>2225</v>
      </c>
      <c r="O298" s="225">
        <f t="shared" si="112"/>
        <v>3998</v>
      </c>
      <c r="P298" s="231">
        <f t="shared" si="113"/>
        <v>26002</v>
      </c>
    </row>
    <row r="299" spans="1:16" s="229" customFormat="1" ht="35.1" customHeight="1" x14ac:dyDescent="0.2">
      <c r="A299" s="73">
        <f>+A298+1</f>
        <v>163</v>
      </c>
      <c r="B299" s="72" t="s">
        <v>542</v>
      </c>
      <c r="C299" s="73" t="s">
        <v>346</v>
      </c>
      <c r="D299" s="91" t="s">
        <v>113</v>
      </c>
      <c r="E299" s="72" t="s">
        <v>196</v>
      </c>
      <c r="F299" s="226">
        <v>30000</v>
      </c>
      <c r="G299" s="226">
        <f t="shared" si="122"/>
        <v>861</v>
      </c>
      <c r="H299" s="226">
        <f t="shared" si="115"/>
        <v>912</v>
      </c>
      <c r="I299" s="226"/>
      <c r="J299" s="225">
        <f t="shared" si="119"/>
        <v>1773</v>
      </c>
      <c r="K299" s="225">
        <f t="shared" si="116"/>
        <v>28227</v>
      </c>
      <c r="L299" s="69">
        <f t="shared" si="117"/>
        <v>0</v>
      </c>
      <c r="M299" s="225"/>
      <c r="N299" s="231">
        <v>2390</v>
      </c>
      <c r="O299" s="225">
        <f t="shared" si="112"/>
        <v>4163</v>
      </c>
      <c r="P299" s="231">
        <f t="shared" si="113"/>
        <v>25837</v>
      </c>
    </row>
    <row r="300" spans="1:16" s="229" customFormat="1" ht="35.1" customHeight="1" x14ac:dyDescent="0.2">
      <c r="A300" s="73">
        <f t="shared" si="118"/>
        <v>164</v>
      </c>
      <c r="B300" s="270" t="s">
        <v>507</v>
      </c>
      <c r="C300" s="73" t="s">
        <v>346</v>
      </c>
      <c r="D300" s="72" t="s">
        <v>113</v>
      </c>
      <c r="E300" s="72" t="s">
        <v>196</v>
      </c>
      <c r="F300" s="226">
        <v>30000</v>
      </c>
      <c r="G300" s="226">
        <f t="shared" si="122"/>
        <v>861</v>
      </c>
      <c r="H300" s="226">
        <f>+F300*3.04%</f>
        <v>912</v>
      </c>
      <c r="I300" s="226"/>
      <c r="J300" s="225">
        <f>+G300+H300+I300</f>
        <v>1773</v>
      </c>
      <c r="K300" s="225">
        <f t="shared" si="116"/>
        <v>28227</v>
      </c>
      <c r="L300" s="69">
        <f t="shared" si="117"/>
        <v>0</v>
      </c>
      <c r="M300" s="225"/>
      <c r="N300" s="231">
        <v>1225</v>
      </c>
      <c r="O300" s="225">
        <f t="shared" si="112"/>
        <v>2998</v>
      </c>
      <c r="P300" s="231">
        <f t="shared" si="113"/>
        <v>27002</v>
      </c>
    </row>
    <row r="301" spans="1:16" s="229" customFormat="1" ht="35.1" customHeight="1" x14ac:dyDescent="0.2">
      <c r="A301" s="73">
        <f t="shared" ref="A301:A306" si="123">+A300+1</f>
        <v>165</v>
      </c>
      <c r="B301" s="270" t="s">
        <v>577</v>
      </c>
      <c r="C301" s="73" t="s">
        <v>346</v>
      </c>
      <c r="D301" s="72" t="s">
        <v>113</v>
      </c>
      <c r="E301" s="72" t="s">
        <v>196</v>
      </c>
      <c r="F301" s="226">
        <v>30000</v>
      </c>
      <c r="G301" s="226">
        <f t="shared" si="122"/>
        <v>861</v>
      </c>
      <c r="H301" s="226">
        <f>+F301*3.04%</f>
        <v>912</v>
      </c>
      <c r="I301" s="226"/>
      <c r="J301" s="225">
        <f>+G301+H301+I301</f>
        <v>1773</v>
      </c>
      <c r="K301" s="225">
        <f t="shared" si="116"/>
        <v>28227</v>
      </c>
      <c r="L301" s="69">
        <f t="shared" si="117"/>
        <v>0</v>
      </c>
      <c r="M301" s="225"/>
      <c r="N301" s="231">
        <v>1925</v>
      </c>
      <c r="O301" s="225">
        <f t="shared" si="112"/>
        <v>3698</v>
      </c>
      <c r="P301" s="231">
        <f t="shared" si="113"/>
        <v>26302</v>
      </c>
    </row>
    <row r="302" spans="1:16" s="229" customFormat="1" ht="35.1" customHeight="1" x14ac:dyDescent="0.2">
      <c r="A302" s="314">
        <f t="shared" si="123"/>
        <v>166</v>
      </c>
      <c r="B302" s="72" t="s">
        <v>539</v>
      </c>
      <c r="C302" s="73" t="s">
        <v>346</v>
      </c>
      <c r="D302" s="72" t="s">
        <v>113</v>
      </c>
      <c r="E302" s="72" t="s">
        <v>196</v>
      </c>
      <c r="F302" s="226">
        <v>30000</v>
      </c>
      <c r="G302" s="226">
        <f t="shared" si="122"/>
        <v>861</v>
      </c>
      <c r="H302" s="226">
        <f t="shared" ref="H302:H306" si="124">+F302*3.04%</f>
        <v>912</v>
      </c>
      <c r="I302" s="226"/>
      <c r="J302" s="225">
        <f t="shared" ref="J302:J306" si="125">+G302+H302+I302</f>
        <v>1773</v>
      </c>
      <c r="K302" s="225">
        <f t="shared" si="116"/>
        <v>28227</v>
      </c>
      <c r="L302" s="69">
        <f t="shared" si="117"/>
        <v>0</v>
      </c>
      <c r="M302" s="225"/>
      <c r="N302" s="231">
        <v>225</v>
      </c>
      <c r="O302" s="225">
        <f t="shared" si="112"/>
        <v>1998</v>
      </c>
      <c r="P302" s="227">
        <f t="shared" si="113"/>
        <v>28002</v>
      </c>
    </row>
    <row r="303" spans="1:16" s="228" customFormat="1" ht="35.1" customHeight="1" x14ac:dyDescent="0.2">
      <c r="A303" s="314">
        <f t="shared" si="123"/>
        <v>167</v>
      </c>
      <c r="B303" s="72" t="s">
        <v>609</v>
      </c>
      <c r="C303" s="73" t="s">
        <v>346</v>
      </c>
      <c r="D303" s="72" t="s">
        <v>113</v>
      </c>
      <c r="E303" s="72" t="s">
        <v>196</v>
      </c>
      <c r="F303" s="226">
        <v>30000</v>
      </c>
      <c r="G303" s="226">
        <f t="shared" si="122"/>
        <v>861</v>
      </c>
      <c r="H303" s="226">
        <f t="shared" si="124"/>
        <v>912</v>
      </c>
      <c r="I303" s="226"/>
      <c r="J303" s="225">
        <f t="shared" si="125"/>
        <v>1773</v>
      </c>
      <c r="K303" s="225">
        <f t="shared" si="116"/>
        <v>28227</v>
      </c>
      <c r="L303" s="69">
        <f t="shared" si="117"/>
        <v>0</v>
      </c>
      <c r="M303" s="225"/>
      <c r="N303" s="231">
        <v>1125</v>
      </c>
      <c r="O303" s="225">
        <f t="shared" si="112"/>
        <v>2898</v>
      </c>
      <c r="P303" s="227">
        <f t="shared" si="113"/>
        <v>27102</v>
      </c>
    </row>
    <row r="304" spans="1:16" s="228" customFormat="1" ht="35.1" customHeight="1" x14ac:dyDescent="0.2">
      <c r="A304" s="314">
        <f t="shared" si="123"/>
        <v>168</v>
      </c>
      <c r="B304" s="72" t="s">
        <v>642</v>
      </c>
      <c r="C304" s="73" t="s">
        <v>346</v>
      </c>
      <c r="D304" s="72" t="s">
        <v>113</v>
      </c>
      <c r="E304" s="72" t="s">
        <v>196</v>
      </c>
      <c r="F304" s="226">
        <v>30000</v>
      </c>
      <c r="G304" s="226">
        <f t="shared" si="122"/>
        <v>861</v>
      </c>
      <c r="H304" s="226">
        <f t="shared" si="124"/>
        <v>912</v>
      </c>
      <c r="I304" s="226"/>
      <c r="J304" s="225">
        <f t="shared" si="125"/>
        <v>1773</v>
      </c>
      <c r="K304" s="225">
        <f t="shared" si="116"/>
        <v>28227</v>
      </c>
      <c r="L304" s="69">
        <f t="shared" si="117"/>
        <v>0</v>
      </c>
      <c r="M304" s="225"/>
      <c r="N304" s="231">
        <v>25</v>
      </c>
      <c r="O304" s="225">
        <f t="shared" si="112"/>
        <v>1798</v>
      </c>
      <c r="P304" s="227">
        <f t="shared" si="113"/>
        <v>28202</v>
      </c>
    </row>
    <row r="305" spans="1:17" s="228" customFormat="1" ht="35.1" customHeight="1" x14ac:dyDescent="0.2">
      <c r="A305" s="314">
        <f t="shared" si="123"/>
        <v>169</v>
      </c>
      <c r="B305" s="72" t="s">
        <v>643</v>
      </c>
      <c r="C305" s="73" t="s">
        <v>346</v>
      </c>
      <c r="D305" s="72" t="s">
        <v>113</v>
      </c>
      <c r="E305" s="72" t="s">
        <v>196</v>
      </c>
      <c r="F305" s="226">
        <v>30000</v>
      </c>
      <c r="G305" s="226">
        <f t="shared" si="122"/>
        <v>861</v>
      </c>
      <c r="H305" s="226">
        <f t="shared" si="124"/>
        <v>912</v>
      </c>
      <c r="I305" s="226"/>
      <c r="J305" s="225">
        <f t="shared" si="125"/>
        <v>1773</v>
      </c>
      <c r="K305" s="225">
        <f t="shared" si="116"/>
        <v>28227</v>
      </c>
      <c r="L305" s="69">
        <f t="shared" si="117"/>
        <v>0</v>
      </c>
      <c r="M305" s="225"/>
      <c r="N305" s="231">
        <v>25</v>
      </c>
      <c r="O305" s="225">
        <f t="shared" si="112"/>
        <v>1798</v>
      </c>
      <c r="P305" s="227">
        <f t="shared" si="113"/>
        <v>28202</v>
      </c>
    </row>
    <row r="306" spans="1:17" s="228" customFormat="1" ht="35.1" customHeight="1" x14ac:dyDescent="0.2">
      <c r="A306" s="314">
        <f t="shared" si="123"/>
        <v>170</v>
      </c>
      <c r="B306" s="72" t="s">
        <v>654</v>
      </c>
      <c r="C306" s="73" t="s">
        <v>346</v>
      </c>
      <c r="D306" s="72" t="s">
        <v>113</v>
      </c>
      <c r="E306" s="72" t="s">
        <v>196</v>
      </c>
      <c r="F306" s="226">
        <v>30000</v>
      </c>
      <c r="G306" s="226">
        <f t="shared" si="122"/>
        <v>861</v>
      </c>
      <c r="H306" s="226">
        <f t="shared" si="124"/>
        <v>912</v>
      </c>
      <c r="I306" s="226"/>
      <c r="J306" s="225">
        <f t="shared" si="125"/>
        <v>1773</v>
      </c>
      <c r="K306" s="225">
        <f t="shared" si="116"/>
        <v>28227</v>
      </c>
      <c r="L306" s="69">
        <f t="shared" si="117"/>
        <v>0</v>
      </c>
      <c r="M306" s="225"/>
      <c r="N306" s="231">
        <v>1725</v>
      </c>
      <c r="O306" s="225">
        <f t="shared" si="112"/>
        <v>3498</v>
      </c>
      <c r="P306" s="227">
        <f t="shared" si="113"/>
        <v>26502</v>
      </c>
    </row>
    <row r="307" spans="1:17" s="228" customFormat="1" ht="35.1" customHeight="1" x14ac:dyDescent="0.2">
      <c r="A307" s="245">
        <f>+A306+1</f>
        <v>171</v>
      </c>
      <c r="B307" s="72" t="s">
        <v>179</v>
      </c>
      <c r="C307" s="245" t="s">
        <v>346</v>
      </c>
      <c r="D307" s="248" t="s">
        <v>180</v>
      </c>
      <c r="E307" s="248" t="s">
        <v>196</v>
      </c>
      <c r="F307" s="68">
        <v>30000</v>
      </c>
      <c r="G307" s="68">
        <f>F307*2.87%</f>
        <v>861</v>
      </c>
      <c r="H307" s="68">
        <f>+F307*3.04%</f>
        <v>912</v>
      </c>
      <c r="I307" s="68"/>
      <c r="J307" s="69">
        <f>+G307+H307+I307</f>
        <v>1773</v>
      </c>
      <c r="K307" s="69">
        <f>+F307-J307</f>
        <v>28227</v>
      </c>
      <c r="L307" s="69">
        <f t="shared" si="117"/>
        <v>0</v>
      </c>
      <c r="M307" s="69"/>
      <c r="N307" s="231">
        <v>6613.96</v>
      </c>
      <c r="O307" s="225">
        <f t="shared" si="112"/>
        <v>8386.9599999999991</v>
      </c>
      <c r="P307" s="244">
        <f t="shared" si="113"/>
        <v>21613.040000000001</v>
      </c>
    </row>
    <row r="308" spans="1:17" s="152" customFormat="1" ht="35.1" customHeight="1" x14ac:dyDescent="0.2">
      <c r="A308" s="233" t="s">
        <v>103</v>
      </c>
      <c r="B308" s="234"/>
      <c r="C308" s="234"/>
      <c r="D308" s="234"/>
      <c r="E308" s="250"/>
      <c r="F308" s="235">
        <f>SUM(F284:F307)</f>
        <v>848000</v>
      </c>
      <c r="G308" s="235">
        <f t="shared" ref="G308:P308" si="126">SUM(G284:G307)</f>
        <v>24337.600000000002</v>
      </c>
      <c r="H308" s="235">
        <f t="shared" si="126"/>
        <v>25779.199999999997</v>
      </c>
      <c r="I308" s="235">
        <f t="shared" si="126"/>
        <v>3430.92</v>
      </c>
      <c r="J308" s="235">
        <f t="shared" si="126"/>
        <v>53547.72</v>
      </c>
      <c r="K308" s="235">
        <f t="shared" si="126"/>
        <v>794452.28</v>
      </c>
      <c r="L308" s="235">
        <f t="shared" si="126"/>
        <v>6973.2996666666659</v>
      </c>
      <c r="M308" s="235">
        <f t="shared" si="126"/>
        <v>0</v>
      </c>
      <c r="N308" s="235">
        <f t="shared" si="126"/>
        <v>38772.129999999997</v>
      </c>
      <c r="O308" s="235">
        <f t="shared" si="126"/>
        <v>99293.149666666664</v>
      </c>
      <c r="P308" s="235">
        <f t="shared" si="126"/>
        <v>748706.85033333336</v>
      </c>
      <c r="Q308" s="336"/>
    </row>
    <row r="309" spans="1:17" s="152" customFormat="1" ht="35.1" customHeight="1" thickBot="1" x14ac:dyDescent="0.25">
      <c r="A309" s="150"/>
      <c r="B309" s="150"/>
      <c r="C309" s="150"/>
      <c r="D309" s="150"/>
      <c r="E309" s="150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</row>
    <row r="310" spans="1:17" s="152" customFormat="1" ht="35.1" customHeight="1" thickBot="1" x14ac:dyDescent="0.25">
      <c r="A310" s="239" t="s">
        <v>365</v>
      </c>
      <c r="B310" s="240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</row>
    <row r="311" spans="1:17" s="152" customFormat="1" ht="35.1" customHeight="1" x14ac:dyDescent="0.2">
      <c r="A311" s="245">
        <f>+A307+1</f>
        <v>172</v>
      </c>
      <c r="B311" s="72" t="s">
        <v>331</v>
      </c>
      <c r="C311" s="73" t="s">
        <v>347</v>
      </c>
      <c r="D311" s="91" t="s">
        <v>193</v>
      </c>
      <c r="E311" s="248" t="s">
        <v>101</v>
      </c>
      <c r="F311" s="68">
        <v>95000</v>
      </c>
      <c r="G311" s="68">
        <f t="shared" ref="G311" si="127">F311*2.87%</f>
        <v>2726.5</v>
      </c>
      <c r="H311" s="68">
        <f t="shared" ref="H311" si="128">+F311*3.04%</f>
        <v>2888</v>
      </c>
      <c r="I311" s="226">
        <f>1715.46*2</f>
        <v>3430.92</v>
      </c>
      <c r="J311" s="69">
        <f>+G311+H311+I311</f>
        <v>9045.42</v>
      </c>
      <c r="K311" s="69">
        <f>+F311-J311</f>
        <v>85954.58</v>
      </c>
      <c r="L311" s="69">
        <f t="shared" ref="L311" si="129">+IF(K311*12&lt;=416220.01,0,IF(K311*12&lt;=624329.01,(((K311*12-416220.01)*0.15)/12),IF((K311*12&lt;=867123.01),(31216+0.2*(K311*12-624329.01))/12,((79776+0.25*(K311*12-867123.01))/12))))-M311</f>
        <v>10071.582291666666</v>
      </c>
      <c r="M311" s="69"/>
      <c r="N311" s="69">
        <v>2025</v>
      </c>
      <c r="O311" s="225">
        <f>+N311+I311+H311+G311+L311</f>
        <v>21142.002291666664</v>
      </c>
      <c r="P311" s="244">
        <f>+F311-O311</f>
        <v>73857.997708333336</v>
      </c>
    </row>
    <row r="312" spans="1:17" s="152" customFormat="1" ht="35.1" customHeight="1" x14ac:dyDescent="0.2">
      <c r="A312" s="233" t="s">
        <v>103</v>
      </c>
      <c r="B312" s="234"/>
      <c r="C312" s="234"/>
      <c r="D312" s="234"/>
      <c r="E312" s="250"/>
      <c r="F312" s="235">
        <f t="shared" ref="F312:L312" si="130">SUM(F311:F311)</f>
        <v>95000</v>
      </c>
      <c r="G312" s="235">
        <f t="shared" si="130"/>
        <v>2726.5</v>
      </c>
      <c r="H312" s="235">
        <f t="shared" si="130"/>
        <v>2888</v>
      </c>
      <c r="I312" s="235">
        <f t="shared" si="130"/>
        <v>3430.92</v>
      </c>
      <c r="J312" s="235">
        <f t="shared" si="130"/>
        <v>9045.42</v>
      </c>
      <c r="K312" s="235">
        <f t="shared" si="130"/>
        <v>85954.58</v>
      </c>
      <c r="L312" s="235">
        <f t="shared" si="130"/>
        <v>10071.582291666666</v>
      </c>
      <c r="M312" s="235"/>
      <c r="N312" s="235">
        <f>SUM(N311:N311)</f>
        <v>2025</v>
      </c>
      <c r="O312" s="235">
        <f>SUM(O311:O311)</f>
        <v>21142.002291666664</v>
      </c>
      <c r="P312" s="235">
        <f>SUM(P311:P311)</f>
        <v>73857.997708333336</v>
      </c>
      <c r="Q312" s="336"/>
    </row>
    <row r="313" spans="1:17" s="229" customFormat="1" ht="35.1" customHeight="1" thickBot="1" x14ac:dyDescent="0.25">
      <c r="A313" s="150"/>
      <c r="B313" s="150"/>
      <c r="C313" s="150"/>
      <c r="D313" s="150"/>
      <c r="E313" s="150"/>
      <c r="F313" s="228"/>
      <c r="G313" s="228"/>
      <c r="H313" s="228"/>
      <c r="I313" s="228"/>
      <c r="J313" s="228"/>
      <c r="K313" s="228"/>
      <c r="L313" s="228"/>
      <c r="M313" s="228"/>
      <c r="N313" s="228"/>
      <c r="O313" s="228"/>
      <c r="P313" s="228"/>
    </row>
    <row r="314" spans="1:17" s="229" customFormat="1" ht="35.1" customHeight="1" thickBot="1" x14ac:dyDescent="0.25">
      <c r="A314" s="239" t="s">
        <v>177</v>
      </c>
      <c r="B314" s="240"/>
      <c r="C314" s="240"/>
      <c r="D314" s="240"/>
      <c r="E314" s="240"/>
      <c r="F314" s="240"/>
      <c r="G314" s="240"/>
      <c r="H314" s="240"/>
      <c r="I314" s="240"/>
      <c r="J314" s="240"/>
      <c r="K314" s="240"/>
      <c r="L314" s="240"/>
      <c r="M314" s="240"/>
      <c r="N314" s="240"/>
      <c r="O314" s="240"/>
      <c r="P314" s="240"/>
    </row>
    <row r="315" spans="1:17" s="229" customFormat="1" ht="35.1" customHeight="1" x14ac:dyDescent="0.2">
      <c r="A315" s="73">
        <f>+A311+1</f>
        <v>173</v>
      </c>
      <c r="B315" s="72" t="s">
        <v>62</v>
      </c>
      <c r="C315" s="73" t="s">
        <v>347</v>
      </c>
      <c r="D315" s="91" t="s">
        <v>597</v>
      </c>
      <c r="E315" s="72" t="s">
        <v>100</v>
      </c>
      <c r="F315" s="226">
        <v>110000</v>
      </c>
      <c r="G315" s="226">
        <f>F315*2.87%</f>
        <v>3157</v>
      </c>
      <c r="H315" s="68">
        <f>+F315*3.04%</f>
        <v>3344</v>
      </c>
      <c r="I315" s="68"/>
      <c r="J315" s="69">
        <f>+G315+H315+I315</f>
        <v>6501</v>
      </c>
      <c r="K315" s="69">
        <f>+F315-J315</f>
        <v>103499</v>
      </c>
      <c r="L315" s="69">
        <f t="shared" ref="L315:L316" si="131">+IF(K315*12&lt;=416220.01,0,IF(K315*12&lt;=624329.01,(((K315*12-416220.01)*0.15)/12),IF((K315*12&lt;=867123.01),(31216+0.2*(K315*12-624329.01))/12,((79776+0.25*(K315*12-867123.01))/12))))-M315</f>
        <v>14457.687291666667</v>
      </c>
      <c r="M315" s="69"/>
      <c r="N315" s="69">
        <v>25</v>
      </c>
      <c r="O315" s="225">
        <f>+N315+I315+H315+G315+L315</f>
        <v>20983.687291666669</v>
      </c>
      <c r="P315" s="244">
        <f>+F315-O315</f>
        <v>89016.312708333338</v>
      </c>
    </row>
    <row r="316" spans="1:17" s="229" customFormat="1" ht="35.1" customHeight="1" x14ac:dyDescent="0.2">
      <c r="A316" s="73">
        <f>+A315+1</f>
        <v>174</v>
      </c>
      <c r="B316" s="72" t="s">
        <v>286</v>
      </c>
      <c r="C316" s="73" t="s">
        <v>346</v>
      </c>
      <c r="D316" s="72" t="s">
        <v>14</v>
      </c>
      <c r="E316" s="72" t="s">
        <v>101</v>
      </c>
      <c r="F316" s="226">
        <v>40000</v>
      </c>
      <c r="G316" s="226">
        <f>F316*2.87%</f>
        <v>1148</v>
      </c>
      <c r="H316" s="68">
        <f>+F316*3.04%</f>
        <v>1216</v>
      </c>
      <c r="I316" s="68">
        <v>1715.46</v>
      </c>
      <c r="J316" s="69">
        <f>+G316+H316+I316</f>
        <v>4079.46</v>
      </c>
      <c r="K316" s="69">
        <f>+F316-J316</f>
        <v>35920.54</v>
      </c>
      <c r="L316" s="69">
        <f t="shared" si="131"/>
        <v>185.33087499999965</v>
      </c>
      <c r="M316" s="69"/>
      <c r="N316" s="225">
        <v>13203.61</v>
      </c>
      <c r="O316" s="225">
        <f>+N316+I316+H316+G316+L316</f>
        <v>17468.400874999999</v>
      </c>
      <c r="P316" s="244">
        <f>+F316-O316</f>
        <v>22531.599125000001</v>
      </c>
    </row>
    <row r="317" spans="1:17" s="229" customFormat="1" ht="35.1" customHeight="1" x14ac:dyDescent="0.2">
      <c r="A317" s="233" t="s">
        <v>103</v>
      </c>
      <c r="B317" s="234"/>
      <c r="C317" s="234"/>
      <c r="D317" s="234"/>
      <c r="E317" s="250"/>
      <c r="F317" s="235">
        <f>SUM(F315:F316)</f>
        <v>150000</v>
      </c>
      <c r="G317" s="235">
        <f t="shared" ref="G317:P317" si="132">SUM(G315:G316)</f>
        <v>4305</v>
      </c>
      <c r="H317" s="235">
        <f t="shared" si="132"/>
        <v>4560</v>
      </c>
      <c r="I317" s="235">
        <f t="shared" si="132"/>
        <v>1715.46</v>
      </c>
      <c r="J317" s="235">
        <f t="shared" si="132"/>
        <v>10580.46</v>
      </c>
      <c r="K317" s="235">
        <f t="shared" si="132"/>
        <v>139419.54</v>
      </c>
      <c r="L317" s="235">
        <f t="shared" si="132"/>
        <v>14643.018166666667</v>
      </c>
      <c r="M317" s="235">
        <f t="shared" si="132"/>
        <v>0</v>
      </c>
      <c r="N317" s="235">
        <f t="shared" si="132"/>
        <v>13228.61</v>
      </c>
      <c r="O317" s="235">
        <f t="shared" si="132"/>
        <v>38452.088166666668</v>
      </c>
      <c r="P317" s="235">
        <f t="shared" si="132"/>
        <v>111547.91183333335</v>
      </c>
      <c r="Q317" s="336"/>
    </row>
    <row r="318" spans="1:17" s="229" customFormat="1" ht="35.1" customHeight="1" thickBot="1" x14ac:dyDescent="0.25">
      <c r="A318" s="150"/>
      <c r="B318" s="150"/>
      <c r="C318" s="150"/>
      <c r="D318" s="150"/>
      <c r="E318" s="150"/>
      <c r="F318" s="236"/>
      <c r="G318" s="236"/>
      <c r="H318" s="236"/>
      <c r="I318" s="236"/>
      <c r="J318" s="236"/>
      <c r="K318" s="236"/>
      <c r="L318" s="236"/>
      <c r="M318" s="236"/>
      <c r="N318" s="236"/>
      <c r="O318" s="236"/>
      <c r="P318" s="236"/>
    </row>
    <row r="319" spans="1:17" s="229" customFormat="1" ht="35.1" customHeight="1" thickBot="1" x14ac:dyDescent="0.25">
      <c r="A319" s="239" t="s">
        <v>178</v>
      </c>
      <c r="B319" s="240"/>
      <c r="C319" s="240"/>
      <c r="D319" s="240"/>
      <c r="E319" s="240"/>
      <c r="F319" s="240"/>
      <c r="G319" s="240"/>
      <c r="H319" s="240"/>
      <c r="I319" s="240"/>
      <c r="J319" s="240"/>
      <c r="K319" s="240"/>
      <c r="L319" s="240"/>
      <c r="M319" s="240"/>
      <c r="N319" s="240"/>
      <c r="O319" s="240"/>
      <c r="P319" s="240"/>
    </row>
    <row r="320" spans="1:17" s="287" customFormat="1" ht="35.1" customHeight="1" x14ac:dyDescent="0.2">
      <c r="A320" s="245">
        <f>+A316+1</f>
        <v>175</v>
      </c>
      <c r="B320" s="72" t="s">
        <v>67</v>
      </c>
      <c r="C320" s="73" t="s">
        <v>346</v>
      </c>
      <c r="D320" s="72" t="s">
        <v>86</v>
      </c>
      <c r="E320" s="72" t="s">
        <v>100</v>
      </c>
      <c r="F320" s="226">
        <v>60000</v>
      </c>
      <c r="G320" s="68">
        <f>F320*2.87%</f>
        <v>1722</v>
      </c>
      <c r="H320" s="68">
        <f>+F320*3.04%</f>
        <v>1824</v>
      </c>
      <c r="I320" s="68">
        <v>1715.46</v>
      </c>
      <c r="J320" s="69">
        <f>+G320+H320+I320</f>
        <v>5261.46</v>
      </c>
      <c r="K320" s="69">
        <f>+F320-J320</f>
        <v>54738.54</v>
      </c>
      <c r="L320" s="69">
        <f>+IF(K320*12&lt;=416220.01,0,IF(K320*12&lt;=624329.01,(((K320*12-416220.01)*0.15)/12),IF((K320*12&lt;=867123.01),(31216+0.2*(K320*12-624329.01))/12,((79776+0.25*(K320*12-867123.01))/12))))-M320</f>
        <v>3143.5578333333328</v>
      </c>
      <c r="M320" s="69"/>
      <c r="N320" s="225">
        <v>5025</v>
      </c>
      <c r="O320" s="225">
        <f>+N320+I320+H320+G320+L320</f>
        <v>13430.017833333332</v>
      </c>
      <c r="P320" s="244">
        <f>+F320-O320</f>
        <v>46569.982166666668</v>
      </c>
    </row>
    <row r="321" spans="1:17" s="229" customFormat="1" ht="35.1" customHeight="1" x14ac:dyDescent="0.2">
      <c r="A321" s="233" t="s">
        <v>103</v>
      </c>
      <c r="B321" s="234"/>
      <c r="C321" s="234"/>
      <c r="D321" s="234"/>
      <c r="E321" s="250"/>
      <c r="F321" s="235">
        <f>SUM(F320:F320)</f>
        <v>60000</v>
      </c>
      <c r="G321" s="235">
        <f t="shared" ref="G321:P321" si="133">SUM(G320:G320)</f>
        <v>1722</v>
      </c>
      <c r="H321" s="235">
        <f t="shared" si="133"/>
        <v>1824</v>
      </c>
      <c r="I321" s="235">
        <f t="shared" si="133"/>
        <v>1715.46</v>
      </c>
      <c r="J321" s="235">
        <f t="shared" si="133"/>
        <v>5261.46</v>
      </c>
      <c r="K321" s="235">
        <f t="shared" si="133"/>
        <v>54738.54</v>
      </c>
      <c r="L321" s="235">
        <f t="shared" si="133"/>
        <v>3143.5578333333328</v>
      </c>
      <c r="M321" s="235"/>
      <c r="N321" s="235">
        <f t="shared" si="133"/>
        <v>5025</v>
      </c>
      <c r="O321" s="235">
        <f t="shared" si="133"/>
        <v>13430.017833333332</v>
      </c>
      <c r="P321" s="235">
        <f t="shared" si="133"/>
        <v>46569.982166666668</v>
      </c>
      <c r="Q321" s="336"/>
    </row>
    <row r="322" spans="1:17" s="228" customFormat="1" ht="35.1" customHeight="1" thickBot="1" x14ac:dyDescent="0.25">
      <c r="A322" s="150"/>
      <c r="B322" s="150"/>
      <c r="C322" s="150"/>
      <c r="D322" s="150"/>
      <c r="E322" s="150"/>
      <c r="F322" s="236"/>
      <c r="G322" s="236"/>
      <c r="H322" s="236"/>
      <c r="I322" s="236"/>
      <c r="J322" s="236"/>
      <c r="K322" s="236"/>
      <c r="L322" s="236"/>
      <c r="M322" s="236"/>
      <c r="N322" s="236"/>
      <c r="O322" s="236"/>
      <c r="P322" s="236"/>
    </row>
    <row r="323" spans="1:17" s="229" customFormat="1" ht="35.1" customHeight="1" thickBot="1" x14ac:dyDescent="0.25">
      <c r="A323" s="239" t="s">
        <v>287</v>
      </c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</row>
    <row r="324" spans="1:17" s="228" customFormat="1" ht="35.1" customHeight="1" x14ac:dyDescent="0.2">
      <c r="A324" s="245">
        <f>+A320+1</f>
        <v>176</v>
      </c>
      <c r="B324" s="248" t="s">
        <v>289</v>
      </c>
      <c r="C324" s="245" t="s">
        <v>346</v>
      </c>
      <c r="D324" s="248" t="s">
        <v>288</v>
      </c>
      <c r="E324" s="248" t="s">
        <v>196</v>
      </c>
      <c r="F324" s="68">
        <v>45000</v>
      </c>
      <c r="G324" s="68">
        <f t="shared" ref="G324" si="134">F324*2.87%</f>
        <v>1291.5</v>
      </c>
      <c r="H324" s="68">
        <f t="shared" ref="H324" si="135">+F324*3.04%</f>
        <v>1368</v>
      </c>
      <c r="I324" s="68"/>
      <c r="J324" s="69">
        <f>+G324+H324+I324</f>
        <v>2659.5</v>
      </c>
      <c r="K324" s="69">
        <f>+F324-J324</f>
        <v>42340.5</v>
      </c>
      <c r="L324" s="69">
        <f>+IF(K324*12&lt;=416220.01,0,IF(K324*12&lt;=624329.01,(((K324*12-416220.01)*0.15)/12),IF((K324*12&lt;=867123.01),(31216+0.2*(K324*12-624329.01))/12,((79776+0.25*(K324*12-867123.01))/12))))-M324</f>
        <v>1148.3248749999998</v>
      </c>
      <c r="M324" s="69"/>
      <c r="N324" s="231">
        <v>1225</v>
      </c>
      <c r="O324" s="225">
        <f>+N324+I324+H324+G324+L324</f>
        <v>5032.8248750000002</v>
      </c>
      <c r="P324" s="244">
        <f>+F324-O324</f>
        <v>39967.175125000002</v>
      </c>
    </row>
    <row r="325" spans="1:17" s="287" customFormat="1" ht="35.1" customHeight="1" x14ac:dyDescent="0.2">
      <c r="A325" s="245">
        <f>+A324+1</f>
        <v>177</v>
      </c>
      <c r="B325" s="248" t="s">
        <v>349</v>
      </c>
      <c r="C325" s="245" t="s">
        <v>346</v>
      </c>
      <c r="D325" s="285" t="s">
        <v>288</v>
      </c>
      <c r="E325" s="248" t="s">
        <v>196</v>
      </c>
      <c r="F325" s="68">
        <v>35000</v>
      </c>
      <c r="G325" s="68">
        <f>F325*2.87%</f>
        <v>1004.5</v>
      </c>
      <c r="H325" s="68">
        <f>+F325*3.04%</f>
        <v>1064</v>
      </c>
      <c r="I325" s="68"/>
      <c r="J325" s="69">
        <f>+G325+H325+I325</f>
        <v>2068.5</v>
      </c>
      <c r="K325" s="69">
        <f t="shared" ref="K325:K326" si="136">+F325-J325</f>
        <v>32931.5</v>
      </c>
      <c r="L325" s="69">
        <f t="shared" ref="L325:L326" si="137">+IF(K325*12&lt;=416220.01,0,IF(K325*12&lt;=624329.01,(((K325*12-416220.01)*0.15)/12),IF((K325*12&lt;=867123.01),(31216+0.2*(K325*12-624329.01))/12,((79776+0.25*(K325*12-867123.01))/12))))-M325</f>
        <v>0</v>
      </c>
      <c r="M325" s="69"/>
      <c r="N325" s="231">
        <v>225</v>
      </c>
      <c r="O325" s="225">
        <f>+N325+I325+H325+G325+L325</f>
        <v>2293.5</v>
      </c>
      <c r="P325" s="87">
        <f>+F325-O325</f>
        <v>32706.5</v>
      </c>
    </row>
    <row r="326" spans="1:17" s="229" customFormat="1" ht="35.1" customHeight="1" x14ac:dyDescent="0.2">
      <c r="A326" s="245">
        <f>+A325+1</f>
        <v>178</v>
      </c>
      <c r="B326" s="248" t="s">
        <v>526</v>
      </c>
      <c r="C326" s="245" t="s">
        <v>346</v>
      </c>
      <c r="D326" s="248" t="s">
        <v>288</v>
      </c>
      <c r="E326" s="248" t="s">
        <v>196</v>
      </c>
      <c r="F326" s="68">
        <v>38000</v>
      </c>
      <c r="G326" s="68">
        <f t="shared" ref="G326" si="138">F326*2.87%</f>
        <v>1090.5999999999999</v>
      </c>
      <c r="H326" s="68">
        <f t="shared" ref="H326" si="139">+F326*3.04%</f>
        <v>1155.2</v>
      </c>
      <c r="I326" s="68"/>
      <c r="J326" s="69">
        <f>+G326+H326+I326</f>
        <v>2245.8000000000002</v>
      </c>
      <c r="K326" s="69">
        <f t="shared" si="136"/>
        <v>35754.199999999997</v>
      </c>
      <c r="L326" s="69">
        <f t="shared" si="137"/>
        <v>160.37987499999943</v>
      </c>
      <c r="M326" s="69"/>
      <c r="N326" s="231">
        <v>225</v>
      </c>
      <c r="O326" s="225">
        <f>+N326+I326+H326+G326+L326</f>
        <v>2631.1798749999998</v>
      </c>
      <c r="P326" s="244">
        <f>+F326-O326</f>
        <v>35368.820124999998</v>
      </c>
    </row>
    <row r="327" spans="1:17" s="229" customFormat="1" ht="35.1" customHeight="1" x14ac:dyDescent="0.2">
      <c r="A327" s="233" t="s">
        <v>103</v>
      </c>
      <c r="B327" s="234"/>
      <c r="C327" s="234"/>
      <c r="D327" s="234"/>
      <c r="E327" s="250"/>
      <c r="F327" s="235">
        <f t="shared" ref="F327:P327" si="140">SUM(F324:F326)</f>
        <v>118000</v>
      </c>
      <c r="G327" s="235">
        <f t="shared" si="140"/>
        <v>3386.6</v>
      </c>
      <c r="H327" s="235">
        <f t="shared" si="140"/>
        <v>3587.2</v>
      </c>
      <c r="I327" s="235">
        <f t="shared" si="140"/>
        <v>0</v>
      </c>
      <c r="J327" s="235">
        <f t="shared" si="140"/>
        <v>6973.8</v>
      </c>
      <c r="K327" s="235">
        <f t="shared" si="140"/>
        <v>111026.2</v>
      </c>
      <c r="L327" s="235">
        <f t="shared" si="140"/>
        <v>1308.7047499999992</v>
      </c>
      <c r="M327" s="235">
        <f t="shared" si="140"/>
        <v>0</v>
      </c>
      <c r="N327" s="235">
        <f t="shared" si="140"/>
        <v>1675</v>
      </c>
      <c r="O327" s="235">
        <f t="shared" si="140"/>
        <v>9957.5047500000001</v>
      </c>
      <c r="P327" s="235">
        <f t="shared" si="140"/>
        <v>108042.49525000001</v>
      </c>
      <c r="Q327" s="336"/>
    </row>
    <row r="328" spans="1:17" s="153" customFormat="1" ht="35.1" customHeight="1" x14ac:dyDescent="0.2">
      <c r="A328" s="150"/>
      <c r="B328" s="150"/>
      <c r="C328" s="150"/>
      <c r="D328" s="150"/>
      <c r="E328" s="150"/>
      <c r="F328" s="236"/>
      <c r="G328" s="236"/>
      <c r="H328" s="236"/>
      <c r="I328" s="236"/>
      <c r="J328" s="236"/>
      <c r="K328" s="236"/>
      <c r="L328" s="236"/>
      <c r="M328" s="236"/>
      <c r="N328" s="236"/>
      <c r="O328" s="236"/>
      <c r="P328" s="236"/>
    </row>
    <row r="329" spans="1:17" s="229" customFormat="1" ht="35.1" customHeight="1" thickBot="1" x14ac:dyDescent="0.25">
      <c r="A329" s="150"/>
      <c r="B329" s="150"/>
      <c r="C329" s="150"/>
      <c r="D329" s="150"/>
      <c r="E329" s="150"/>
      <c r="F329" s="236"/>
      <c r="G329" s="236"/>
      <c r="H329" s="236"/>
      <c r="I329" s="236"/>
      <c r="J329" s="236"/>
      <c r="K329" s="236"/>
      <c r="L329" s="236"/>
      <c r="M329" s="236"/>
      <c r="N329" s="236"/>
      <c r="O329" s="236"/>
      <c r="P329" s="236"/>
    </row>
    <row r="330" spans="1:17" s="153" customFormat="1" ht="35.1" customHeight="1" thickBot="1" x14ac:dyDescent="0.25">
      <c r="A330" s="239" t="s">
        <v>151</v>
      </c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</row>
    <row r="331" spans="1:17" s="153" customFormat="1" ht="35.1" customHeight="1" x14ac:dyDescent="0.2">
      <c r="A331" s="223">
        <f>+A326+1</f>
        <v>179</v>
      </c>
      <c r="B331" s="224" t="s">
        <v>33</v>
      </c>
      <c r="C331" s="223" t="s">
        <v>347</v>
      </c>
      <c r="D331" s="232" t="s">
        <v>199</v>
      </c>
      <c r="E331" s="72" t="s">
        <v>101</v>
      </c>
      <c r="F331" s="225">
        <v>80000</v>
      </c>
      <c r="G331" s="225">
        <f>F331*2.87%</f>
        <v>2296</v>
      </c>
      <c r="H331" s="225">
        <f>+F331*3.04%</f>
        <v>2432</v>
      </c>
      <c r="I331" s="225"/>
      <c r="J331" s="225">
        <f>+G331+H331+I331</f>
        <v>4728</v>
      </c>
      <c r="K331" s="225">
        <f>+F331-J331</f>
        <v>75272</v>
      </c>
      <c r="L331" s="69">
        <f t="shared" ref="L331:L346" si="141">+IF(K331*12&lt;=416220.01,0,IF(K331*12&lt;=624329.01,(((K331*12-416220.01)*0.15)/12),IF((K331*12&lt;=867123.01),(31216+0.2*(K331*12-624329.01))/12,((79776+0.25*(K331*12-867123.01))/12))))</f>
        <v>7400.9372916666662</v>
      </c>
      <c r="M331" s="225"/>
      <c r="N331" s="231">
        <v>4846.53</v>
      </c>
      <c r="O331" s="225">
        <f t="shared" ref="O331:O346" si="142">+N331+I331+H331+G331+L331</f>
        <v>16975.467291666664</v>
      </c>
      <c r="P331" s="231">
        <f t="shared" ref="P331:P346" si="143">+F331-O331</f>
        <v>63024.53270833334</v>
      </c>
    </row>
    <row r="332" spans="1:17" s="153" customFormat="1" ht="35.1" customHeight="1" x14ac:dyDescent="0.2">
      <c r="A332" s="223">
        <f>+A331+1</f>
        <v>180</v>
      </c>
      <c r="B332" s="224" t="s">
        <v>290</v>
      </c>
      <c r="C332" s="223" t="s">
        <v>347</v>
      </c>
      <c r="D332" s="232" t="s">
        <v>89</v>
      </c>
      <c r="E332" s="72" t="s">
        <v>101</v>
      </c>
      <c r="F332" s="225">
        <v>80000</v>
      </c>
      <c r="G332" s="225">
        <f>F332*2.87%</f>
        <v>2296</v>
      </c>
      <c r="H332" s="225">
        <f t="shared" ref="H332:H337" si="144">+F332*3.04%</f>
        <v>2432</v>
      </c>
      <c r="I332" s="225">
        <v>1715.46</v>
      </c>
      <c r="J332" s="225">
        <f>+G332+H332+I332</f>
        <v>6443.46</v>
      </c>
      <c r="K332" s="225">
        <f t="shared" ref="K332:K345" si="145">+F332-J332</f>
        <v>73556.539999999994</v>
      </c>
      <c r="L332" s="69">
        <f t="shared" si="141"/>
        <v>6972.0722916666664</v>
      </c>
      <c r="M332" s="225"/>
      <c r="N332" s="231">
        <v>9323.42</v>
      </c>
      <c r="O332" s="225">
        <f t="shared" si="142"/>
        <v>22738.952291666668</v>
      </c>
      <c r="P332" s="231">
        <f t="shared" si="143"/>
        <v>57261.047708333332</v>
      </c>
    </row>
    <row r="333" spans="1:17" s="152" customFormat="1" ht="35.1" customHeight="1" x14ac:dyDescent="0.2">
      <c r="A333" s="223">
        <f>+A332+1</f>
        <v>181</v>
      </c>
      <c r="B333" s="224" t="s">
        <v>296</v>
      </c>
      <c r="C333" s="223" t="s">
        <v>347</v>
      </c>
      <c r="D333" s="232" t="s">
        <v>292</v>
      </c>
      <c r="E333" s="72" t="s">
        <v>101</v>
      </c>
      <c r="F333" s="225">
        <v>55000</v>
      </c>
      <c r="G333" s="225">
        <f>F333*2.87%</f>
        <v>1578.5</v>
      </c>
      <c r="H333" s="225">
        <f>+F333*3.04%</f>
        <v>1672</v>
      </c>
      <c r="I333" s="225">
        <v>1715.46</v>
      </c>
      <c r="J333" s="225">
        <f>+G333+H333+I333</f>
        <v>4965.96</v>
      </c>
      <c r="K333" s="225">
        <f t="shared" si="145"/>
        <v>50034.04</v>
      </c>
      <c r="L333" s="69">
        <f t="shared" si="141"/>
        <v>2302.3558749999997</v>
      </c>
      <c r="M333" s="225"/>
      <c r="N333" s="231">
        <v>2587.7199999999998</v>
      </c>
      <c r="O333" s="225">
        <f t="shared" si="142"/>
        <v>9856.0358749999996</v>
      </c>
      <c r="P333" s="231">
        <f t="shared" si="143"/>
        <v>45143.964124999999</v>
      </c>
    </row>
    <row r="334" spans="1:17" s="153" customFormat="1" ht="35.1" customHeight="1" x14ac:dyDescent="0.2">
      <c r="A334" s="223">
        <f>+A333+1</f>
        <v>182</v>
      </c>
      <c r="B334" s="224" t="s">
        <v>5</v>
      </c>
      <c r="C334" s="223" t="s">
        <v>347</v>
      </c>
      <c r="D334" s="232" t="s">
        <v>293</v>
      </c>
      <c r="E334" s="72" t="s">
        <v>101</v>
      </c>
      <c r="F334" s="225">
        <v>47500</v>
      </c>
      <c r="G334" s="225">
        <f t="shared" ref="G334:G337" si="146">F334*2.87%</f>
        <v>1363.25</v>
      </c>
      <c r="H334" s="225">
        <f t="shared" si="144"/>
        <v>1444</v>
      </c>
      <c r="I334" s="225">
        <v>1715.46</v>
      </c>
      <c r="J334" s="225">
        <f t="shared" ref="J334:J337" si="147">+G334+H334+I334</f>
        <v>4522.71</v>
      </c>
      <c r="K334" s="225">
        <f t="shared" si="145"/>
        <v>42977.29</v>
      </c>
      <c r="L334" s="69">
        <f t="shared" si="141"/>
        <v>1243.8433749999997</v>
      </c>
      <c r="M334" s="225"/>
      <c r="N334" s="231">
        <v>225</v>
      </c>
      <c r="O334" s="225">
        <f t="shared" si="142"/>
        <v>5991.5533749999995</v>
      </c>
      <c r="P334" s="231">
        <f t="shared" si="143"/>
        <v>41508.446624999997</v>
      </c>
    </row>
    <row r="335" spans="1:17" s="153" customFormat="1" ht="35.1" customHeight="1" x14ac:dyDescent="0.2">
      <c r="A335" s="223">
        <f t="shared" ref="A335:A339" si="148">+A334+1</f>
        <v>183</v>
      </c>
      <c r="B335" s="224" t="s">
        <v>32</v>
      </c>
      <c r="C335" s="223" t="s">
        <v>347</v>
      </c>
      <c r="D335" s="232" t="s">
        <v>293</v>
      </c>
      <c r="E335" s="72" t="s">
        <v>101</v>
      </c>
      <c r="F335" s="225">
        <v>47500</v>
      </c>
      <c r="G335" s="225">
        <f t="shared" si="146"/>
        <v>1363.25</v>
      </c>
      <c r="H335" s="225">
        <f t="shared" si="144"/>
        <v>1444</v>
      </c>
      <c r="I335" s="225">
        <v>1715.46</v>
      </c>
      <c r="J335" s="225">
        <f t="shared" si="147"/>
        <v>4522.71</v>
      </c>
      <c r="K335" s="225">
        <f t="shared" si="145"/>
        <v>42977.29</v>
      </c>
      <c r="L335" s="69">
        <f t="shared" si="141"/>
        <v>1243.8433749999997</v>
      </c>
      <c r="M335" s="225"/>
      <c r="N335" s="231">
        <v>1725</v>
      </c>
      <c r="O335" s="225">
        <f t="shared" si="142"/>
        <v>7491.5533749999995</v>
      </c>
      <c r="P335" s="231">
        <f t="shared" si="143"/>
        <v>40008.446624999997</v>
      </c>
    </row>
    <row r="336" spans="1:17" s="152" customFormat="1" ht="35.1" customHeight="1" x14ac:dyDescent="0.2">
      <c r="A336" s="223">
        <f t="shared" si="148"/>
        <v>184</v>
      </c>
      <c r="B336" s="224" t="s">
        <v>299</v>
      </c>
      <c r="C336" s="223" t="s">
        <v>347</v>
      </c>
      <c r="D336" s="232" t="s">
        <v>292</v>
      </c>
      <c r="E336" s="72" t="s">
        <v>101</v>
      </c>
      <c r="F336" s="225">
        <v>47500</v>
      </c>
      <c r="G336" s="225">
        <f t="shared" si="146"/>
        <v>1363.25</v>
      </c>
      <c r="H336" s="225">
        <f t="shared" si="144"/>
        <v>1444</v>
      </c>
      <c r="I336" s="225">
        <v>3430.92</v>
      </c>
      <c r="J336" s="225">
        <f>+G336+H336+I336</f>
        <v>6238.17</v>
      </c>
      <c r="K336" s="225">
        <f t="shared" si="145"/>
        <v>41261.83</v>
      </c>
      <c r="L336" s="69">
        <f t="shared" si="141"/>
        <v>986.52437500000008</v>
      </c>
      <c r="M336" s="225"/>
      <c r="N336" s="231">
        <v>4692.95</v>
      </c>
      <c r="O336" s="225">
        <f t="shared" si="142"/>
        <v>11917.644375</v>
      </c>
      <c r="P336" s="231">
        <f t="shared" si="143"/>
        <v>35582.355624999997</v>
      </c>
    </row>
    <row r="337" spans="1:17" s="229" customFormat="1" ht="35.1" customHeight="1" x14ac:dyDescent="0.2">
      <c r="A337" s="223">
        <f t="shared" si="148"/>
        <v>185</v>
      </c>
      <c r="B337" s="224" t="s">
        <v>294</v>
      </c>
      <c r="C337" s="223" t="s">
        <v>346</v>
      </c>
      <c r="D337" s="232" t="s">
        <v>292</v>
      </c>
      <c r="E337" s="72" t="s">
        <v>101</v>
      </c>
      <c r="F337" s="225">
        <v>47500</v>
      </c>
      <c r="G337" s="225">
        <f t="shared" si="146"/>
        <v>1363.25</v>
      </c>
      <c r="H337" s="225">
        <f t="shared" si="144"/>
        <v>1444</v>
      </c>
      <c r="I337" s="225"/>
      <c r="J337" s="225">
        <f t="shared" si="147"/>
        <v>2807.25</v>
      </c>
      <c r="K337" s="225">
        <f t="shared" si="145"/>
        <v>44692.75</v>
      </c>
      <c r="L337" s="69">
        <f t="shared" si="141"/>
        <v>1501.1623749999999</v>
      </c>
      <c r="M337" s="225"/>
      <c r="N337" s="231">
        <v>10419.86</v>
      </c>
      <c r="O337" s="225">
        <f t="shared" si="142"/>
        <v>14728.272375</v>
      </c>
      <c r="P337" s="231">
        <f t="shared" si="143"/>
        <v>32771.727625</v>
      </c>
    </row>
    <row r="338" spans="1:17" s="229" customFormat="1" ht="35.1" customHeight="1" x14ac:dyDescent="0.2">
      <c r="A338" s="223">
        <f t="shared" si="148"/>
        <v>186</v>
      </c>
      <c r="B338" s="224" t="s">
        <v>297</v>
      </c>
      <c r="C338" s="223" t="s">
        <v>347</v>
      </c>
      <c r="D338" s="232" t="s">
        <v>292</v>
      </c>
      <c r="E338" s="72" t="s">
        <v>101</v>
      </c>
      <c r="F338" s="225">
        <v>47500</v>
      </c>
      <c r="G338" s="225">
        <f t="shared" ref="G338:G346" si="149">F338*2.87%</f>
        <v>1363.25</v>
      </c>
      <c r="H338" s="225">
        <f t="shared" ref="H338:H346" si="150">+F338*3.04%</f>
        <v>1444</v>
      </c>
      <c r="I338" s="225"/>
      <c r="J338" s="225">
        <f t="shared" ref="J338:J344" si="151">+G338+H338+I338</f>
        <v>2807.25</v>
      </c>
      <c r="K338" s="225">
        <f t="shared" si="145"/>
        <v>44692.75</v>
      </c>
      <c r="L338" s="69">
        <f t="shared" si="141"/>
        <v>1501.1623749999999</v>
      </c>
      <c r="M338" s="225"/>
      <c r="N338" s="231">
        <v>3633.66</v>
      </c>
      <c r="O338" s="225">
        <f t="shared" si="142"/>
        <v>7942.0723749999997</v>
      </c>
      <c r="P338" s="231">
        <f t="shared" si="143"/>
        <v>39557.927624999997</v>
      </c>
    </row>
    <row r="339" spans="1:17" s="229" customFormat="1" ht="35.1" customHeight="1" x14ac:dyDescent="0.2">
      <c r="A339" s="223">
        <f t="shared" si="148"/>
        <v>187</v>
      </c>
      <c r="B339" s="224" t="s">
        <v>31</v>
      </c>
      <c r="C339" s="223" t="s">
        <v>347</v>
      </c>
      <c r="D339" s="232" t="s">
        <v>292</v>
      </c>
      <c r="E339" s="72" t="s">
        <v>101</v>
      </c>
      <c r="F339" s="225">
        <v>47500</v>
      </c>
      <c r="G339" s="225">
        <f t="shared" si="149"/>
        <v>1363.25</v>
      </c>
      <c r="H339" s="225">
        <f t="shared" si="150"/>
        <v>1444</v>
      </c>
      <c r="I339" s="225">
        <v>1715.46</v>
      </c>
      <c r="J339" s="225">
        <f t="shared" si="151"/>
        <v>4522.71</v>
      </c>
      <c r="K339" s="225">
        <f t="shared" si="145"/>
        <v>42977.29</v>
      </c>
      <c r="L339" s="69">
        <f t="shared" si="141"/>
        <v>1243.8433749999997</v>
      </c>
      <c r="M339" s="225"/>
      <c r="N339" s="231">
        <v>12733.49</v>
      </c>
      <c r="O339" s="225">
        <f t="shared" si="142"/>
        <v>18500.043375000001</v>
      </c>
      <c r="P339" s="231">
        <f t="shared" si="143"/>
        <v>28999.956624999999</v>
      </c>
    </row>
    <row r="340" spans="1:17" s="152" customFormat="1" ht="35.1" customHeight="1" x14ac:dyDescent="0.2">
      <c r="A340" s="223">
        <f>+A339+1</f>
        <v>188</v>
      </c>
      <c r="B340" s="224" t="s">
        <v>15</v>
      </c>
      <c r="C340" s="223" t="s">
        <v>347</v>
      </c>
      <c r="D340" s="232" t="s">
        <v>292</v>
      </c>
      <c r="E340" s="72" t="s">
        <v>100</v>
      </c>
      <c r="F340" s="225">
        <v>40000</v>
      </c>
      <c r="G340" s="225">
        <f>F340*2.87%</f>
        <v>1148</v>
      </c>
      <c r="H340" s="225">
        <f>+F340*3.04%</f>
        <v>1216</v>
      </c>
      <c r="I340" s="225">
        <v>1715.46</v>
      </c>
      <c r="J340" s="225">
        <f>+G340+H340+I340</f>
        <v>4079.46</v>
      </c>
      <c r="K340" s="225">
        <f>+F340-J340</f>
        <v>35920.54</v>
      </c>
      <c r="L340" s="69">
        <f t="shared" si="141"/>
        <v>185.33087499999965</v>
      </c>
      <c r="M340" s="225"/>
      <c r="N340" s="231">
        <v>19521.95</v>
      </c>
      <c r="O340" s="225">
        <f t="shared" si="142"/>
        <v>23786.740875</v>
      </c>
      <c r="P340" s="231">
        <f t="shared" si="143"/>
        <v>16213.259125</v>
      </c>
    </row>
    <row r="341" spans="1:17" s="152" customFormat="1" ht="35.1" customHeight="1" x14ac:dyDescent="0.2">
      <c r="A341" s="223">
        <f>+A340+1</f>
        <v>189</v>
      </c>
      <c r="B341" s="224" t="s">
        <v>298</v>
      </c>
      <c r="C341" s="223" t="s">
        <v>347</v>
      </c>
      <c r="D341" s="232" t="s">
        <v>18</v>
      </c>
      <c r="E341" s="72" t="s">
        <v>101</v>
      </c>
      <c r="F341" s="225">
        <v>42500</v>
      </c>
      <c r="G341" s="225">
        <f>F341*2.87%</f>
        <v>1219.75</v>
      </c>
      <c r="H341" s="225">
        <f t="shared" ref="H341:H343" si="152">+F341*3.04%</f>
        <v>1292</v>
      </c>
      <c r="I341" s="225">
        <v>1715.46</v>
      </c>
      <c r="J341" s="225">
        <f>+G341+H341+I341</f>
        <v>4227.21</v>
      </c>
      <c r="K341" s="225">
        <f t="shared" si="145"/>
        <v>38272.79</v>
      </c>
      <c r="L341" s="69">
        <f t="shared" si="141"/>
        <v>538.16837499999963</v>
      </c>
      <c r="M341" s="225"/>
      <c r="N341" s="231">
        <v>345</v>
      </c>
      <c r="O341" s="225">
        <f t="shared" si="142"/>
        <v>5110.3783749999993</v>
      </c>
      <c r="P341" s="231">
        <f t="shared" si="143"/>
        <v>37389.621625</v>
      </c>
    </row>
    <row r="342" spans="1:17" s="229" customFormat="1" ht="35.1" customHeight="1" x14ac:dyDescent="0.2">
      <c r="A342" s="223">
        <f>+A341+1</f>
        <v>190</v>
      </c>
      <c r="B342" s="224" t="s">
        <v>301</v>
      </c>
      <c r="C342" s="223" t="s">
        <v>346</v>
      </c>
      <c r="D342" s="232" t="s">
        <v>80</v>
      </c>
      <c r="E342" s="72" t="s">
        <v>101</v>
      </c>
      <c r="F342" s="225">
        <v>38000</v>
      </c>
      <c r="G342" s="225">
        <f>F342*2.87%</f>
        <v>1090.5999999999999</v>
      </c>
      <c r="H342" s="225">
        <f t="shared" si="152"/>
        <v>1155.2</v>
      </c>
      <c r="I342" s="225"/>
      <c r="J342" s="225">
        <f>+G342+H342+I342</f>
        <v>2245.8000000000002</v>
      </c>
      <c r="K342" s="225">
        <f>+F342-J342</f>
        <v>35754.199999999997</v>
      </c>
      <c r="L342" s="69">
        <v>0</v>
      </c>
      <c r="M342" s="225"/>
      <c r="N342" s="231">
        <v>5968.01</v>
      </c>
      <c r="O342" s="225">
        <f t="shared" si="142"/>
        <v>8213.81</v>
      </c>
      <c r="P342" s="231">
        <f t="shared" si="143"/>
        <v>29786.190000000002</v>
      </c>
    </row>
    <row r="343" spans="1:17" s="152" customFormat="1" ht="35.1" customHeight="1" x14ac:dyDescent="0.2">
      <c r="A343" s="223">
        <f>+A342+1</f>
        <v>191</v>
      </c>
      <c r="B343" s="224" t="s">
        <v>456</v>
      </c>
      <c r="C343" s="223" t="s">
        <v>346</v>
      </c>
      <c r="D343" s="232" t="s">
        <v>18</v>
      </c>
      <c r="E343" s="72" t="s">
        <v>101</v>
      </c>
      <c r="F343" s="225">
        <v>38000</v>
      </c>
      <c r="G343" s="225">
        <f t="shared" ref="G343" si="153">F343*2.87%</f>
        <v>1090.5999999999999</v>
      </c>
      <c r="H343" s="225">
        <f t="shared" si="152"/>
        <v>1155.2</v>
      </c>
      <c r="I343" s="225">
        <v>0</v>
      </c>
      <c r="J343" s="225">
        <f t="shared" ref="J343" si="154">+G343+H343+I343</f>
        <v>2245.8000000000002</v>
      </c>
      <c r="K343" s="225">
        <f t="shared" si="145"/>
        <v>35754.199999999997</v>
      </c>
      <c r="L343" s="69">
        <v>0</v>
      </c>
      <c r="M343" s="225"/>
      <c r="N343" s="231">
        <v>25</v>
      </c>
      <c r="O343" s="225">
        <f t="shared" si="142"/>
        <v>2270.8000000000002</v>
      </c>
      <c r="P343" s="231">
        <f t="shared" si="143"/>
        <v>35729.199999999997</v>
      </c>
    </row>
    <row r="344" spans="1:17" s="229" customFormat="1" ht="35.1" customHeight="1" x14ac:dyDescent="0.2">
      <c r="A344" s="223">
        <f t="shared" ref="A344:A346" si="155">+A343+1</f>
        <v>192</v>
      </c>
      <c r="B344" s="224" t="s">
        <v>35</v>
      </c>
      <c r="C344" s="223" t="s">
        <v>347</v>
      </c>
      <c r="D344" s="232" t="s">
        <v>295</v>
      </c>
      <c r="E344" s="72" t="s">
        <v>101</v>
      </c>
      <c r="F344" s="225">
        <v>35000</v>
      </c>
      <c r="G344" s="225">
        <f t="shared" si="149"/>
        <v>1004.5</v>
      </c>
      <c r="H344" s="225">
        <f t="shared" si="150"/>
        <v>1064</v>
      </c>
      <c r="I344" s="225">
        <v>1715.46</v>
      </c>
      <c r="J344" s="225">
        <f t="shared" si="151"/>
        <v>3783.96</v>
      </c>
      <c r="K344" s="225">
        <f t="shared" si="145"/>
        <v>31216.04</v>
      </c>
      <c r="L344" s="69">
        <f t="shared" si="141"/>
        <v>0</v>
      </c>
      <c r="M344" s="225"/>
      <c r="N344" s="231">
        <v>2425</v>
      </c>
      <c r="O344" s="225">
        <f t="shared" si="142"/>
        <v>6208.96</v>
      </c>
      <c r="P344" s="231">
        <f t="shared" si="143"/>
        <v>28791.040000000001</v>
      </c>
    </row>
    <row r="345" spans="1:17" s="229" customFormat="1" ht="35.1" customHeight="1" x14ac:dyDescent="0.2">
      <c r="A345" s="223">
        <f t="shared" si="155"/>
        <v>193</v>
      </c>
      <c r="B345" s="224" t="s">
        <v>300</v>
      </c>
      <c r="C345" s="223" t="s">
        <v>346</v>
      </c>
      <c r="D345" s="232" t="s">
        <v>80</v>
      </c>
      <c r="E345" s="72" t="s">
        <v>196</v>
      </c>
      <c r="F345" s="225">
        <v>28000</v>
      </c>
      <c r="G345" s="225">
        <f t="shared" si="149"/>
        <v>803.6</v>
      </c>
      <c r="H345" s="225">
        <f t="shared" si="150"/>
        <v>851.2</v>
      </c>
      <c r="I345" s="225"/>
      <c r="J345" s="225">
        <f t="shared" ref="J345:J346" si="156">+G345+H345+I345</f>
        <v>1654.8000000000002</v>
      </c>
      <c r="K345" s="225">
        <f t="shared" si="145"/>
        <v>26345.200000000001</v>
      </c>
      <c r="L345" s="69">
        <f t="shared" si="141"/>
        <v>0</v>
      </c>
      <c r="M345" s="225"/>
      <c r="N345" s="231">
        <v>3594.54</v>
      </c>
      <c r="O345" s="225">
        <f t="shared" si="142"/>
        <v>5249.34</v>
      </c>
      <c r="P345" s="231">
        <f t="shared" si="143"/>
        <v>22750.66</v>
      </c>
    </row>
    <row r="346" spans="1:17" s="152" customFormat="1" ht="35.1" customHeight="1" x14ac:dyDescent="0.2">
      <c r="A346" s="223">
        <f t="shared" si="155"/>
        <v>194</v>
      </c>
      <c r="B346" s="224" t="s">
        <v>464</v>
      </c>
      <c r="C346" s="223" t="s">
        <v>346</v>
      </c>
      <c r="D346" s="232" t="s">
        <v>171</v>
      </c>
      <c r="E346" s="72" t="s">
        <v>196</v>
      </c>
      <c r="F346" s="225">
        <v>24000</v>
      </c>
      <c r="G346" s="225">
        <f t="shared" si="149"/>
        <v>688.8</v>
      </c>
      <c r="H346" s="225">
        <f t="shared" si="150"/>
        <v>729.6</v>
      </c>
      <c r="I346" s="225"/>
      <c r="J346" s="225">
        <f t="shared" si="156"/>
        <v>1418.4</v>
      </c>
      <c r="K346" s="225">
        <f>+F346-J346</f>
        <v>22581.599999999999</v>
      </c>
      <c r="L346" s="69">
        <f t="shared" si="141"/>
        <v>0</v>
      </c>
      <c r="M346" s="225"/>
      <c r="N346" s="231">
        <v>3547</v>
      </c>
      <c r="O346" s="225">
        <f t="shared" si="142"/>
        <v>4965.4000000000005</v>
      </c>
      <c r="P346" s="231">
        <f t="shared" si="143"/>
        <v>19034.599999999999</v>
      </c>
    </row>
    <row r="347" spans="1:17" s="152" customFormat="1" ht="35.1" customHeight="1" x14ac:dyDescent="0.2">
      <c r="A347" s="233" t="s">
        <v>103</v>
      </c>
      <c r="B347" s="234"/>
      <c r="C347" s="234"/>
      <c r="D347" s="234"/>
      <c r="E347" s="250"/>
      <c r="F347" s="235">
        <f t="shared" ref="F347:P347" si="157">SUM(F331:F346)</f>
        <v>745500</v>
      </c>
      <c r="G347" s="235">
        <f t="shared" si="157"/>
        <v>21395.849999999995</v>
      </c>
      <c r="H347" s="235">
        <f t="shared" si="157"/>
        <v>22663.200000000001</v>
      </c>
      <c r="I347" s="235">
        <f t="shared" si="157"/>
        <v>17154.599999999999</v>
      </c>
      <c r="J347" s="235">
        <f t="shared" si="157"/>
        <v>61213.65</v>
      </c>
      <c r="K347" s="235">
        <f t="shared" si="157"/>
        <v>684286.34999999986</v>
      </c>
      <c r="L347" s="235">
        <f t="shared" si="157"/>
        <v>25119.243958333336</v>
      </c>
      <c r="M347" s="235">
        <f t="shared" si="157"/>
        <v>0</v>
      </c>
      <c r="N347" s="235">
        <f t="shared" si="157"/>
        <v>85614.12999999999</v>
      </c>
      <c r="O347" s="235">
        <f t="shared" si="157"/>
        <v>171947.0239583333</v>
      </c>
      <c r="P347" s="235">
        <f t="shared" si="157"/>
        <v>573552.9760416667</v>
      </c>
      <c r="Q347" s="336"/>
    </row>
    <row r="348" spans="1:17" s="152" customFormat="1" ht="35.1" customHeight="1" thickBot="1" x14ac:dyDescent="0.25">
      <c r="A348" s="237"/>
      <c r="B348" s="271"/>
      <c r="C348" s="272"/>
      <c r="D348" s="271"/>
      <c r="E348" s="271"/>
      <c r="F348" s="273"/>
      <c r="G348" s="273"/>
      <c r="H348" s="273"/>
      <c r="I348" s="273"/>
      <c r="J348" s="273"/>
      <c r="K348" s="273"/>
      <c r="L348" s="273"/>
      <c r="M348" s="273"/>
      <c r="N348" s="273"/>
      <c r="O348" s="273"/>
      <c r="P348" s="273"/>
    </row>
    <row r="349" spans="1:17" s="152" customFormat="1" ht="35.1" customHeight="1" thickBot="1" x14ac:dyDescent="0.25">
      <c r="A349" s="288"/>
      <c r="B349" s="289" t="s">
        <v>341</v>
      </c>
      <c r="C349" s="290"/>
      <c r="D349" s="291"/>
      <c r="E349" s="292"/>
      <c r="F349" s="293">
        <f t="shared" ref="F349:P349" si="158">+F18+F26+F30+F34+F40+F47+F51+F55+F61+F67+F71+F77+F83+F89+F93+F100+F105+F112+F118+F125+F130+F137+F142+F150+F155+F159+F162+F170+F177+F181+F186+F191+F195+F199+F206+F210+F214+F220+F225+F229+F234+F239+F274+F282+F308+F312+F317+F321+F327+F347+F146</f>
        <v>13298792</v>
      </c>
      <c r="G349" s="293">
        <f t="shared" si="158"/>
        <v>381675.33039999986</v>
      </c>
      <c r="H349" s="293">
        <f t="shared" si="158"/>
        <v>403021.5552</v>
      </c>
      <c r="I349" s="293">
        <f t="shared" si="158"/>
        <v>104643.05999999998</v>
      </c>
      <c r="J349" s="293">
        <f t="shared" si="158"/>
        <v>889339.94559999986</v>
      </c>
      <c r="K349" s="293">
        <f t="shared" si="158"/>
        <v>12409452.054399991</v>
      </c>
      <c r="L349" s="293">
        <f t="shared" si="158"/>
        <v>1247213.6540249996</v>
      </c>
      <c r="M349" s="293">
        <f t="shared" si="158"/>
        <v>0</v>
      </c>
      <c r="N349" s="293">
        <f t="shared" si="158"/>
        <v>883775.80000000016</v>
      </c>
      <c r="O349" s="293">
        <f t="shared" si="158"/>
        <v>3020329.3996249991</v>
      </c>
      <c r="P349" s="293">
        <f t="shared" si="158"/>
        <v>10278462.600375</v>
      </c>
    </row>
    <row r="350" spans="1:17" s="152" customFormat="1" ht="35.1" customHeight="1" x14ac:dyDescent="0.2">
      <c r="A350" s="288"/>
      <c r="B350" s="298"/>
      <c r="C350" s="299"/>
      <c r="D350" s="298"/>
      <c r="E350" s="298"/>
      <c r="G350" s="153"/>
      <c r="H350" s="153"/>
      <c r="I350" s="153"/>
      <c r="J350" s="153"/>
      <c r="K350" s="294"/>
      <c r="L350" s="153"/>
      <c r="M350" s="153"/>
      <c r="N350" s="153"/>
      <c r="O350" s="153"/>
      <c r="P350" s="153"/>
    </row>
    <row r="351" spans="1:17" s="152" customFormat="1" ht="35.1" customHeight="1" x14ac:dyDescent="0.2">
      <c r="A351" s="212"/>
      <c r="B351" s="151"/>
      <c r="C351" s="212"/>
      <c r="D351" s="151"/>
      <c r="E351" s="151"/>
      <c r="G351" s="153"/>
      <c r="H351" s="153"/>
      <c r="I351" s="153"/>
      <c r="J351" s="153"/>
      <c r="K351" s="153"/>
      <c r="L351" s="153"/>
      <c r="M351" s="153"/>
      <c r="N351" s="153"/>
      <c r="O351" s="153"/>
      <c r="P351" s="294"/>
    </row>
    <row r="352" spans="1:17" s="152" customFormat="1" ht="35.1" customHeight="1" thickBot="1" x14ac:dyDescent="0.25">
      <c r="A352" s="212"/>
      <c r="B352" s="359" t="s">
        <v>90</v>
      </c>
      <c r="C352" s="359"/>
      <c r="D352" s="123"/>
      <c r="E352" s="359" t="s">
        <v>550</v>
      </c>
      <c r="F352" s="359"/>
      <c r="G352" s="153"/>
      <c r="H352" s="343"/>
      <c r="I352" s="294"/>
      <c r="J352" s="153"/>
      <c r="K352" s="301"/>
      <c r="L352" s="153"/>
      <c r="M352" s="153"/>
      <c r="N352" s="153"/>
      <c r="O352" s="153"/>
      <c r="P352" s="153"/>
    </row>
    <row r="353" spans="1:16" s="152" customFormat="1" ht="35.1" customHeight="1" x14ac:dyDescent="0.2">
      <c r="A353" s="212"/>
      <c r="B353" s="358" t="s">
        <v>558</v>
      </c>
      <c r="C353" s="358"/>
      <c r="D353" s="123"/>
      <c r="E353" s="358" t="s">
        <v>392</v>
      </c>
      <c r="F353" s="358"/>
      <c r="G353" s="153"/>
      <c r="H353" s="153"/>
      <c r="I353" s="153"/>
      <c r="J353" s="153"/>
      <c r="K353" s="301"/>
      <c r="L353" s="153"/>
      <c r="M353" s="153"/>
      <c r="N353" s="153"/>
      <c r="O353" s="153"/>
      <c r="P353" s="153"/>
    </row>
    <row r="354" spans="1:16" s="152" customFormat="1" ht="35.1" customHeight="1" x14ac:dyDescent="0.2">
      <c r="A354" s="212"/>
      <c r="B354" s="151"/>
      <c r="C354" s="212"/>
      <c r="D354" s="151"/>
      <c r="E354" s="151"/>
      <c r="G354" s="153"/>
      <c r="H354" s="153"/>
      <c r="I354" s="153"/>
      <c r="J354" s="153"/>
      <c r="K354" s="301"/>
      <c r="L354" s="153"/>
      <c r="M354" s="153"/>
      <c r="N354" s="153"/>
      <c r="O354" s="153"/>
      <c r="P354" s="153"/>
    </row>
    <row r="355" spans="1:16" s="229" customFormat="1" ht="35.1" customHeight="1" x14ac:dyDescent="0.2">
      <c r="A355" s="212"/>
      <c r="B355" s="151"/>
      <c r="C355" s="212"/>
      <c r="D355" s="151"/>
      <c r="E355" s="151"/>
      <c r="F355" s="152"/>
      <c r="G355" s="153"/>
      <c r="H355" s="153"/>
      <c r="I355" s="153"/>
      <c r="J355" s="153"/>
      <c r="K355" s="301"/>
      <c r="L355" s="153"/>
      <c r="M355" s="153"/>
      <c r="N355" s="153"/>
      <c r="O355" s="153"/>
      <c r="P355" s="153"/>
    </row>
    <row r="356" spans="1:16" s="152" customFormat="1" ht="35.1" customHeight="1" x14ac:dyDescent="0.2">
      <c r="A356" s="212"/>
      <c r="B356" s="151"/>
      <c r="C356" s="212"/>
      <c r="D356" s="151"/>
      <c r="E356" s="151"/>
      <c r="G356" s="153"/>
      <c r="H356" s="153"/>
      <c r="I356" s="153"/>
      <c r="J356" s="153"/>
      <c r="K356" s="301"/>
      <c r="L356" s="153"/>
      <c r="M356" s="153"/>
      <c r="N356" s="153"/>
      <c r="O356" s="153"/>
      <c r="P356" s="153"/>
    </row>
    <row r="357" spans="1:16" s="152" customFormat="1" ht="35.1" customHeight="1" x14ac:dyDescent="0.2">
      <c r="A357" s="212"/>
      <c r="B357" s="151"/>
      <c r="C357" s="212"/>
      <c r="D357" s="151"/>
      <c r="E357" s="151"/>
      <c r="G357" s="153"/>
      <c r="H357" s="153"/>
      <c r="I357" s="153"/>
      <c r="J357" s="153"/>
      <c r="K357" s="301"/>
      <c r="L357" s="153"/>
      <c r="M357" s="153"/>
      <c r="N357" s="153"/>
      <c r="O357" s="153"/>
      <c r="P357" s="153"/>
    </row>
    <row r="358" spans="1:16" s="152" customFormat="1" ht="35.1" customHeight="1" x14ac:dyDescent="0.2">
      <c r="A358" s="212"/>
      <c r="B358" s="151"/>
      <c r="C358" s="212"/>
      <c r="D358" s="151"/>
      <c r="E358" s="151"/>
      <c r="G358" s="153"/>
      <c r="H358" s="153"/>
      <c r="I358" s="153"/>
      <c r="J358" s="153"/>
      <c r="K358" s="301"/>
      <c r="L358" s="153"/>
      <c r="M358" s="153"/>
      <c r="N358" s="153"/>
      <c r="O358" s="153"/>
      <c r="P358" s="153"/>
    </row>
    <row r="359" spans="1:16" s="152" customFormat="1" ht="35.1" customHeight="1" x14ac:dyDescent="0.2">
      <c r="A359" s="212"/>
      <c r="B359" s="151"/>
      <c r="C359" s="212"/>
      <c r="D359" s="151"/>
      <c r="E359" s="151"/>
      <c r="G359" s="153"/>
      <c r="H359" s="153"/>
      <c r="I359" s="153"/>
      <c r="J359" s="153"/>
      <c r="K359" s="153"/>
      <c r="L359" s="153"/>
      <c r="M359" s="153"/>
      <c r="N359" s="153"/>
      <c r="O359" s="153"/>
      <c r="P359" s="153"/>
    </row>
    <row r="360" spans="1:16" s="228" customFormat="1" ht="35.1" customHeight="1" x14ac:dyDescent="0.2">
      <c r="A360" s="212"/>
      <c r="B360" s="151"/>
      <c r="C360" s="212"/>
      <c r="D360" s="151"/>
      <c r="E360" s="151"/>
      <c r="F360" s="152"/>
      <c r="G360" s="153"/>
      <c r="H360" s="153"/>
      <c r="I360" s="153"/>
      <c r="J360" s="153"/>
      <c r="K360" s="153"/>
      <c r="L360" s="153"/>
      <c r="M360" s="153"/>
      <c r="N360" s="153"/>
      <c r="O360" s="153"/>
      <c r="P360" s="153"/>
    </row>
    <row r="361" spans="1:16" s="228" customFormat="1" ht="35.1" customHeight="1" x14ac:dyDescent="0.2">
      <c r="A361" s="212"/>
      <c r="B361" s="151"/>
      <c r="C361" s="212"/>
      <c r="D361" s="151"/>
      <c r="E361" s="151"/>
      <c r="F361" s="152"/>
      <c r="G361" s="153"/>
      <c r="H361" s="153"/>
      <c r="I361" s="153"/>
      <c r="J361" s="153"/>
      <c r="K361" s="153"/>
      <c r="L361" s="153"/>
      <c r="M361" s="153"/>
      <c r="N361" s="153"/>
      <c r="O361" s="153"/>
      <c r="P361" s="153"/>
    </row>
    <row r="16864" spans="2:2" ht="35.1" customHeight="1" x14ac:dyDescent="0.2">
      <c r="B16864" s="148">
        <f>SUM(B6:B16863)</f>
        <v>0</v>
      </c>
    </row>
    <row r="16866" spans="2:2" s="116" customFormat="1" ht="35.1" customHeight="1" x14ac:dyDescent="0.2">
      <c r="B16866" s="148">
        <f>SUM(B16864)</f>
        <v>0</v>
      </c>
    </row>
    <row r="1000189" spans="15:15" ht="35.1" customHeight="1" x14ac:dyDescent="0.2">
      <c r="O1000189" s="126" t="e">
        <f>SUM(#REF!)</f>
        <v>#REF!</v>
      </c>
    </row>
  </sheetData>
  <mergeCells count="25">
    <mergeCell ref="B353:C353"/>
    <mergeCell ref="B352:C352"/>
    <mergeCell ref="E352:F352"/>
    <mergeCell ref="E353:F353"/>
    <mergeCell ref="A120:E120"/>
    <mergeCell ref="A127:E127"/>
    <mergeCell ref="A132:E132"/>
    <mergeCell ref="A148:E148"/>
    <mergeCell ref="A222:D222"/>
    <mergeCell ref="A1:P1"/>
    <mergeCell ref="A2:P2"/>
    <mergeCell ref="A3:P3"/>
    <mergeCell ref="A85:D85"/>
    <mergeCell ref="G5:J5"/>
    <mergeCell ref="A53:B53"/>
    <mergeCell ref="A57:B57"/>
    <mergeCell ref="A63:B63"/>
    <mergeCell ref="A68:C68"/>
    <mergeCell ref="A73:D73"/>
    <mergeCell ref="A79:D79"/>
    <mergeCell ref="A91:E91"/>
    <mergeCell ref="A95:E95"/>
    <mergeCell ref="A102:E102"/>
    <mergeCell ref="A107:E107"/>
    <mergeCell ref="A113:E113"/>
  </mergeCells>
  <pageMargins left="0.23622047244094488" right="0.23622047244094488" top="0.31" bottom="0.25" header="0.31496062992125984" footer="0.26"/>
  <pageSetup paperSize="5" scale="50" fitToHeight="0" orientation="landscape" r:id="rId1"/>
  <rowBreaks count="14" manualBreakCount="14">
    <brk id="34" max="15" man="1"/>
    <brk id="59" max="15" man="1"/>
    <brk id="87" max="15" man="1"/>
    <brk id="115" max="15" man="1"/>
    <brk id="142" max="15" man="1"/>
    <brk id="168" max="15" man="1"/>
    <brk id="194" max="15" man="1"/>
    <brk id="221" max="15" man="1"/>
    <brk id="243" max="15" man="1"/>
    <brk id="271" max="15" man="1"/>
    <brk id="299" max="15" man="1"/>
    <brk id="327" max="15" man="1"/>
    <brk id="345" max="15" man="1"/>
    <brk id="361" max="15" man="1"/>
  </rowBreaks>
  <ignoredErrors>
    <ignoredError sqref="H14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48208"/>
  <sheetViews>
    <sheetView showGridLines="0" tabSelected="1" view="pageBreakPreview" zoomScale="30" zoomScaleNormal="67" zoomScaleSheetLayoutView="30" workbookViewId="0">
      <pane xSplit="4" topLeftCell="E1" activePane="topRight" state="frozen"/>
      <selection pane="topRight" activeCell="S256" sqref="S1:S1048576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38.85546875" style="148" customWidth="1"/>
    <col min="3" max="3" width="11.7109375" style="116" customWidth="1"/>
    <col min="4" max="4" width="38.5703125" style="148" customWidth="1"/>
    <col min="5" max="5" width="20.42578125" style="148" customWidth="1"/>
    <col min="6" max="6" width="25.42578125" style="148" customWidth="1"/>
    <col min="7" max="7" width="23.140625" style="148" customWidth="1"/>
    <col min="8" max="8" width="19.85546875" style="114" customWidth="1"/>
    <col min="9" max="9" width="17.140625" style="113" customWidth="1"/>
    <col min="10" max="10" width="16.85546875" style="113" customWidth="1"/>
    <col min="11" max="11" width="16.140625" style="113" customWidth="1"/>
    <col min="12" max="12" width="17.28515625" style="113" customWidth="1"/>
    <col min="13" max="13" width="26.140625" style="113" customWidth="1"/>
    <col min="14" max="14" width="16.42578125" style="113" customWidth="1"/>
    <col min="15" max="15" width="14.140625" style="113" customWidth="1"/>
    <col min="16" max="16" width="19" style="113" customWidth="1"/>
    <col min="17" max="17" width="20" style="113" customWidth="1"/>
    <col min="18" max="18" width="20.140625" style="113" customWidth="1"/>
    <col min="19" max="16384" width="11.42578125" style="113"/>
  </cols>
  <sheetData>
    <row r="1" spans="1:18" ht="39.950000000000003" customHeight="1" x14ac:dyDescent="0.2">
      <c r="B1" s="147"/>
      <c r="C1" s="136"/>
    </row>
    <row r="2" spans="1:18" ht="31.5" customHeight="1" x14ac:dyDescent="0.2">
      <c r="A2" s="348" t="s">
        <v>336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</row>
    <row r="3" spans="1:18" ht="24.75" customHeight="1" x14ac:dyDescent="0.2">
      <c r="A3" s="349" t="s">
        <v>339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</row>
    <row r="4" spans="1:18" ht="27" customHeight="1" x14ac:dyDescent="0.2">
      <c r="A4" s="362" t="s">
        <v>667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</row>
    <row r="5" spans="1:18" ht="39.950000000000003" customHeight="1" thickBot="1" x14ac:dyDescent="0.25">
      <c r="A5" s="142"/>
      <c r="B5" s="142"/>
      <c r="C5" s="109"/>
      <c r="D5" s="147"/>
      <c r="E5" s="147"/>
      <c r="F5" s="147"/>
      <c r="G5" s="147"/>
      <c r="H5" s="109"/>
    </row>
    <row r="6" spans="1:18" ht="39.950000000000003" customHeight="1" thickBot="1" x14ac:dyDescent="0.25">
      <c r="A6" s="149"/>
      <c r="B6" s="149"/>
      <c r="C6" s="150"/>
      <c r="D6" s="151"/>
      <c r="E6" s="151"/>
      <c r="F6" s="151"/>
      <c r="G6" s="151"/>
      <c r="H6" s="152"/>
      <c r="I6" s="363" t="s">
        <v>99</v>
      </c>
      <c r="J6" s="364"/>
      <c r="K6" s="364"/>
      <c r="L6" s="365"/>
      <c r="M6" s="98"/>
      <c r="N6" s="153"/>
      <c r="O6" s="153"/>
      <c r="P6" s="153"/>
      <c r="Q6" s="153"/>
      <c r="R6" s="153"/>
    </row>
    <row r="7" spans="1:18" s="114" customFormat="1" ht="51.75" customHeight="1" thickBot="1" x14ac:dyDescent="0.25">
      <c r="A7" s="19" t="s">
        <v>0</v>
      </c>
      <c r="B7" s="19" t="s">
        <v>344</v>
      </c>
      <c r="C7" s="19" t="s">
        <v>348</v>
      </c>
      <c r="D7" s="19" t="s">
        <v>362</v>
      </c>
      <c r="E7" s="19" t="s">
        <v>93</v>
      </c>
      <c r="F7" s="19" t="s">
        <v>97</v>
      </c>
      <c r="G7" s="19" t="s">
        <v>98</v>
      </c>
      <c r="H7" s="21" t="s">
        <v>102</v>
      </c>
      <c r="I7" s="19" t="s">
        <v>1</v>
      </c>
      <c r="J7" s="19" t="s">
        <v>2</v>
      </c>
      <c r="K7" s="21" t="s">
        <v>648</v>
      </c>
      <c r="L7" s="19" t="s">
        <v>454</v>
      </c>
      <c r="M7" s="21" t="s">
        <v>455</v>
      </c>
      <c r="N7" s="21" t="s">
        <v>94</v>
      </c>
      <c r="O7" s="21" t="s">
        <v>533</v>
      </c>
      <c r="P7" s="21" t="s">
        <v>96</v>
      </c>
      <c r="Q7" s="21" t="s">
        <v>3</v>
      </c>
      <c r="R7" s="21" t="s">
        <v>95</v>
      </c>
    </row>
    <row r="8" spans="1:18" s="114" customFormat="1" ht="39.950000000000003" customHeight="1" thickBot="1" x14ac:dyDescent="0.25">
      <c r="A8" s="154" t="s">
        <v>305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</row>
    <row r="9" spans="1:18" s="118" customFormat="1" ht="39.950000000000003" customHeight="1" x14ac:dyDescent="0.2">
      <c r="A9" s="156">
        <v>1</v>
      </c>
      <c r="B9" s="119" t="s">
        <v>306</v>
      </c>
      <c r="C9" s="133" t="s">
        <v>346</v>
      </c>
      <c r="D9" s="157" t="s">
        <v>508</v>
      </c>
      <c r="E9" s="157" t="s">
        <v>183</v>
      </c>
      <c r="F9" s="158" t="s">
        <v>583</v>
      </c>
      <c r="G9" s="158" t="s">
        <v>646</v>
      </c>
      <c r="H9" s="159">
        <v>200000</v>
      </c>
      <c r="I9" s="119">
        <v>5740</v>
      </c>
      <c r="J9" s="119">
        <v>6080</v>
      </c>
      <c r="K9" s="119"/>
      <c r="L9" s="119">
        <f>+J9+I9+K9</f>
        <v>11820</v>
      </c>
      <c r="M9" s="119">
        <f>+H9-L9</f>
        <v>188180</v>
      </c>
      <c r="N9" s="119">
        <f>+IF(M9*12&lt;=416220.01,0,IF(M9*12&lt;=624329.01,(((M9*12-416220.01)*0.15)/12),IF((M9*12&lt;=867123.01),(31216+0.2*(M9*12-624329.01))/12,((79776+0.25*(M9*12-867123.01))/12))))-O9</f>
        <v>35627.937291666669</v>
      </c>
      <c r="O9" s="119"/>
      <c r="P9" s="159">
        <v>25</v>
      </c>
      <c r="Q9" s="119">
        <f>+P9+N9+L9</f>
        <v>47472.937291666669</v>
      </c>
      <c r="R9" s="159">
        <f>+H9-Q9</f>
        <v>152527.06270833334</v>
      </c>
    </row>
    <row r="10" spans="1:18" s="118" customFormat="1" ht="39.950000000000003" customHeight="1" x14ac:dyDescent="0.2">
      <c r="A10" s="160">
        <v>2</v>
      </c>
      <c r="B10" s="161" t="s">
        <v>307</v>
      </c>
      <c r="C10" s="133" t="s">
        <v>346</v>
      </c>
      <c r="D10" s="157" t="s">
        <v>345</v>
      </c>
      <c r="E10" s="157" t="s">
        <v>183</v>
      </c>
      <c r="F10" s="162" t="s">
        <v>578</v>
      </c>
      <c r="G10" s="162" t="s">
        <v>630</v>
      </c>
      <c r="H10" s="163">
        <v>130000</v>
      </c>
      <c r="I10" s="119">
        <f>H10*2.87%</f>
        <v>3731</v>
      </c>
      <c r="J10" s="119">
        <f>+H10*3.04%</f>
        <v>3952</v>
      </c>
      <c r="K10" s="119"/>
      <c r="L10" s="119">
        <f>+J10+I10+K10</f>
        <v>7683</v>
      </c>
      <c r="M10" s="119">
        <f>+H10-L10</f>
        <v>122317</v>
      </c>
      <c r="N10" s="119">
        <f>+IF(M10*12&lt;=416220.01,0,IF(M10*12&lt;=624329.01,(((M10*12-416220.01)*0.15)/12),IF((M10*12&lt;=867123.01),(31216+0.2*(M10*12-624329.01))/12,((79776+0.25*(M10*12-867123.01))/12))))-O10</f>
        <v>19162.187291666665</v>
      </c>
      <c r="O10" s="119"/>
      <c r="P10" s="159">
        <v>25</v>
      </c>
      <c r="Q10" s="119">
        <f>+P10+N10+L10</f>
        <v>26870.187291666665</v>
      </c>
      <c r="R10" s="164">
        <f>+H10-Q10</f>
        <v>103129.81270833334</v>
      </c>
    </row>
    <row r="11" spans="1:18" s="118" customFormat="1" ht="39.950000000000003" customHeight="1" x14ac:dyDescent="0.2">
      <c r="A11" s="360" t="s">
        <v>103</v>
      </c>
      <c r="B11" s="361"/>
      <c r="C11" s="103"/>
      <c r="D11" s="103"/>
      <c r="E11" s="103"/>
      <c r="F11" s="103"/>
      <c r="G11" s="103"/>
      <c r="H11" s="104">
        <f>SUM(H9:H10)</f>
        <v>330000</v>
      </c>
      <c r="I11" s="104">
        <f t="shared" ref="I11:Q11" si="0">SUM(I9:I10)</f>
        <v>9471</v>
      </c>
      <c r="J11" s="104">
        <f t="shared" si="0"/>
        <v>10032</v>
      </c>
      <c r="K11" s="104">
        <f t="shared" si="0"/>
        <v>0</v>
      </c>
      <c r="L11" s="104">
        <f t="shared" si="0"/>
        <v>19503</v>
      </c>
      <c r="M11" s="104">
        <f t="shared" si="0"/>
        <v>310497</v>
      </c>
      <c r="N11" s="104">
        <f t="shared" si="0"/>
        <v>54790.124583333338</v>
      </c>
      <c r="O11" s="104">
        <f t="shared" si="0"/>
        <v>0</v>
      </c>
      <c r="P11" s="104">
        <f t="shared" si="0"/>
        <v>50</v>
      </c>
      <c r="Q11" s="104">
        <f t="shared" si="0"/>
        <v>74343.124583333338</v>
      </c>
      <c r="R11" s="104">
        <f>SUM(R9:R10)</f>
        <v>255656.87541666668</v>
      </c>
    </row>
    <row r="12" spans="1:18" s="114" customFormat="1" ht="39.950000000000003" customHeight="1" thickBot="1" x14ac:dyDescent="0.25">
      <c r="A12" s="101"/>
      <c r="B12" s="101"/>
      <c r="C12" s="136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</row>
    <row r="13" spans="1:18" s="114" customFormat="1" ht="39.950000000000003" customHeight="1" thickBot="1" x14ac:dyDescent="0.25">
      <c r="A13" s="154" t="s">
        <v>250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18" s="114" customFormat="1" ht="39.950000000000003" customHeight="1" x14ac:dyDescent="0.2">
      <c r="A14" s="111">
        <f>+A10+1</f>
        <v>3</v>
      </c>
      <c r="B14" s="165" t="s">
        <v>450</v>
      </c>
      <c r="C14" s="139" t="s">
        <v>347</v>
      </c>
      <c r="D14" s="110" t="s">
        <v>522</v>
      </c>
      <c r="E14" s="157" t="s">
        <v>183</v>
      </c>
      <c r="F14" s="168" t="s">
        <v>619</v>
      </c>
      <c r="G14" s="168" t="s">
        <v>618</v>
      </c>
      <c r="H14" s="169">
        <v>180000</v>
      </c>
      <c r="I14" s="108">
        <f>H14*2.87%</f>
        <v>5166</v>
      </c>
      <c r="J14" s="108">
        <f>+H14*3.04%</f>
        <v>5472</v>
      </c>
      <c r="K14" s="108"/>
      <c r="L14" s="119">
        <f>+J14+I14+K14</f>
        <v>10638</v>
      </c>
      <c r="M14" s="119">
        <f>+H14-L14</f>
        <v>169362</v>
      </c>
      <c r="N14" s="119">
        <f>+IF(M14*12&lt;=416220.01,0,IF(M14*12&lt;=624329.01,(((M14*12-416220.01)*0.15)/12),IF((M14*12&lt;=867123.01),(31216+0.2*(M14*12-624329.01))/12,((79776+0.25*(M14*12-867123.01))/12))))-O14</f>
        <v>30923.437291666665</v>
      </c>
      <c r="O14" s="119"/>
      <c r="P14" s="120">
        <v>25</v>
      </c>
      <c r="Q14" s="119">
        <f>+P14+N14+L14</f>
        <v>41586.437291666662</v>
      </c>
      <c r="R14" s="120">
        <f>H14-Q14</f>
        <v>138413.56270833334</v>
      </c>
    </row>
    <row r="15" spans="1:18" s="118" customFormat="1" ht="39.950000000000003" customHeight="1" x14ac:dyDescent="0.2">
      <c r="A15" s="111">
        <f>+A14+1</f>
        <v>4</v>
      </c>
      <c r="B15" s="165" t="s">
        <v>451</v>
      </c>
      <c r="C15" s="139" t="s">
        <v>346</v>
      </c>
      <c r="D15" s="110" t="s">
        <v>437</v>
      </c>
      <c r="E15" s="157" t="s">
        <v>183</v>
      </c>
      <c r="F15" s="157" t="s">
        <v>599</v>
      </c>
      <c r="G15" s="157" t="s">
        <v>656</v>
      </c>
      <c r="H15" s="169">
        <v>80000</v>
      </c>
      <c r="I15" s="108">
        <f>H15*2.87%</f>
        <v>2296</v>
      </c>
      <c r="J15" s="108">
        <f>+H15*3.04%</f>
        <v>2432</v>
      </c>
      <c r="K15" s="108"/>
      <c r="L15" s="119">
        <f t="shared" ref="L15" si="1">+J15+I15+K15</f>
        <v>4728</v>
      </c>
      <c r="M15" s="119">
        <f t="shared" ref="M15" si="2">+H15-L15</f>
        <v>75272</v>
      </c>
      <c r="N15" s="119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9">
        <v>0</v>
      </c>
      <c r="P15" s="120">
        <v>25</v>
      </c>
      <c r="Q15" s="119">
        <f>+P15+N15+L15</f>
        <v>12153.937291666665</v>
      </c>
      <c r="R15" s="120">
        <f>H15-Q15</f>
        <v>67846.062708333338</v>
      </c>
    </row>
    <row r="16" spans="1:18" s="118" customFormat="1" ht="39.950000000000003" customHeight="1" x14ac:dyDescent="0.2">
      <c r="A16" s="156">
        <f>+A15+1</f>
        <v>5</v>
      </c>
      <c r="B16" s="161" t="s">
        <v>431</v>
      </c>
      <c r="C16" s="133" t="s">
        <v>346</v>
      </c>
      <c r="D16" s="157" t="s">
        <v>546</v>
      </c>
      <c r="E16" s="157" t="s">
        <v>183</v>
      </c>
      <c r="F16" s="171" t="s">
        <v>579</v>
      </c>
      <c r="G16" s="171" t="s">
        <v>621</v>
      </c>
      <c r="H16" s="163">
        <v>80000</v>
      </c>
      <c r="I16" s="108">
        <f>H16*2.87%</f>
        <v>2296</v>
      </c>
      <c r="J16" s="108">
        <f>+H16*3.04%</f>
        <v>2432</v>
      </c>
      <c r="K16" s="108"/>
      <c r="L16" s="119">
        <f>+J16+I16+K16</f>
        <v>4728</v>
      </c>
      <c r="M16" s="119">
        <f>+H16-L16</f>
        <v>75272</v>
      </c>
      <c r="N16" s="119">
        <f t="shared" si="3"/>
        <v>7400.9372916666662</v>
      </c>
      <c r="O16" s="119">
        <v>0</v>
      </c>
      <c r="P16" s="120">
        <v>1442</v>
      </c>
      <c r="Q16" s="119">
        <f>+P16+N16+L16</f>
        <v>13570.937291666665</v>
      </c>
      <c r="R16" s="120">
        <f>H16-Q16</f>
        <v>66429.062708333338</v>
      </c>
    </row>
    <row r="17" spans="1:18" s="118" customFormat="1" ht="39.950000000000003" customHeight="1" x14ac:dyDescent="0.2">
      <c r="A17" s="156">
        <f t="shared" ref="A17:A18" si="4">+A16+1</f>
        <v>6</v>
      </c>
      <c r="B17" s="161" t="s">
        <v>303</v>
      </c>
      <c r="C17" s="133" t="s">
        <v>347</v>
      </c>
      <c r="D17" s="157" t="s">
        <v>546</v>
      </c>
      <c r="E17" s="157" t="s">
        <v>183</v>
      </c>
      <c r="F17" s="171" t="s">
        <v>583</v>
      </c>
      <c r="G17" s="158" t="s">
        <v>646</v>
      </c>
      <c r="H17" s="163">
        <v>80000</v>
      </c>
      <c r="I17" s="108">
        <f t="shared" ref="I17:I19" si="5">H17*2.87%</f>
        <v>2296</v>
      </c>
      <c r="J17" s="108">
        <f t="shared" ref="J17:J19" si="6">+H17*3.04%</f>
        <v>2432</v>
      </c>
      <c r="K17" s="108"/>
      <c r="L17" s="119">
        <f t="shared" ref="L17:L19" si="7">+J17+I17+K17</f>
        <v>4728</v>
      </c>
      <c r="M17" s="119">
        <f t="shared" ref="M17:M19" si="8">+H17-L17</f>
        <v>75272</v>
      </c>
      <c r="N17" s="119">
        <f t="shared" si="3"/>
        <v>7400.9372916666662</v>
      </c>
      <c r="O17" s="119">
        <v>0</v>
      </c>
      <c r="P17" s="164">
        <f>200+65</f>
        <v>265</v>
      </c>
      <c r="Q17" s="119">
        <f t="shared" ref="Q17:Q19" si="9">+P17+N17+L17</f>
        <v>12393.937291666665</v>
      </c>
      <c r="R17" s="120">
        <f t="shared" ref="R17:R19" si="10">H17-Q17</f>
        <v>67606.062708333338</v>
      </c>
    </row>
    <row r="18" spans="1:18" s="114" customFormat="1" ht="39.950000000000003" customHeight="1" x14ac:dyDescent="0.2">
      <c r="A18" s="111">
        <f t="shared" si="4"/>
        <v>7</v>
      </c>
      <c r="B18" s="172" t="s">
        <v>547</v>
      </c>
      <c r="C18" s="139" t="s">
        <v>347</v>
      </c>
      <c r="D18" s="110" t="s">
        <v>546</v>
      </c>
      <c r="E18" s="157" t="s">
        <v>183</v>
      </c>
      <c r="F18" s="168" t="s">
        <v>583</v>
      </c>
      <c r="G18" s="157" t="s">
        <v>646</v>
      </c>
      <c r="H18" s="169">
        <v>80000</v>
      </c>
      <c r="I18" s="108">
        <f t="shared" si="5"/>
        <v>2296</v>
      </c>
      <c r="J18" s="108">
        <f t="shared" si="6"/>
        <v>2432</v>
      </c>
      <c r="K18" s="108"/>
      <c r="L18" s="119">
        <f t="shared" si="7"/>
        <v>4728</v>
      </c>
      <c r="M18" s="119">
        <f t="shared" si="8"/>
        <v>75272</v>
      </c>
      <c r="N18" s="119">
        <f t="shared" si="3"/>
        <v>7400.9372916666662</v>
      </c>
      <c r="O18" s="119">
        <v>0</v>
      </c>
      <c r="P18" s="164">
        <v>25</v>
      </c>
      <c r="Q18" s="119">
        <f t="shared" si="9"/>
        <v>12153.937291666665</v>
      </c>
      <c r="R18" s="120">
        <f t="shared" si="10"/>
        <v>67846.062708333338</v>
      </c>
    </row>
    <row r="19" spans="1:18" s="114" customFormat="1" ht="39.950000000000003" customHeight="1" x14ac:dyDescent="0.2">
      <c r="A19" s="111">
        <f>+A18+1</f>
        <v>8</v>
      </c>
      <c r="B19" s="172" t="s">
        <v>598</v>
      </c>
      <c r="C19" s="139" t="s">
        <v>346</v>
      </c>
      <c r="D19" s="110" t="s">
        <v>546</v>
      </c>
      <c r="E19" s="157" t="s">
        <v>183</v>
      </c>
      <c r="F19" s="157" t="s">
        <v>599</v>
      </c>
      <c r="G19" s="157" t="s">
        <v>656</v>
      </c>
      <c r="H19" s="169">
        <v>80000</v>
      </c>
      <c r="I19" s="108">
        <f t="shared" si="5"/>
        <v>2296</v>
      </c>
      <c r="J19" s="108">
        <f t="shared" si="6"/>
        <v>2432</v>
      </c>
      <c r="K19" s="108"/>
      <c r="L19" s="119">
        <f t="shared" si="7"/>
        <v>4728</v>
      </c>
      <c r="M19" s="119">
        <f t="shared" si="8"/>
        <v>75272</v>
      </c>
      <c r="N19" s="119">
        <f t="shared" si="3"/>
        <v>7400.9372916666662</v>
      </c>
      <c r="O19" s="119"/>
      <c r="P19" s="164">
        <v>4525</v>
      </c>
      <c r="Q19" s="119">
        <f t="shared" si="9"/>
        <v>16653.937291666665</v>
      </c>
      <c r="R19" s="120">
        <f t="shared" si="10"/>
        <v>63346.062708333338</v>
      </c>
    </row>
    <row r="20" spans="1:18" s="114" customFormat="1" ht="39.950000000000003" customHeight="1" x14ac:dyDescent="0.2">
      <c r="A20" s="360" t="s">
        <v>103</v>
      </c>
      <c r="B20" s="361"/>
      <c r="C20" s="103"/>
      <c r="D20" s="103"/>
      <c r="E20" s="103"/>
      <c r="F20" s="103"/>
      <c r="G20" s="103"/>
      <c r="H20" s="104">
        <f>SUM(H14:H19)</f>
        <v>580000</v>
      </c>
      <c r="I20" s="104">
        <f>SUM(I14:I19)</f>
        <v>16646</v>
      </c>
      <c r="J20" s="104">
        <f>SUM(J14:J19)</f>
        <v>17632</v>
      </c>
      <c r="K20" s="104">
        <f>SUM(K14:K18)</f>
        <v>0</v>
      </c>
      <c r="L20" s="104">
        <f>SUM(L14:L19)</f>
        <v>34278</v>
      </c>
      <c r="M20" s="104">
        <f>SUM(M14:M19)</f>
        <v>545722</v>
      </c>
      <c r="N20" s="104">
        <f>SUM(N14:N19)</f>
        <v>67928.123749999999</v>
      </c>
      <c r="O20" s="104">
        <f>SUM(O14:O18)</f>
        <v>0</v>
      </c>
      <c r="P20" s="104">
        <f>SUM(P14:P19)</f>
        <v>6307</v>
      </c>
      <c r="Q20" s="104">
        <f t="shared" ref="Q20:R20" si="11">SUM(Q14:Q19)</f>
        <v>108513.12374999997</v>
      </c>
      <c r="R20" s="104">
        <f t="shared" si="11"/>
        <v>471486.87625000009</v>
      </c>
    </row>
    <row r="21" spans="1:18" s="174" customFormat="1" ht="39.950000000000003" customHeight="1" thickBot="1" x14ac:dyDescent="0.25">
      <c r="A21" s="173"/>
      <c r="B21" s="173"/>
      <c r="C21" s="173"/>
      <c r="D21" s="173"/>
      <c r="E21" s="173"/>
      <c r="F21" s="173"/>
      <c r="G21" s="173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8" s="118" customFormat="1" ht="39.950000000000003" customHeight="1" thickBot="1" x14ac:dyDescent="0.25">
      <c r="A22" s="154" t="s">
        <v>72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8" s="118" customFormat="1" ht="39.950000000000003" customHeight="1" x14ac:dyDescent="0.2">
      <c r="A23" s="160">
        <f>+A19+1</f>
        <v>9</v>
      </c>
      <c r="B23" s="161" t="s">
        <v>308</v>
      </c>
      <c r="C23" s="133" t="s">
        <v>346</v>
      </c>
      <c r="D23" s="110" t="s">
        <v>521</v>
      </c>
      <c r="E23" s="157" t="s">
        <v>183</v>
      </c>
      <c r="F23" s="168" t="s">
        <v>657</v>
      </c>
      <c r="G23" s="157" t="s">
        <v>658</v>
      </c>
      <c r="H23" s="159">
        <v>180000</v>
      </c>
      <c r="I23" s="121">
        <f>H23*2.87%</f>
        <v>5166</v>
      </c>
      <c r="J23" s="175">
        <f>+H23*3.04%</f>
        <v>5472</v>
      </c>
      <c r="K23" s="121"/>
      <c r="L23" s="119">
        <f>+J23+I23+K23</f>
        <v>10638</v>
      </c>
      <c r="M23" s="119">
        <f>+H23-L23</f>
        <v>169362</v>
      </c>
      <c r="N23" s="119">
        <f>+IF(M23*12&lt;=416220.01,0,IF(M23*12&lt;=624329.01,(((M23*12-416220.01)*0.15)/12),IF((M23*12&lt;=867123.01),(31216+0.2*(M23*12-624329.01))/12,((79776+0.25*(M23*12-867123.01))/12))))-O23</f>
        <v>30923.437291666665</v>
      </c>
      <c r="O23" s="119"/>
      <c r="P23" s="119">
        <v>9025</v>
      </c>
      <c r="Q23" s="119">
        <f>+P23+N23+L23</f>
        <v>50586.437291666662</v>
      </c>
      <c r="R23" s="159">
        <f>+H23-Q23</f>
        <v>129413.56270833334</v>
      </c>
    </row>
    <row r="24" spans="1:18" s="114" customFormat="1" ht="39.950000000000003" customHeight="1" x14ac:dyDescent="0.2">
      <c r="A24" s="160">
        <f>+A23+1</f>
        <v>10</v>
      </c>
      <c r="B24" s="161" t="s">
        <v>310</v>
      </c>
      <c r="C24" s="133" t="s">
        <v>346</v>
      </c>
      <c r="D24" s="110" t="s">
        <v>119</v>
      </c>
      <c r="E24" s="157" t="s">
        <v>183</v>
      </c>
      <c r="F24" s="168" t="s">
        <v>628</v>
      </c>
      <c r="G24" s="168" t="s">
        <v>629</v>
      </c>
      <c r="H24" s="159">
        <v>100000</v>
      </c>
      <c r="I24" s="121">
        <f>H24*2.87%</f>
        <v>2870</v>
      </c>
      <c r="J24" s="100">
        <f>+H24*3.04%</f>
        <v>3040</v>
      </c>
      <c r="K24" s="121"/>
      <c r="L24" s="119">
        <f>+J24+I24+K24</f>
        <v>5910</v>
      </c>
      <c r="M24" s="119">
        <f>+H24-L24</f>
        <v>94090</v>
      </c>
      <c r="N24" s="119">
        <f>+IF(M24*12&lt;=416220.01,0,IF(M24*12&lt;=624329.01,(((M24*12-416220.01)*0.15)/12),IF((M24*12&lt;=867123.01),(31216+0.2*(M24*12-624329.01))/12,((79776+0.25*(M24*12-867123.01))/12))))-O24</f>
        <v>12105.437291666667</v>
      </c>
      <c r="O24" s="119"/>
      <c r="P24" s="159">
        <v>25</v>
      </c>
      <c r="Q24" s="119">
        <f>+P24+N24+L24</f>
        <v>18040.437291666669</v>
      </c>
      <c r="R24" s="159">
        <f>+H24-Q24</f>
        <v>81959.562708333338</v>
      </c>
    </row>
    <row r="25" spans="1:18" s="114" customFormat="1" ht="39.950000000000003" customHeight="1" x14ac:dyDescent="0.2">
      <c r="A25" s="160">
        <f>+A24+1</f>
        <v>11</v>
      </c>
      <c r="B25" s="161" t="s">
        <v>473</v>
      </c>
      <c r="C25" s="133" t="s">
        <v>346</v>
      </c>
      <c r="D25" s="110" t="s">
        <v>119</v>
      </c>
      <c r="E25" s="157" t="s">
        <v>183</v>
      </c>
      <c r="F25" s="157" t="s">
        <v>611</v>
      </c>
      <c r="G25" s="157" t="s">
        <v>671</v>
      </c>
      <c r="H25" s="159">
        <v>80000</v>
      </c>
      <c r="I25" s="121">
        <f>H25*2.87%</f>
        <v>2296</v>
      </c>
      <c r="J25" s="121">
        <f>+H25*3.04%</f>
        <v>2432</v>
      </c>
      <c r="K25" s="121"/>
      <c r="L25" s="119">
        <f>+J25+I25+K25</f>
        <v>4728</v>
      </c>
      <c r="M25" s="119">
        <f>+H25-L25</f>
        <v>75272</v>
      </c>
      <c r="N25" s="119">
        <f>+IF(M25*12&lt;=416220.01,0,IF(M25*12&lt;=624329.01,(((M25*12-416220.01)*0.15)/12),IF((M25*12&lt;=867123.01),(31216+0.2*(M25*12-624329.01))/12,((79776+0.25*(M25*12-867123.01))/12))))-O25</f>
        <v>7400.9372916666662</v>
      </c>
      <c r="O25" s="119"/>
      <c r="P25" s="159">
        <f>40+25</f>
        <v>65</v>
      </c>
      <c r="Q25" s="119">
        <f>+P25+N25+L25</f>
        <v>12193.937291666665</v>
      </c>
      <c r="R25" s="159">
        <f>+H25-Q25</f>
        <v>67806.062708333338</v>
      </c>
    </row>
    <row r="26" spans="1:18" s="114" customFormat="1" ht="39.950000000000003" customHeight="1" x14ac:dyDescent="0.2">
      <c r="A26" s="360" t="s">
        <v>103</v>
      </c>
      <c r="B26" s="361"/>
      <c r="C26" s="103"/>
      <c r="D26" s="103"/>
      <c r="E26" s="103"/>
      <c r="F26" s="103"/>
      <c r="G26" s="103"/>
      <c r="H26" s="104">
        <f>SUM(H23:H25)</f>
        <v>360000</v>
      </c>
      <c r="I26" s="104">
        <f t="shared" ref="I26:R26" si="12">SUM(I23:I25)</f>
        <v>10332</v>
      </c>
      <c r="J26" s="104">
        <f t="shared" si="12"/>
        <v>10944</v>
      </c>
      <c r="K26" s="104">
        <f t="shared" si="12"/>
        <v>0</v>
      </c>
      <c r="L26" s="104">
        <f t="shared" si="12"/>
        <v>21276</v>
      </c>
      <c r="M26" s="104">
        <f t="shared" si="12"/>
        <v>338724</v>
      </c>
      <c r="N26" s="104">
        <f t="shared" si="12"/>
        <v>50429.811874999999</v>
      </c>
      <c r="O26" s="104">
        <f t="shared" si="12"/>
        <v>0</v>
      </c>
      <c r="P26" s="104">
        <f t="shared" si="12"/>
        <v>9115</v>
      </c>
      <c r="Q26" s="104">
        <f t="shared" si="12"/>
        <v>80820.811874999985</v>
      </c>
      <c r="R26" s="104">
        <f t="shared" si="12"/>
        <v>279179.18812499999</v>
      </c>
    </row>
    <row r="27" spans="1:18" s="174" customFormat="1" ht="39.950000000000003" customHeight="1" thickBot="1" x14ac:dyDescent="0.25">
      <c r="A27" s="173"/>
      <c r="B27" s="173"/>
      <c r="C27" s="173"/>
      <c r="D27" s="173"/>
      <c r="E27" s="173"/>
      <c r="F27" s="173"/>
      <c r="G27" s="17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</row>
    <row r="28" spans="1:18" s="117" customFormat="1" ht="39.950000000000003" customHeight="1" thickBot="1" x14ac:dyDescent="0.25">
      <c r="A28" s="154" t="s">
        <v>311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</row>
    <row r="29" spans="1:18" s="117" customFormat="1" ht="39.950000000000003" customHeight="1" x14ac:dyDescent="0.2">
      <c r="A29" s="160">
        <f>+A25+1</f>
        <v>12</v>
      </c>
      <c r="B29" s="145" t="s">
        <v>309</v>
      </c>
      <c r="C29" s="132" t="s">
        <v>346</v>
      </c>
      <c r="D29" s="179" t="s">
        <v>426</v>
      </c>
      <c r="E29" s="179" t="s">
        <v>183</v>
      </c>
      <c r="F29" s="168" t="s">
        <v>583</v>
      </c>
      <c r="G29" s="157" t="s">
        <v>646</v>
      </c>
      <c r="H29" s="167">
        <v>115000</v>
      </c>
      <c r="I29" s="119">
        <f>H29*2.87%</f>
        <v>3300.5</v>
      </c>
      <c r="J29" s="119">
        <f>+H29*3.04%</f>
        <v>3496</v>
      </c>
      <c r="K29" s="119"/>
      <c r="L29" s="119">
        <f>+J29+I29+K29</f>
        <v>6796.5</v>
      </c>
      <c r="M29" s="119">
        <f>+H29-L29</f>
        <v>108203.5</v>
      </c>
      <c r="N29" s="119">
        <f>+IF(M29*12&lt;=416220.01,0,IF(M29*12&lt;=624329.01,(((M29*12-416220.01)*0.15)/12),IF((M29*12&lt;=867123.01),(31216+0.2*(M29*12-624329.01))/12,((79776+0.25*(M29*12-867123.01))/12))))-O29</f>
        <v>15633.812291666667</v>
      </c>
      <c r="O29" s="119"/>
      <c r="P29" s="164">
        <v>23940.46</v>
      </c>
      <c r="Q29" s="119">
        <f>+P29+N29+L29</f>
        <v>46370.772291666668</v>
      </c>
      <c r="R29" s="164">
        <f>+H29-Q29</f>
        <v>68629.227708333332</v>
      </c>
    </row>
    <row r="30" spans="1:18" s="114" customFormat="1" ht="39.950000000000003" customHeight="1" x14ac:dyDescent="0.2">
      <c r="A30" s="160">
        <f>+A29+1</f>
        <v>13</v>
      </c>
      <c r="B30" s="145" t="s">
        <v>185</v>
      </c>
      <c r="C30" s="132" t="s">
        <v>346</v>
      </c>
      <c r="D30" s="179" t="s">
        <v>517</v>
      </c>
      <c r="E30" s="179" t="s">
        <v>183</v>
      </c>
      <c r="F30" s="158" t="s">
        <v>578</v>
      </c>
      <c r="G30" s="158" t="s">
        <v>630</v>
      </c>
      <c r="H30" s="167">
        <v>100000</v>
      </c>
      <c r="I30" s="119">
        <f>H30*2.87%</f>
        <v>2870</v>
      </c>
      <c r="J30" s="121">
        <f>+H30*3.04%</f>
        <v>3040</v>
      </c>
      <c r="K30" s="121">
        <v>3430.92</v>
      </c>
      <c r="L30" s="121">
        <f>+J30+I30+K30</f>
        <v>9340.92</v>
      </c>
      <c r="M30" s="119">
        <f>+H30-L30</f>
        <v>90659.08</v>
      </c>
      <c r="N30" s="119">
        <f t="shared" ref="N30:N33" si="13">+IF(M30*12&lt;=416220.01,0,IF(M30*12&lt;=624329.01,(((M30*12-416220.01)*0.15)/12),IF((M30*12&lt;=867123.01),(31216+0.2*(M30*12-624329.01))/12,((79776+0.25*(M30*12-867123.01))/12))))-O30</f>
        <v>11247.707291666666</v>
      </c>
      <c r="O30" s="119"/>
      <c r="P30" s="164">
        <v>25</v>
      </c>
      <c r="Q30" s="119">
        <f>+P30+N30+L30</f>
        <v>20613.627291666664</v>
      </c>
      <c r="R30" s="164">
        <f>+H30-Q30</f>
        <v>79386.372708333336</v>
      </c>
    </row>
    <row r="31" spans="1:18" s="114" customFormat="1" ht="39.950000000000003" customHeight="1" x14ac:dyDescent="0.2">
      <c r="A31" s="160">
        <f>+A30+1</f>
        <v>14</v>
      </c>
      <c r="B31" s="145" t="s">
        <v>516</v>
      </c>
      <c r="C31" s="132" t="s">
        <v>346</v>
      </c>
      <c r="D31" s="179" t="s">
        <v>517</v>
      </c>
      <c r="E31" s="179" t="s">
        <v>183</v>
      </c>
      <c r="F31" s="168" t="s">
        <v>583</v>
      </c>
      <c r="G31" s="157" t="s">
        <v>646</v>
      </c>
      <c r="H31" s="167">
        <v>90000</v>
      </c>
      <c r="I31" s="119">
        <f>H31*2.87%</f>
        <v>2583</v>
      </c>
      <c r="J31" s="119">
        <f>+H31*3.04%</f>
        <v>2736</v>
      </c>
      <c r="K31" s="119">
        <v>1715.46</v>
      </c>
      <c r="L31" s="119">
        <f>+J31+I31+K31</f>
        <v>7034.46</v>
      </c>
      <c r="M31" s="119">
        <f>+H31-L31</f>
        <v>82965.539999999994</v>
      </c>
      <c r="N31" s="119">
        <f t="shared" si="13"/>
        <v>9324.3222916666655</v>
      </c>
      <c r="O31" s="119"/>
      <c r="P31" s="164">
        <v>25</v>
      </c>
      <c r="Q31" s="119">
        <f>+P31+N31+L31</f>
        <v>16383.782291666666</v>
      </c>
      <c r="R31" s="164">
        <f>+H31-Q31</f>
        <v>73616.217708333337</v>
      </c>
    </row>
    <row r="32" spans="1:18" s="174" customFormat="1" ht="39.950000000000003" customHeight="1" x14ac:dyDescent="0.2">
      <c r="A32" s="160">
        <f>+A31+1</f>
        <v>15</v>
      </c>
      <c r="B32" s="145" t="s">
        <v>320</v>
      </c>
      <c r="C32" s="132" t="s">
        <v>347</v>
      </c>
      <c r="D32" s="179" t="s">
        <v>517</v>
      </c>
      <c r="E32" s="179" t="s">
        <v>183</v>
      </c>
      <c r="F32" s="157" t="s">
        <v>599</v>
      </c>
      <c r="G32" s="157" t="s">
        <v>656</v>
      </c>
      <c r="H32" s="167">
        <v>80000</v>
      </c>
      <c r="I32" s="121">
        <f t="shared" ref="I32" si="14">H32*2.87%</f>
        <v>2296</v>
      </c>
      <c r="J32" s="119">
        <f t="shared" ref="J32" si="15">+H32*3.04%</f>
        <v>2432</v>
      </c>
      <c r="K32" s="119"/>
      <c r="L32" s="119">
        <f>+J32+I32+K32</f>
        <v>4728</v>
      </c>
      <c r="M32" s="119">
        <f>+H32-L32</f>
        <v>75272</v>
      </c>
      <c r="N32" s="119">
        <f t="shared" si="13"/>
        <v>7400.9372916666662</v>
      </c>
      <c r="O32" s="119"/>
      <c r="P32" s="164">
        <f>7017+100</f>
        <v>7117</v>
      </c>
      <c r="Q32" s="119">
        <f>+P32+N32+L32</f>
        <v>19245.937291666665</v>
      </c>
      <c r="R32" s="164">
        <f>+H32-Q32</f>
        <v>60754.062708333338</v>
      </c>
    </row>
    <row r="33" spans="1:18" s="114" customFormat="1" ht="39.950000000000003" customHeight="1" x14ac:dyDescent="0.2">
      <c r="A33" s="160">
        <f>+A32+1</f>
        <v>16</v>
      </c>
      <c r="B33" s="145" t="s">
        <v>582</v>
      </c>
      <c r="C33" s="132" t="s">
        <v>347</v>
      </c>
      <c r="D33" s="179" t="s">
        <v>517</v>
      </c>
      <c r="E33" s="179" t="s">
        <v>183</v>
      </c>
      <c r="F33" s="168" t="s">
        <v>583</v>
      </c>
      <c r="G33" s="157" t="s">
        <v>646</v>
      </c>
      <c r="H33" s="167">
        <v>80000</v>
      </c>
      <c r="I33" s="121">
        <f>H33*2.87%</f>
        <v>2296</v>
      </c>
      <c r="J33" s="121">
        <f>+H33*3.04%</f>
        <v>2432</v>
      </c>
      <c r="K33" s="119"/>
      <c r="L33" s="119">
        <f>+J33+I33+K33</f>
        <v>4728</v>
      </c>
      <c r="M33" s="119">
        <f>+H33-L33</f>
        <v>75272</v>
      </c>
      <c r="N33" s="119">
        <f t="shared" si="13"/>
        <v>7400.9372916666662</v>
      </c>
      <c r="O33" s="119"/>
      <c r="P33" s="164">
        <v>25</v>
      </c>
      <c r="Q33" s="119">
        <f>+P33+N33+L33</f>
        <v>12153.937291666665</v>
      </c>
      <c r="R33" s="164">
        <f>+H33-Q33</f>
        <v>67846.062708333338</v>
      </c>
    </row>
    <row r="34" spans="1:18" s="117" customFormat="1" ht="39.950000000000003" customHeight="1" x14ac:dyDescent="0.2">
      <c r="A34" s="360" t="s">
        <v>103</v>
      </c>
      <c r="B34" s="361"/>
      <c r="C34" s="103"/>
      <c r="D34" s="103"/>
      <c r="E34" s="103"/>
      <c r="F34" s="103"/>
      <c r="G34" s="103"/>
      <c r="H34" s="104">
        <f>SUM(H29:H33)</f>
        <v>465000</v>
      </c>
      <c r="I34" s="104">
        <f t="shared" ref="I34:R34" si="16">SUM(I29:I33)</f>
        <v>13345.5</v>
      </c>
      <c r="J34" s="104">
        <f t="shared" si="16"/>
        <v>14136</v>
      </c>
      <c r="K34" s="104">
        <f t="shared" si="16"/>
        <v>5146.38</v>
      </c>
      <c r="L34" s="104">
        <f t="shared" si="16"/>
        <v>32627.88</v>
      </c>
      <c r="M34" s="104">
        <f t="shared" si="16"/>
        <v>432372.12</v>
      </c>
      <c r="N34" s="104">
        <f t="shared" si="16"/>
        <v>51007.716458333336</v>
      </c>
      <c r="O34" s="104">
        <f t="shared" si="16"/>
        <v>0</v>
      </c>
      <c r="P34" s="104">
        <f t="shared" si="16"/>
        <v>31132.46</v>
      </c>
      <c r="Q34" s="104">
        <f t="shared" si="16"/>
        <v>114768.05645833332</v>
      </c>
      <c r="R34" s="104">
        <f t="shared" si="16"/>
        <v>350231.94354166673</v>
      </c>
    </row>
    <row r="35" spans="1:18" s="114" customFormat="1" ht="39.950000000000003" customHeight="1" thickBot="1" x14ac:dyDescent="0.25">
      <c r="A35" s="173"/>
      <c r="B35" s="173"/>
      <c r="C35" s="173"/>
      <c r="D35" s="173"/>
      <c r="E35" s="173"/>
      <c r="F35" s="173"/>
      <c r="G35" s="173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</row>
    <row r="36" spans="1:18" s="174" customFormat="1" ht="39.950000000000003" customHeight="1" thickBot="1" x14ac:dyDescent="0.25">
      <c r="A36" s="154" t="s">
        <v>74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</row>
    <row r="37" spans="1:18" s="117" customFormat="1" ht="39.950000000000003" customHeight="1" x14ac:dyDescent="0.2">
      <c r="A37" s="156">
        <f>+A33+1</f>
        <v>17</v>
      </c>
      <c r="B37" s="168" t="s">
        <v>357</v>
      </c>
      <c r="C37" s="156" t="s">
        <v>347</v>
      </c>
      <c r="D37" s="110" t="s">
        <v>245</v>
      </c>
      <c r="E37" s="157" t="s">
        <v>183</v>
      </c>
      <c r="F37" s="345" t="s">
        <v>657</v>
      </c>
      <c r="G37" s="157" t="s">
        <v>658</v>
      </c>
      <c r="H37" s="119">
        <v>90000</v>
      </c>
      <c r="I37" s="119">
        <f>H37*2.87%</f>
        <v>2583</v>
      </c>
      <c r="J37" s="119">
        <f>+H37*3.04%</f>
        <v>2736</v>
      </c>
      <c r="K37" s="119"/>
      <c r="L37" s="119">
        <f>+J37+I37+K37</f>
        <v>5319</v>
      </c>
      <c r="M37" s="119">
        <f t="shared" ref="M37:M43" si="17">+H37-L37</f>
        <v>84681</v>
      </c>
      <c r="N37" s="119">
        <f t="shared" ref="N37:N43" si="18">+IF(M37*12&lt;=416220.01,0,IF(M37*12&lt;=624329.01,(((M37*12-416220.01)*0.15)/12),IF((M37*12&lt;=867123.01),(31216+0.2*(M37*12-624329.01))/12,((79776+0.25*(M37*12-867123.01))/12))))-O37</f>
        <v>9753.1872916666671</v>
      </c>
      <c r="O37" s="119"/>
      <c r="P37" s="164">
        <v>25</v>
      </c>
      <c r="Q37" s="119">
        <f>+P37+N37+L37</f>
        <v>15097.187291666667</v>
      </c>
      <c r="R37" s="159">
        <f t="shared" ref="R37:R40" si="19">+H37-Q37</f>
        <v>74902.812708333338</v>
      </c>
    </row>
    <row r="38" spans="1:18" s="117" customFormat="1" ht="39.950000000000003" customHeight="1" x14ac:dyDescent="0.2">
      <c r="A38" s="156">
        <f t="shared" ref="A38:A42" si="20">+A37+1</f>
        <v>18</v>
      </c>
      <c r="B38" s="168" t="s">
        <v>402</v>
      </c>
      <c r="C38" s="156" t="s">
        <v>347</v>
      </c>
      <c r="D38" s="110" t="s">
        <v>245</v>
      </c>
      <c r="E38" s="157" t="s">
        <v>183</v>
      </c>
      <c r="F38" s="168" t="s">
        <v>583</v>
      </c>
      <c r="G38" s="157" t="s">
        <v>646</v>
      </c>
      <c r="H38" s="119">
        <v>80000</v>
      </c>
      <c r="I38" s="119">
        <f>H38*2.87%</f>
        <v>2296</v>
      </c>
      <c r="J38" s="119">
        <f>+H38*3.04%</f>
        <v>2432</v>
      </c>
      <c r="K38" s="119"/>
      <c r="L38" s="119">
        <f>+J38+I38+K38</f>
        <v>4728</v>
      </c>
      <c r="M38" s="119">
        <f t="shared" si="17"/>
        <v>75272</v>
      </c>
      <c r="N38" s="119">
        <f t="shared" si="18"/>
        <v>7400.9372916666662</v>
      </c>
      <c r="O38" s="119">
        <v>0</v>
      </c>
      <c r="P38" s="164">
        <f>2625+100</f>
        <v>2725</v>
      </c>
      <c r="Q38" s="119">
        <f>+P38+N38+L38</f>
        <v>14853.937291666665</v>
      </c>
      <c r="R38" s="159">
        <f t="shared" si="19"/>
        <v>65146.062708333338</v>
      </c>
    </row>
    <row r="39" spans="1:18" s="117" customFormat="1" ht="39.950000000000003" customHeight="1" x14ac:dyDescent="0.2">
      <c r="A39" s="156">
        <f t="shared" si="20"/>
        <v>19</v>
      </c>
      <c r="B39" s="168" t="s">
        <v>489</v>
      </c>
      <c r="C39" s="156" t="s">
        <v>346</v>
      </c>
      <c r="D39" s="110" t="s">
        <v>245</v>
      </c>
      <c r="E39" s="157" t="s">
        <v>183</v>
      </c>
      <c r="F39" s="168" t="s">
        <v>619</v>
      </c>
      <c r="G39" s="168" t="s">
        <v>618</v>
      </c>
      <c r="H39" s="119">
        <v>80000</v>
      </c>
      <c r="I39" s="119">
        <f>H39*2.87%</f>
        <v>2296</v>
      </c>
      <c r="J39" s="119">
        <f>+H39*3.04%</f>
        <v>2432</v>
      </c>
      <c r="K39" s="119"/>
      <c r="L39" s="119">
        <f>+J39+I39+K39</f>
        <v>4728</v>
      </c>
      <c r="M39" s="119">
        <f t="shared" si="17"/>
        <v>75272</v>
      </c>
      <c r="N39" s="119">
        <f t="shared" si="18"/>
        <v>7400.9372916666662</v>
      </c>
      <c r="O39" s="119"/>
      <c r="P39" s="164">
        <v>65</v>
      </c>
      <c r="Q39" s="119">
        <f>+P39+N39+L39</f>
        <v>12193.937291666665</v>
      </c>
      <c r="R39" s="159">
        <f t="shared" si="19"/>
        <v>67806.062708333338</v>
      </c>
    </row>
    <row r="40" spans="1:18" s="174" customFormat="1" ht="39.950000000000003" customHeight="1" x14ac:dyDescent="0.2">
      <c r="A40" s="160">
        <f t="shared" si="20"/>
        <v>20</v>
      </c>
      <c r="B40" s="168" t="s">
        <v>472</v>
      </c>
      <c r="C40" s="138" t="s">
        <v>347</v>
      </c>
      <c r="D40" s="110" t="s">
        <v>245</v>
      </c>
      <c r="E40" s="157" t="s">
        <v>183</v>
      </c>
      <c r="F40" s="168" t="s">
        <v>583</v>
      </c>
      <c r="G40" s="157" t="s">
        <v>646</v>
      </c>
      <c r="H40" s="121">
        <v>80000</v>
      </c>
      <c r="I40" s="121">
        <f t="shared" ref="I40:I43" si="21">H40*2.87%</f>
        <v>2296</v>
      </c>
      <c r="J40" s="121">
        <f t="shared" ref="J40:J43" si="22">+H40*3.04%</f>
        <v>2432</v>
      </c>
      <c r="K40" s="121"/>
      <c r="L40" s="119">
        <f>+I40+J40+K40</f>
        <v>4728</v>
      </c>
      <c r="M40" s="119">
        <f t="shared" si="17"/>
        <v>75272</v>
      </c>
      <c r="N40" s="119">
        <f t="shared" si="18"/>
        <v>7400.9372916666662</v>
      </c>
      <c r="O40" s="119"/>
      <c r="P40" s="164">
        <v>8125</v>
      </c>
      <c r="Q40" s="121">
        <f>+P40+K40+J40+I40+N40</f>
        <v>20253.937291666665</v>
      </c>
      <c r="R40" s="159">
        <f t="shared" si="19"/>
        <v>59746.062708333338</v>
      </c>
    </row>
    <row r="41" spans="1:18" s="174" customFormat="1" ht="39.950000000000003" customHeight="1" x14ac:dyDescent="0.2">
      <c r="A41" s="160">
        <f t="shared" si="20"/>
        <v>21</v>
      </c>
      <c r="B41" s="168" t="s">
        <v>644</v>
      </c>
      <c r="C41" s="138" t="s">
        <v>347</v>
      </c>
      <c r="D41" s="110" t="s">
        <v>245</v>
      </c>
      <c r="E41" s="157" t="s">
        <v>183</v>
      </c>
      <c r="F41" s="168" t="s">
        <v>583</v>
      </c>
      <c r="G41" s="157" t="s">
        <v>646</v>
      </c>
      <c r="H41" s="121">
        <v>80000</v>
      </c>
      <c r="I41" s="121">
        <f t="shared" si="21"/>
        <v>2296</v>
      </c>
      <c r="J41" s="121">
        <f t="shared" si="22"/>
        <v>2432</v>
      </c>
      <c r="K41" s="121"/>
      <c r="L41" s="119">
        <f>+I41+J41+K41</f>
        <v>4728</v>
      </c>
      <c r="M41" s="119">
        <f t="shared" si="17"/>
        <v>75272</v>
      </c>
      <c r="N41" s="119">
        <f t="shared" si="18"/>
        <v>7400.9372916666662</v>
      </c>
      <c r="O41" s="119"/>
      <c r="P41" s="164">
        <f>25+100</f>
        <v>125</v>
      </c>
      <c r="Q41" s="121">
        <f t="shared" ref="Q41:Q43" si="23">+P41+K41+J41+I41+N41</f>
        <v>12253.937291666665</v>
      </c>
      <c r="R41" s="159">
        <f t="shared" ref="R41:R43" si="24">+H41-Q41</f>
        <v>67746.062708333338</v>
      </c>
    </row>
    <row r="42" spans="1:18" s="174" customFormat="1" ht="39.950000000000003" customHeight="1" x14ac:dyDescent="0.2">
      <c r="A42" s="160">
        <f t="shared" si="20"/>
        <v>22</v>
      </c>
      <c r="B42" s="168" t="s">
        <v>645</v>
      </c>
      <c r="C42" s="138" t="s">
        <v>347</v>
      </c>
      <c r="D42" s="110" t="s">
        <v>245</v>
      </c>
      <c r="E42" s="157" t="s">
        <v>183</v>
      </c>
      <c r="F42" s="168" t="s">
        <v>583</v>
      </c>
      <c r="G42" s="157" t="s">
        <v>646</v>
      </c>
      <c r="H42" s="121">
        <v>80000</v>
      </c>
      <c r="I42" s="121">
        <f t="shared" si="21"/>
        <v>2296</v>
      </c>
      <c r="J42" s="121">
        <f t="shared" si="22"/>
        <v>2432</v>
      </c>
      <c r="K42" s="121"/>
      <c r="L42" s="119">
        <f>+I42+J42+K42</f>
        <v>4728</v>
      </c>
      <c r="M42" s="119">
        <f t="shared" si="17"/>
        <v>75272</v>
      </c>
      <c r="N42" s="119">
        <f t="shared" si="18"/>
        <v>7400.9372916666662</v>
      </c>
      <c r="O42" s="119"/>
      <c r="P42" s="164">
        <v>25</v>
      </c>
      <c r="Q42" s="121">
        <f t="shared" si="23"/>
        <v>12153.937291666665</v>
      </c>
      <c r="R42" s="159">
        <f t="shared" si="24"/>
        <v>67846.062708333338</v>
      </c>
    </row>
    <row r="43" spans="1:18" s="174" customFormat="1" ht="39.950000000000003" customHeight="1" x14ac:dyDescent="0.2">
      <c r="A43" s="160">
        <f>+A42+1</f>
        <v>23</v>
      </c>
      <c r="B43" s="168" t="s">
        <v>668</v>
      </c>
      <c r="C43" s="138" t="s">
        <v>347</v>
      </c>
      <c r="D43" s="110" t="s">
        <v>245</v>
      </c>
      <c r="E43" s="157" t="s">
        <v>183</v>
      </c>
      <c r="F43" s="345" t="s">
        <v>673</v>
      </c>
      <c r="G43" s="157" t="s">
        <v>671</v>
      </c>
      <c r="H43" s="121">
        <v>80000</v>
      </c>
      <c r="I43" s="121">
        <f t="shared" si="21"/>
        <v>2296</v>
      </c>
      <c r="J43" s="121">
        <f t="shared" si="22"/>
        <v>2432</v>
      </c>
      <c r="K43" s="121"/>
      <c r="L43" s="119">
        <f>+I43+J43+K43</f>
        <v>4728</v>
      </c>
      <c r="M43" s="119">
        <f t="shared" si="17"/>
        <v>75272</v>
      </c>
      <c r="N43" s="119">
        <f t="shared" si="18"/>
        <v>7400.9372916666662</v>
      </c>
      <c r="O43" s="119"/>
      <c r="P43" s="164">
        <v>25</v>
      </c>
      <c r="Q43" s="121">
        <f t="shared" si="23"/>
        <v>12153.937291666665</v>
      </c>
      <c r="R43" s="159">
        <f t="shared" si="24"/>
        <v>67846.062708333338</v>
      </c>
    </row>
    <row r="44" spans="1:18" s="114" customFormat="1" ht="39.950000000000003" customHeight="1" x14ac:dyDescent="0.2">
      <c r="A44" s="360" t="s">
        <v>103</v>
      </c>
      <c r="B44" s="361"/>
      <c r="C44" s="103"/>
      <c r="D44" s="103"/>
      <c r="E44" s="103"/>
      <c r="F44" s="103"/>
      <c r="G44" s="103"/>
      <c r="H44" s="104">
        <f>SUM(H37:H43)</f>
        <v>570000</v>
      </c>
      <c r="I44" s="104">
        <f t="shared" ref="I44:R44" si="25">SUM(I37:I43)</f>
        <v>16359</v>
      </c>
      <c r="J44" s="104">
        <f t="shared" si="25"/>
        <v>17328</v>
      </c>
      <c r="K44" s="104">
        <f t="shared" si="25"/>
        <v>0</v>
      </c>
      <c r="L44" s="104">
        <f t="shared" si="25"/>
        <v>33687</v>
      </c>
      <c r="M44" s="104">
        <f t="shared" si="25"/>
        <v>536313</v>
      </c>
      <c r="N44" s="104">
        <f t="shared" si="25"/>
        <v>54158.811041666668</v>
      </c>
      <c r="O44" s="104">
        <f t="shared" si="25"/>
        <v>0</v>
      </c>
      <c r="P44" s="104">
        <f t="shared" si="25"/>
        <v>11115</v>
      </c>
      <c r="Q44" s="104">
        <f t="shared" si="25"/>
        <v>98960.811041666646</v>
      </c>
      <c r="R44" s="104">
        <f t="shared" si="25"/>
        <v>471039.18895833346</v>
      </c>
    </row>
    <row r="45" spans="1:18" s="174" customFormat="1" ht="39.950000000000003" customHeight="1" thickBot="1" x14ac:dyDescent="0.25">
      <c r="A45" s="173"/>
      <c r="B45" s="173"/>
      <c r="C45" s="173"/>
      <c r="D45" s="173"/>
      <c r="E45" s="173"/>
      <c r="F45" s="173"/>
      <c r="G45" s="173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</row>
    <row r="46" spans="1:18" s="117" customFormat="1" ht="39.950000000000003" customHeight="1" thickBot="1" x14ac:dyDescent="0.25">
      <c r="A46" s="176" t="s">
        <v>152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</row>
    <row r="47" spans="1:18" s="117" customFormat="1" ht="39.950000000000003" customHeight="1" x14ac:dyDescent="0.2">
      <c r="A47" s="156">
        <f>+A43+1</f>
        <v>24</v>
      </c>
      <c r="B47" s="168" t="s">
        <v>417</v>
      </c>
      <c r="C47" s="156" t="s">
        <v>347</v>
      </c>
      <c r="D47" s="157" t="s">
        <v>109</v>
      </c>
      <c r="E47" s="157" t="s">
        <v>183</v>
      </c>
      <c r="F47" s="171" t="s">
        <v>580</v>
      </c>
      <c r="G47" s="162" t="s">
        <v>631</v>
      </c>
      <c r="H47" s="108">
        <v>70000</v>
      </c>
      <c r="I47" s="108">
        <f>H47*2.87%</f>
        <v>2009</v>
      </c>
      <c r="J47" s="108">
        <f>+H47*3.04%</f>
        <v>2128</v>
      </c>
      <c r="K47" s="108"/>
      <c r="L47" s="119">
        <f>+J47+I47+K47</f>
        <v>4137</v>
      </c>
      <c r="M47" s="119">
        <f>+H47-L47</f>
        <v>65863</v>
      </c>
      <c r="N47" s="119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9"/>
      <c r="P47" s="167">
        <f>3165+100</f>
        <v>3265</v>
      </c>
      <c r="Q47" s="119">
        <f>+P47+N47+L47</f>
        <v>12770.449833333332</v>
      </c>
      <c r="R47" s="159">
        <f>+H47-Q47</f>
        <v>57229.550166666668</v>
      </c>
    </row>
    <row r="48" spans="1:18" s="114" customFormat="1" ht="39.950000000000003" customHeight="1" thickBot="1" x14ac:dyDescent="0.25">
      <c r="A48" s="360" t="s">
        <v>103</v>
      </c>
      <c r="B48" s="361"/>
      <c r="C48" s="187"/>
      <c r="D48" s="187"/>
      <c r="E48" s="187"/>
      <c r="F48" s="187"/>
      <c r="G48" s="188"/>
      <c r="H48" s="104">
        <f t="shared" ref="H48:R48" si="27">SUM(H47:H47)</f>
        <v>70000</v>
      </c>
      <c r="I48" s="104">
        <f t="shared" si="27"/>
        <v>2009</v>
      </c>
      <c r="J48" s="104">
        <f t="shared" si="27"/>
        <v>2128</v>
      </c>
      <c r="K48" s="104">
        <f t="shared" si="27"/>
        <v>0</v>
      </c>
      <c r="L48" s="104">
        <f t="shared" si="27"/>
        <v>4137</v>
      </c>
      <c r="M48" s="104">
        <f t="shared" si="27"/>
        <v>65863</v>
      </c>
      <c r="N48" s="104">
        <f t="shared" si="27"/>
        <v>5368.4498333333331</v>
      </c>
      <c r="O48" s="104">
        <f t="shared" si="27"/>
        <v>0</v>
      </c>
      <c r="P48" s="104">
        <f t="shared" si="27"/>
        <v>3265</v>
      </c>
      <c r="Q48" s="104">
        <f t="shared" si="27"/>
        <v>12770.449833333332</v>
      </c>
      <c r="R48" s="104">
        <f t="shared" si="27"/>
        <v>57229.550166666668</v>
      </c>
    </row>
    <row r="49" spans="1:18" s="114" customFormat="1" ht="39.950000000000003" customHeight="1" thickBot="1" x14ac:dyDescent="0.25">
      <c r="A49" s="176" t="s">
        <v>127</v>
      </c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</row>
    <row r="50" spans="1:18" s="174" customFormat="1" ht="39.950000000000003" customHeight="1" x14ac:dyDescent="0.2">
      <c r="A50" s="160">
        <f>+A47+1</f>
        <v>25</v>
      </c>
      <c r="B50" s="168" t="s">
        <v>184</v>
      </c>
      <c r="C50" s="138" t="s">
        <v>347</v>
      </c>
      <c r="D50" s="110" t="s">
        <v>605</v>
      </c>
      <c r="E50" s="157" t="s">
        <v>183</v>
      </c>
      <c r="F50" s="168" t="s">
        <v>580</v>
      </c>
      <c r="G50" s="168" t="s">
        <v>631</v>
      </c>
      <c r="H50" s="121">
        <v>85000</v>
      </c>
      <c r="I50" s="121">
        <f>H50*2.87%</f>
        <v>2439.5</v>
      </c>
      <c r="J50" s="121">
        <f>+H50*3.04%</f>
        <v>2584</v>
      </c>
      <c r="K50" s="121"/>
      <c r="L50" s="119">
        <f>+J50+I50+K50</f>
        <v>5023.5</v>
      </c>
      <c r="M50" s="119">
        <f>+H50-L50</f>
        <v>79976.5</v>
      </c>
      <c r="N50" s="119">
        <f>+IF(M50*12&lt;=416220.01,0,IF(M50*12&lt;=624329.01,(((M50*12-416220.01)*0.15)/12),IF((M50*12&lt;=867123.01),(31216+0.2*(M50*12-624329.01))/12,((79776+0.25*(M50*12-867123.01))/12))))-O50</f>
        <v>8577.0622916666671</v>
      </c>
      <c r="O50" s="119"/>
      <c r="P50" s="159">
        <f>3786.79+100</f>
        <v>3886.79</v>
      </c>
      <c r="Q50" s="121">
        <f>+P50+N50+L50</f>
        <v>17487.352291666666</v>
      </c>
      <c r="R50" s="159">
        <f>+H50-Q50</f>
        <v>67512.64770833333</v>
      </c>
    </row>
    <row r="51" spans="1:18" s="174" customFormat="1" ht="39.950000000000003" customHeight="1" x14ac:dyDescent="0.2">
      <c r="A51" s="160">
        <f>+A50+1</f>
        <v>26</v>
      </c>
      <c r="B51" s="168" t="s">
        <v>530</v>
      </c>
      <c r="C51" s="138" t="s">
        <v>346</v>
      </c>
      <c r="D51" s="110" t="s">
        <v>612</v>
      </c>
      <c r="E51" s="157" t="s">
        <v>183</v>
      </c>
      <c r="F51" s="157" t="s">
        <v>599</v>
      </c>
      <c r="G51" s="157" t="s">
        <v>656</v>
      </c>
      <c r="H51" s="121">
        <v>80000</v>
      </c>
      <c r="I51" s="121">
        <f>H51*2.87%</f>
        <v>2296</v>
      </c>
      <c r="J51" s="121">
        <f>+H51*3.04%</f>
        <v>2432</v>
      </c>
      <c r="K51" s="121"/>
      <c r="L51" s="119">
        <f>+J51+I51+K51</f>
        <v>4728</v>
      </c>
      <c r="M51" s="119">
        <f>+H51-L51</f>
        <v>75272</v>
      </c>
      <c r="N51" s="119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9"/>
      <c r="P51" s="159">
        <f>125+100</f>
        <v>225</v>
      </c>
      <c r="Q51" s="121">
        <f>+P51+N51+L51</f>
        <v>12353.937291666665</v>
      </c>
      <c r="R51" s="159">
        <f>+H51-Q51</f>
        <v>67646.062708333338</v>
      </c>
    </row>
    <row r="52" spans="1:18" s="117" customFormat="1" ht="39.950000000000003" customHeight="1" x14ac:dyDescent="0.2">
      <c r="A52" s="360" t="s">
        <v>103</v>
      </c>
      <c r="B52" s="361"/>
      <c r="C52" s="103"/>
      <c r="D52" s="103"/>
      <c r="E52" s="103"/>
      <c r="F52" s="103"/>
      <c r="G52" s="103"/>
      <c r="H52" s="104">
        <f>SUM(H50:H51)</f>
        <v>165000</v>
      </c>
      <c r="I52" s="104">
        <f t="shared" ref="I52:R52" si="29">SUM(I50:I51)</f>
        <v>4735.5</v>
      </c>
      <c r="J52" s="104">
        <f t="shared" si="29"/>
        <v>5016</v>
      </c>
      <c r="K52" s="104">
        <f t="shared" si="29"/>
        <v>0</v>
      </c>
      <c r="L52" s="104">
        <f t="shared" si="29"/>
        <v>9751.5</v>
      </c>
      <c r="M52" s="104">
        <f t="shared" si="29"/>
        <v>155248.5</v>
      </c>
      <c r="N52" s="104">
        <f t="shared" si="29"/>
        <v>15977.999583333334</v>
      </c>
      <c r="O52" s="104">
        <f t="shared" si="29"/>
        <v>0</v>
      </c>
      <c r="P52" s="104">
        <f t="shared" si="29"/>
        <v>4111.79</v>
      </c>
      <c r="Q52" s="104">
        <f t="shared" si="29"/>
        <v>29841.289583333331</v>
      </c>
      <c r="R52" s="104">
        <f t="shared" si="29"/>
        <v>135158.71041666667</v>
      </c>
    </row>
    <row r="53" spans="1:18" s="117" customFormat="1" ht="39.950000000000003" customHeight="1" thickBot="1" x14ac:dyDescent="0.25">
      <c r="A53" s="173"/>
      <c r="B53" s="173"/>
      <c r="C53" s="173"/>
      <c r="D53" s="173"/>
      <c r="E53" s="173"/>
      <c r="F53" s="173"/>
      <c r="G53" s="173"/>
    </row>
    <row r="54" spans="1:18" s="117" customFormat="1" ht="39.950000000000003" customHeight="1" thickBot="1" x14ac:dyDescent="0.25">
      <c r="A54" s="176" t="s">
        <v>128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</row>
    <row r="55" spans="1:18" s="117" customFormat="1" ht="39.950000000000003" customHeight="1" x14ac:dyDescent="0.2">
      <c r="A55" s="315">
        <f>+A51+1</f>
        <v>27</v>
      </c>
      <c r="B55" s="144" t="s">
        <v>355</v>
      </c>
      <c r="C55" s="139" t="s">
        <v>347</v>
      </c>
      <c r="D55" s="157" t="s">
        <v>356</v>
      </c>
      <c r="E55" s="157" t="s">
        <v>183</v>
      </c>
      <c r="F55" s="168" t="s">
        <v>657</v>
      </c>
      <c r="G55" s="157" t="s">
        <v>658</v>
      </c>
      <c r="H55" s="120">
        <v>145000</v>
      </c>
      <c r="I55" s="119">
        <f>H55*2.87%</f>
        <v>4161.5</v>
      </c>
      <c r="J55" s="121">
        <f>+H55*3.04%</f>
        <v>4408</v>
      </c>
      <c r="K55" s="121"/>
      <c r="L55" s="121">
        <f>+J55+I55+K55</f>
        <v>8569.5</v>
      </c>
      <c r="M55" s="119">
        <f>+H55-L55</f>
        <v>136430.5</v>
      </c>
      <c r="N55" s="119">
        <f>+IF(M55*12&lt;=416220.01,0,IF(M55*12&lt;=624329.01,(((M55*12-416220.01)*0.15)/12),IF((M55*12&lt;=867123.01),(31216+0.2*(M55*12-624329.01))/12,((79776+0.25*(M55*12-867123.01))/12))))</f>
        <v>22690.562291666665</v>
      </c>
      <c r="O55" s="119"/>
      <c r="P55" s="164">
        <f>125+100</f>
        <v>225</v>
      </c>
      <c r="Q55" s="119">
        <f>+P55+N55+L55</f>
        <v>31485.062291666665</v>
      </c>
      <c r="R55" s="164">
        <f>+H55-Q55</f>
        <v>113514.93770833334</v>
      </c>
    </row>
    <row r="56" spans="1:18" s="117" customFormat="1" ht="39.950000000000003" customHeight="1" x14ac:dyDescent="0.2">
      <c r="A56" s="315">
        <f>+A55+1</f>
        <v>28</v>
      </c>
      <c r="B56" s="330" t="s">
        <v>610</v>
      </c>
      <c r="C56" s="139" t="s">
        <v>347</v>
      </c>
      <c r="D56" s="157" t="s">
        <v>612</v>
      </c>
      <c r="E56" s="110" t="s">
        <v>183</v>
      </c>
      <c r="F56" s="157" t="s">
        <v>611</v>
      </c>
      <c r="G56" s="157" t="s">
        <v>671</v>
      </c>
      <c r="H56" s="164">
        <v>80000</v>
      </c>
      <c r="I56" s="121">
        <f>H56*2.87%</f>
        <v>2296</v>
      </c>
      <c r="J56" s="121">
        <f>+H56*3.04%</f>
        <v>2432</v>
      </c>
      <c r="K56" s="121"/>
      <c r="L56" s="119">
        <f>+J56+I56+K56</f>
        <v>4728</v>
      </c>
      <c r="M56" s="119">
        <f>+H56-L56</f>
        <v>75272</v>
      </c>
      <c r="N56" s="119">
        <f t="shared" ref="N56" si="30">+IF(M56*12&lt;=416220.01,0,IF(M56*12&lt;=624329.01,(((M56*12-416220.01)*0.15)/12),IF((M56*12&lt;=867123.01),(31216+0.2*(M56*12-624329.01))/12,((79776+0.25*(M56*12-867123.01))/12))))</f>
        <v>7400.9372916666662</v>
      </c>
      <c r="O56" s="119"/>
      <c r="P56" s="159">
        <v>25</v>
      </c>
      <c r="Q56" s="119">
        <f>+P56+N56+L56</f>
        <v>12153.937291666665</v>
      </c>
      <c r="R56" s="159">
        <f>+H56-Q56</f>
        <v>67846.062708333338</v>
      </c>
    </row>
    <row r="57" spans="1:18" s="117" customFormat="1" ht="39.950000000000003" customHeight="1" x14ac:dyDescent="0.2">
      <c r="A57" s="360" t="s">
        <v>103</v>
      </c>
      <c r="B57" s="361"/>
      <c r="C57" s="103"/>
      <c r="D57" s="103"/>
      <c r="E57" s="103"/>
      <c r="F57" s="103"/>
      <c r="G57" s="103"/>
      <c r="H57" s="104">
        <f t="shared" ref="H57:R57" si="31">SUM(H55:H56)</f>
        <v>225000</v>
      </c>
      <c r="I57" s="104">
        <f t="shared" si="31"/>
        <v>6457.5</v>
      </c>
      <c r="J57" s="104">
        <f t="shared" si="31"/>
        <v>6840</v>
      </c>
      <c r="K57" s="104">
        <f t="shared" si="31"/>
        <v>0</v>
      </c>
      <c r="L57" s="104">
        <f t="shared" si="31"/>
        <v>13297.5</v>
      </c>
      <c r="M57" s="104">
        <f t="shared" si="31"/>
        <v>211702.5</v>
      </c>
      <c r="N57" s="104">
        <f t="shared" si="31"/>
        <v>30091.499583333331</v>
      </c>
      <c r="O57" s="104">
        <f t="shared" si="31"/>
        <v>0</v>
      </c>
      <c r="P57" s="104">
        <f t="shared" si="31"/>
        <v>250</v>
      </c>
      <c r="Q57" s="104">
        <f t="shared" si="31"/>
        <v>43638.999583333331</v>
      </c>
      <c r="R57" s="104">
        <f t="shared" si="31"/>
        <v>181361.00041666668</v>
      </c>
    </row>
    <row r="58" spans="1:18" s="117" customFormat="1" ht="39.950000000000003" customHeight="1" thickBot="1" x14ac:dyDescent="0.25">
      <c r="A58" s="173"/>
      <c r="B58" s="173"/>
      <c r="C58" s="173"/>
      <c r="D58" s="173"/>
      <c r="E58" s="173"/>
      <c r="F58" s="173"/>
      <c r="G58" s="173"/>
    </row>
    <row r="59" spans="1:18" s="117" customFormat="1" ht="39.950000000000003" customHeight="1" thickBot="1" x14ac:dyDescent="0.25">
      <c r="A59" s="154" t="s">
        <v>129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</row>
    <row r="60" spans="1:18" s="117" customFormat="1" ht="39.950000000000003" customHeight="1" x14ac:dyDescent="0.2">
      <c r="A60" s="180">
        <f>+A56+1</f>
        <v>29</v>
      </c>
      <c r="B60" s="181" t="s">
        <v>484</v>
      </c>
      <c r="C60" s="132" t="s">
        <v>346</v>
      </c>
      <c r="D60" s="179" t="s">
        <v>605</v>
      </c>
      <c r="E60" s="105" t="s">
        <v>183</v>
      </c>
      <c r="F60" s="168" t="s">
        <v>619</v>
      </c>
      <c r="G60" s="157" t="s">
        <v>618</v>
      </c>
      <c r="H60" s="159">
        <v>80000</v>
      </c>
      <c r="I60" s="119">
        <f>H60*2.87%</f>
        <v>2296</v>
      </c>
      <c r="J60" s="119">
        <f>+H60*3.04%</f>
        <v>2432</v>
      </c>
      <c r="K60" s="119"/>
      <c r="L60" s="119">
        <f>+J60+I60+K60</f>
        <v>4728</v>
      </c>
      <c r="M60" s="119">
        <f>+H60-L60</f>
        <v>75272</v>
      </c>
      <c r="N60" s="119">
        <f>+IF(M61*12&lt;=416220.01,0,IF(M60*12&lt;=624329.01,(((M60*12-416220.01)*0.15)/12),IF((M60*12&lt;=867123.01),(31216+0.2*(M60*12-624329.01))/12,((79776+0.25*(M60*12-867123.01))/12))))-O60</f>
        <v>7400.9372916666662</v>
      </c>
      <c r="O60" s="119"/>
      <c r="P60" s="164">
        <f>15125+100</f>
        <v>15225</v>
      </c>
      <c r="Q60" s="119">
        <f>+P60+N60+L60</f>
        <v>27353.937291666665</v>
      </c>
      <c r="R60" s="164">
        <f>+H60-Q60</f>
        <v>52646.062708333338</v>
      </c>
    </row>
    <row r="61" spans="1:18" s="117" customFormat="1" ht="39.950000000000003" customHeight="1" thickBot="1" x14ac:dyDescent="0.25">
      <c r="A61" s="360" t="s">
        <v>103</v>
      </c>
      <c r="B61" s="361"/>
      <c r="C61" s="103"/>
      <c r="D61" s="103"/>
      <c r="E61" s="103"/>
      <c r="F61" s="103"/>
      <c r="G61" s="103"/>
      <c r="H61" s="104">
        <f>SUM(H60)</f>
        <v>80000</v>
      </c>
      <c r="I61" s="104">
        <f t="shared" ref="I61:R61" si="32">SUM(I60)</f>
        <v>2296</v>
      </c>
      <c r="J61" s="104">
        <f t="shared" si="32"/>
        <v>2432</v>
      </c>
      <c r="K61" s="104">
        <f t="shared" si="32"/>
        <v>0</v>
      </c>
      <c r="L61" s="104">
        <f t="shared" si="32"/>
        <v>4728</v>
      </c>
      <c r="M61" s="104">
        <f t="shared" si="32"/>
        <v>75272</v>
      </c>
      <c r="N61" s="104">
        <f t="shared" si="32"/>
        <v>7400.9372916666662</v>
      </c>
      <c r="O61" s="104">
        <f t="shared" si="32"/>
        <v>0</v>
      </c>
      <c r="P61" s="104">
        <f t="shared" si="32"/>
        <v>15225</v>
      </c>
      <c r="Q61" s="104">
        <f t="shared" si="32"/>
        <v>27353.937291666665</v>
      </c>
      <c r="R61" s="104">
        <f t="shared" si="32"/>
        <v>52646.062708333338</v>
      </c>
    </row>
    <row r="62" spans="1:18" s="117" customFormat="1" ht="39.950000000000003" customHeight="1" thickBot="1" x14ac:dyDescent="0.25">
      <c r="A62" s="154" t="s">
        <v>130</v>
      </c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</row>
    <row r="63" spans="1:18" s="117" customFormat="1" ht="39.950000000000003" customHeight="1" x14ac:dyDescent="0.2">
      <c r="A63" s="180">
        <f>+A60+1</f>
        <v>30</v>
      </c>
      <c r="B63" s="181" t="s">
        <v>106</v>
      </c>
      <c r="C63" s="132" t="s">
        <v>346</v>
      </c>
      <c r="D63" s="179" t="s">
        <v>612</v>
      </c>
      <c r="E63" s="105" t="s">
        <v>183</v>
      </c>
      <c r="F63" s="157" t="s">
        <v>657</v>
      </c>
      <c r="G63" s="157" t="s">
        <v>658</v>
      </c>
      <c r="H63" s="159">
        <v>90000</v>
      </c>
      <c r="I63" s="119">
        <f>H63*2.87%</f>
        <v>2583</v>
      </c>
      <c r="J63" s="119">
        <f>+H63*3.04%</f>
        <v>2736</v>
      </c>
      <c r="K63" s="119"/>
      <c r="L63" s="119">
        <f>+J63+I63+K63</f>
        <v>5319</v>
      </c>
      <c r="M63" s="119">
        <f>+H63-L63</f>
        <v>84681</v>
      </c>
      <c r="N63" s="119">
        <f>+IF(M63*12&lt;=416220.01,0,IF(M63*12&lt;=624329.01,(((M63*12-416220.01)*0.15)/12),IF((M63*12&lt;=867123.01),(31216+0.2*(M63*12-624329.01))/12,((79776+0.25*(M63*12-867123.01))/12))))-O63</f>
        <v>9753.1872916666671</v>
      </c>
      <c r="O63" s="119"/>
      <c r="P63" s="164">
        <v>25</v>
      </c>
      <c r="Q63" s="119">
        <f>+P63+N63+L63</f>
        <v>15097.187291666667</v>
      </c>
      <c r="R63" s="164">
        <f>+H63-Q63</f>
        <v>74902.812708333338</v>
      </c>
    </row>
    <row r="64" spans="1:18" s="117" customFormat="1" ht="39.950000000000003" customHeight="1" x14ac:dyDescent="0.2">
      <c r="A64" s="180">
        <f>+A63+1</f>
        <v>31</v>
      </c>
      <c r="B64" s="181" t="s">
        <v>509</v>
      </c>
      <c r="C64" s="132" t="s">
        <v>346</v>
      </c>
      <c r="D64" s="179" t="s">
        <v>605</v>
      </c>
      <c r="E64" s="105" t="s">
        <v>183</v>
      </c>
      <c r="F64" s="157" t="s">
        <v>657</v>
      </c>
      <c r="G64" s="157" t="s">
        <v>658</v>
      </c>
      <c r="H64" s="159">
        <v>80000</v>
      </c>
      <c r="I64" s="121">
        <f>H64*2.87%</f>
        <v>2296</v>
      </c>
      <c r="J64" s="121">
        <f>+H64*3.04%</f>
        <v>2432</v>
      </c>
      <c r="K64" s="121">
        <v>3430.92</v>
      </c>
      <c r="L64" s="121">
        <f>+J64+I64+K64</f>
        <v>8158.92</v>
      </c>
      <c r="M64" s="119">
        <f>+H64-L64</f>
        <v>71841.08</v>
      </c>
      <c r="N64" s="119">
        <f>+IF(M64*12&lt;=416220.01,0,IF(M64*12&lt;=624329.01,(((M64*12-416220.01)*0.15)/12),IF((M64*12&lt;=867123.01),(31216+0.2*(M64*12-624329.01))/12,((79776+0.25*(M64*12-867123.01))/12))))-O64</f>
        <v>6564.0658333333331</v>
      </c>
      <c r="O64" s="119"/>
      <c r="P64" s="164">
        <f>3386.61+100</f>
        <v>3486.61</v>
      </c>
      <c r="Q64" s="119">
        <f>+P64+N64+L64</f>
        <v>18209.595833333333</v>
      </c>
      <c r="R64" s="159">
        <f>+H64-Q64</f>
        <v>61790.404166666667</v>
      </c>
    </row>
    <row r="65" spans="1:18" s="117" customFormat="1" ht="39.950000000000003" customHeight="1" x14ac:dyDescent="0.2">
      <c r="A65" s="360" t="s">
        <v>103</v>
      </c>
      <c r="B65" s="361"/>
      <c r="C65" s="103"/>
      <c r="D65" s="103"/>
      <c r="E65" s="103"/>
      <c r="F65" s="103"/>
      <c r="G65" s="103"/>
      <c r="H65" s="104">
        <f>SUM(H63:H64)</f>
        <v>170000</v>
      </c>
      <c r="I65" s="104">
        <f t="shared" ref="I65:R65" si="33">SUM(I63:I64)</f>
        <v>4879</v>
      </c>
      <c r="J65" s="104">
        <f t="shared" si="33"/>
        <v>5168</v>
      </c>
      <c r="K65" s="104">
        <f t="shared" si="33"/>
        <v>3430.92</v>
      </c>
      <c r="L65" s="104">
        <f t="shared" si="33"/>
        <v>13477.92</v>
      </c>
      <c r="M65" s="104">
        <f t="shared" si="33"/>
        <v>156522.08000000002</v>
      </c>
      <c r="N65" s="104">
        <f t="shared" si="33"/>
        <v>16317.253124999999</v>
      </c>
      <c r="O65" s="104">
        <f t="shared" si="33"/>
        <v>0</v>
      </c>
      <c r="P65" s="104">
        <f t="shared" si="33"/>
        <v>3511.61</v>
      </c>
      <c r="Q65" s="104">
        <f t="shared" si="33"/>
        <v>33306.783125000002</v>
      </c>
      <c r="R65" s="104">
        <f t="shared" si="33"/>
        <v>136693.21687500001</v>
      </c>
    </row>
    <row r="66" spans="1:18" s="117" customFormat="1" ht="39.950000000000003" customHeight="1" thickBot="1" x14ac:dyDescent="0.25">
      <c r="A66" s="173"/>
      <c r="B66" s="173"/>
      <c r="C66" s="173"/>
      <c r="D66" s="173"/>
      <c r="E66" s="173"/>
      <c r="F66" s="173"/>
      <c r="G66" s="173"/>
      <c r="J66" s="174"/>
      <c r="K66" s="174"/>
      <c r="L66" s="174"/>
      <c r="M66" s="174"/>
      <c r="N66" s="174"/>
      <c r="O66" s="174"/>
      <c r="P66" s="174"/>
      <c r="Q66" s="174"/>
      <c r="R66" s="174"/>
    </row>
    <row r="67" spans="1:18" s="114" customFormat="1" ht="39.950000000000003" customHeight="1" thickBot="1" x14ac:dyDescent="0.25">
      <c r="A67" s="154" t="s">
        <v>131</v>
      </c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</row>
    <row r="68" spans="1:18" s="118" customFormat="1" ht="39.950000000000003" customHeight="1" x14ac:dyDescent="0.2">
      <c r="A68" s="180">
        <f>+A64+1</f>
        <v>32</v>
      </c>
      <c r="B68" s="108" t="s">
        <v>527</v>
      </c>
      <c r="C68" s="133" t="s">
        <v>346</v>
      </c>
      <c r="D68" s="157" t="s">
        <v>605</v>
      </c>
      <c r="E68" s="157" t="s">
        <v>183</v>
      </c>
      <c r="F68" s="157" t="s">
        <v>611</v>
      </c>
      <c r="G68" s="157" t="s">
        <v>671</v>
      </c>
      <c r="H68" s="164">
        <v>80000</v>
      </c>
      <c r="I68" s="119">
        <f>H68*2.87%</f>
        <v>2296</v>
      </c>
      <c r="J68" s="119">
        <f>+H68*3.04%</f>
        <v>2432</v>
      </c>
      <c r="K68" s="119"/>
      <c r="L68" s="119">
        <f>+J68+I68+K68</f>
        <v>4728</v>
      </c>
      <c r="M68" s="119">
        <f>+H68-L68</f>
        <v>75272</v>
      </c>
      <c r="N68" s="119">
        <f>+IF(M68*12&lt;=416220.01,0,IF(M68*12&lt;=624329.01,(((M68*12-416220.01)*0.15)/12),IF((M68*12&lt;=867123.01),(31216+0.2*(M68*12-624329.01))/12,((79776+0.25*(M68*12-867123.01))/12))))-O68</f>
        <v>7400.9372916666662</v>
      </c>
      <c r="O68" s="119"/>
      <c r="P68" s="159">
        <v>25</v>
      </c>
      <c r="Q68" s="119">
        <f>+P68+N68+L68</f>
        <v>12153.937291666665</v>
      </c>
      <c r="R68" s="164">
        <f>+H68-Q68</f>
        <v>67846.062708333338</v>
      </c>
    </row>
    <row r="69" spans="1:18" s="118" customFormat="1" ht="39.950000000000003" customHeight="1" x14ac:dyDescent="0.2">
      <c r="A69" s="360" t="s">
        <v>103</v>
      </c>
      <c r="B69" s="361"/>
      <c r="C69" s="103"/>
      <c r="D69" s="103"/>
      <c r="E69" s="103"/>
      <c r="F69" s="103"/>
      <c r="G69" s="103"/>
      <c r="H69" s="104">
        <f t="shared" ref="H69:R69" si="34">SUM(H68:H68)</f>
        <v>80000</v>
      </c>
      <c r="I69" s="104">
        <f t="shared" si="34"/>
        <v>2296</v>
      </c>
      <c r="J69" s="104">
        <f t="shared" si="34"/>
        <v>2432</v>
      </c>
      <c r="K69" s="104">
        <f t="shared" si="34"/>
        <v>0</v>
      </c>
      <c r="L69" s="104">
        <f t="shared" si="34"/>
        <v>4728</v>
      </c>
      <c r="M69" s="104">
        <f t="shared" si="34"/>
        <v>75272</v>
      </c>
      <c r="N69" s="104">
        <f t="shared" si="34"/>
        <v>7400.9372916666662</v>
      </c>
      <c r="O69" s="104">
        <f t="shared" si="34"/>
        <v>0</v>
      </c>
      <c r="P69" s="104">
        <f t="shared" si="34"/>
        <v>25</v>
      </c>
      <c r="Q69" s="104">
        <f t="shared" si="34"/>
        <v>12153.937291666665</v>
      </c>
      <c r="R69" s="104">
        <f t="shared" si="34"/>
        <v>67846.062708333338</v>
      </c>
    </row>
    <row r="70" spans="1:18" s="118" customFormat="1" ht="39.950000000000003" customHeight="1" thickBo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</row>
    <row r="71" spans="1:18" s="118" customFormat="1" ht="39.950000000000003" customHeight="1" thickBot="1" x14ac:dyDescent="0.25">
      <c r="A71" s="154" t="s">
        <v>399</v>
      </c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</row>
    <row r="72" spans="1:18" s="114" customFormat="1" ht="39.950000000000003" customHeight="1" x14ac:dyDescent="0.2">
      <c r="A72" s="180">
        <f>+A68+1</f>
        <v>33</v>
      </c>
      <c r="B72" s="108" t="s">
        <v>398</v>
      </c>
      <c r="C72" s="133" t="s">
        <v>347</v>
      </c>
      <c r="D72" s="157" t="s">
        <v>605</v>
      </c>
      <c r="E72" s="157" t="s">
        <v>183</v>
      </c>
      <c r="F72" s="168" t="s">
        <v>657</v>
      </c>
      <c r="G72" s="157" t="s">
        <v>658</v>
      </c>
      <c r="H72" s="164">
        <v>80000</v>
      </c>
      <c r="I72" s="119">
        <f>H72*2.87%</f>
        <v>2296</v>
      </c>
      <c r="J72" s="119">
        <f>+H72*3.04%</f>
        <v>2432</v>
      </c>
      <c r="K72" s="119"/>
      <c r="L72" s="119">
        <f>+J72+I72+K72</f>
        <v>4728</v>
      </c>
      <c r="M72" s="119">
        <f>+H72-L72</f>
        <v>75272</v>
      </c>
      <c r="N72" s="119">
        <f>+IF(M72*12&lt;=416220.01,0,IF(M72*12&lt;=624329.01,(((M72*12-416220.01)*0.15)/12),IF((M72*12&lt;=867123.01),(31216+0.2*(M72*12-624329.01))/12,((79776+0.25*(M72*12-867123.01))/12))))-O72</f>
        <v>7400.9372916666662</v>
      </c>
      <c r="O72" s="119">
        <v>0</v>
      </c>
      <c r="P72" s="159">
        <f>11315.3+100</f>
        <v>11415.3</v>
      </c>
      <c r="Q72" s="119">
        <f>+P72+N72+L72</f>
        <v>23544.237291666665</v>
      </c>
      <c r="R72" s="164">
        <f>+H72-Q72</f>
        <v>56455.762708333335</v>
      </c>
    </row>
    <row r="73" spans="1:18" s="117" customFormat="1" ht="39.950000000000003" customHeight="1" x14ac:dyDescent="0.2">
      <c r="A73" s="360" t="s">
        <v>103</v>
      </c>
      <c r="B73" s="361"/>
      <c r="C73" s="103"/>
      <c r="D73" s="103"/>
      <c r="E73" s="103"/>
      <c r="F73" s="103"/>
      <c r="G73" s="103"/>
      <c r="H73" s="104">
        <f>+H72</f>
        <v>80000</v>
      </c>
      <c r="I73" s="104">
        <f>+I72</f>
        <v>2296</v>
      </c>
      <c r="J73" s="104">
        <f>+J72</f>
        <v>2432</v>
      </c>
      <c r="K73" s="104">
        <f t="shared" ref="K73:R73" si="35">+K72</f>
        <v>0</v>
      </c>
      <c r="L73" s="104">
        <f>+L72</f>
        <v>4728</v>
      </c>
      <c r="M73" s="104">
        <f>+M72</f>
        <v>75272</v>
      </c>
      <c r="N73" s="104">
        <f>+N72</f>
        <v>7400.9372916666662</v>
      </c>
      <c r="O73" s="104">
        <f t="shared" si="35"/>
        <v>0</v>
      </c>
      <c r="P73" s="104">
        <f>+P72</f>
        <v>11415.3</v>
      </c>
      <c r="Q73" s="104">
        <f t="shared" si="35"/>
        <v>23544.237291666665</v>
      </c>
      <c r="R73" s="104">
        <f t="shared" si="35"/>
        <v>56455.762708333335</v>
      </c>
    </row>
    <row r="74" spans="1:18" s="174" customFormat="1" ht="39.950000000000003" customHeight="1" thickBot="1" x14ac:dyDescent="0.25">
      <c r="A74" s="173"/>
      <c r="B74" s="173"/>
      <c r="C74" s="173"/>
      <c r="D74" s="173"/>
      <c r="E74" s="173"/>
      <c r="F74" s="173"/>
      <c r="G74" s="173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</row>
    <row r="75" spans="1:18" s="174" customFormat="1" ht="39.950000000000003" customHeight="1" thickBot="1" x14ac:dyDescent="0.25">
      <c r="A75" s="154" t="s">
        <v>166</v>
      </c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</row>
    <row r="76" spans="1:18" s="117" customFormat="1" ht="39.950000000000003" customHeight="1" x14ac:dyDescent="0.2">
      <c r="A76" s="180">
        <f>+A72+1</f>
        <v>34</v>
      </c>
      <c r="B76" s="181" t="s">
        <v>313</v>
      </c>
      <c r="C76" s="132" t="s">
        <v>347</v>
      </c>
      <c r="D76" s="179" t="s">
        <v>605</v>
      </c>
      <c r="E76" s="105" t="s">
        <v>183</v>
      </c>
      <c r="F76" s="157" t="s">
        <v>611</v>
      </c>
      <c r="G76" s="157" t="s">
        <v>671</v>
      </c>
      <c r="H76" s="159">
        <v>90000</v>
      </c>
      <c r="I76" s="121">
        <f>H76*2.87%</f>
        <v>2583</v>
      </c>
      <c r="J76" s="121">
        <f>+H76*3.04%</f>
        <v>2736</v>
      </c>
      <c r="K76" s="121">
        <v>1715.46</v>
      </c>
      <c r="L76" s="121">
        <f>+J76+I76+K76</f>
        <v>7034.46</v>
      </c>
      <c r="M76" s="121">
        <f>+H76-L76</f>
        <v>82965.539999999994</v>
      </c>
      <c r="N76" s="119">
        <f>+IF(M77*12&lt;=416220.01,0,IF(M76*12&lt;=624329.01,(((M76*12-416220.01)*0.15)/12),IF((M76*12&lt;=867123.01),(31216+0.2*(M76*12-624329.01))/12,((79776+0.25*(M76*12-867123.01))/12))))-O76</f>
        <v>9324.3222916666655</v>
      </c>
      <c r="O76" s="121"/>
      <c r="P76" s="159">
        <v>3225</v>
      </c>
      <c r="Q76" s="119">
        <f>+P76+N76+L76</f>
        <v>19583.782291666666</v>
      </c>
      <c r="R76" s="159">
        <f>+H76-Q76</f>
        <v>70416.217708333337</v>
      </c>
    </row>
    <row r="77" spans="1:18" s="117" customFormat="1" ht="39.950000000000003" customHeight="1" x14ac:dyDescent="0.2">
      <c r="A77" s="180">
        <f>+A76+1</f>
        <v>35</v>
      </c>
      <c r="B77" s="181" t="s">
        <v>400</v>
      </c>
      <c r="C77" s="132" t="s">
        <v>347</v>
      </c>
      <c r="D77" s="179" t="s">
        <v>605</v>
      </c>
      <c r="E77" s="105" t="s">
        <v>183</v>
      </c>
      <c r="F77" s="157" t="s">
        <v>590</v>
      </c>
      <c r="G77" s="157" t="s">
        <v>674</v>
      </c>
      <c r="H77" s="159">
        <v>90000</v>
      </c>
      <c r="I77" s="121">
        <f>H77*2.87%</f>
        <v>2583</v>
      </c>
      <c r="J77" s="121">
        <f>+H77*3.04%</f>
        <v>2736</v>
      </c>
      <c r="K77" s="119">
        <v>1715.46</v>
      </c>
      <c r="L77" s="119">
        <f>+J77+I77+K77</f>
        <v>7034.46</v>
      </c>
      <c r="M77" s="119">
        <f>+H77-L77</f>
        <v>82965.539999999994</v>
      </c>
      <c r="N77" s="119">
        <f t="shared" ref="N77:N79" si="36">+IF(M78*12&lt;=416220.01,0,IF(M77*12&lt;=624329.01,(((M77*12-416220.01)*0.15)/12),IF((M77*12&lt;=867123.01),(31216+0.2*(M77*12-624329.01))/12,((79776+0.25*(M77*12-867123.01))/12))))-O77</f>
        <v>9324.3222916666655</v>
      </c>
      <c r="O77" s="119">
        <v>0</v>
      </c>
      <c r="P77" s="120">
        <f>2552.64+100</f>
        <v>2652.64</v>
      </c>
      <c r="Q77" s="119">
        <f>+P77+N77+L77</f>
        <v>19011.422291666666</v>
      </c>
      <c r="R77" s="159">
        <f>+H77-Q77</f>
        <v>70988.577708333338</v>
      </c>
    </row>
    <row r="78" spans="1:18" s="117" customFormat="1" ht="39.950000000000003" customHeight="1" x14ac:dyDescent="0.2">
      <c r="A78" s="180">
        <f>+A77+1</f>
        <v>36</v>
      </c>
      <c r="B78" s="181" t="s">
        <v>333</v>
      </c>
      <c r="C78" s="132" t="s">
        <v>347</v>
      </c>
      <c r="D78" s="179" t="s">
        <v>605</v>
      </c>
      <c r="E78" s="105" t="s">
        <v>183</v>
      </c>
      <c r="F78" s="157" t="s">
        <v>611</v>
      </c>
      <c r="G78" s="157" t="s">
        <v>671</v>
      </c>
      <c r="H78" s="159">
        <v>80000</v>
      </c>
      <c r="I78" s="100">
        <f>H78*2.87%</f>
        <v>2296</v>
      </c>
      <c r="J78" s="100">
        <f>+H78*3.04%</f>
        <v>2432</v>
      </c>
      <c r="K78" s="100">
        <v>1715.46</v>
      </c>
      <c r="L78" s="108">
        <f>+J78+I78+K78</f>
        <v>6443.46</v>
      </c>
      <c r="M78" s="108">
        <f>+H78-L78</f>
        <v>73556.539999999994</v>
      </c>
      <c r="N78" s="119">
        <f t="shared" si="36"/>
        <v>6972.0722916666664</v>
      </c>
      <c r="O78" s="108">
        <v>0</v>
      </c>
      <c r="P78" s="120">
        <f>100+2125</f>
        <v>2225</v>
      </c>
      <c r="Q78" s="108">
        <f>+P78+N78+L78</f>
        <v>15640.532291666666</v>
      </c>
      <c r="R78" s="167">
        <f>+H78-Q78</f>
        <v>64359.467708333337</v>
      </c>
    </row>
    <row r="79" spans="1:18" s="117" customFormat="1" ht="39.950000000000003" customHeight="1" x14ac:dyDescent="0.2">
      <c r="A79" s="156">
        <f>+A78+1</f>
        <v>37</v>
      </c>
      <c r="B79" s="161" t="s">
        <v>613</v>
      </c>
      <c r="C79" s="133" t="s">
        <v>346</v>
      </c>
      <c r="D79" s="157" t="s">
        <v>605</v>
      </c>
      <c r="E79" s="157" t="s">
        <v>183</v>
      </c>
      <c r="F79" s="157" t="s">
        <v>611</v>
      </c>
      <c r="G79" s="157" t="s">
        <v>671</v>
      </c>
      <c r="H79" s="164">
        <v>80000</v>
      </c>
      <c r="I79" s="119">
        <f>H79*2.87%</f>
        <v>2296</v>
      </c>
      <c r="J79" s="119">
        <f>+H79*3.04%</f>
        <v>2432</v>
      </c>
      <c r="K79" s="119"/>
      <c r="L79" s="119">
        <f>+J79+I79+K79</f>
        <v>4728</v>
      </c>
      <c r="M79" s="119">
        <f>+H79-L79</f>
        <v>75272</v>
      </c>
      <c r="N79" s="119">
        <f t="shared" si="36"/>
        <v>7400.9372916666662</v>
      </c>
      <c r="O79" s="119"/>
      <c r="P79" s="119">
        <f>100+2125</f>
        <v>2225</v>
      </c>
      <c r="Q79" s="119">
        <f>+P79+N79+L79</f>
        <v>14353.937291666665</v>
      </c>
      <c r="R79" s="119">
        <f>+H79-Q79</f>
        <v>65646.062708333338</v>
      </c>
    </row>
    <row r="80" spans="1:18" s="174" customFormat="1" ht="39.950000000000003" customHeight="1" x14ac:dyDescent="0.2">
      <c r="A80" s="360" t="s">
        <v>103</v>
      </c>
      <c r="B80" s="361"/>
      <c r="C80" s="103"/>
      <c r="D80" s="103"/>
      <c r="E80" s="103"/>
      <c r="F80" s="103"/>
      <c r="G80" s="103"/>
      <c r="H80" s="104">
        <f>SUM(H76:H79)</f>
        <v>340000</v>
      </c>
      <c r="I80" s="104">
        <f t="shared" ref="I80:R80" si="37">SUM(I76:I79)</f>
        <v>9758</v>
      </c>
      <c r="J80" s="104">
        <f t="shared" si="37"/>
        <v>10336</v>
      </c>
      <c r="K80" s="104">
        <f t="shared" si="37"/>
        <v>5146.38</v>
      </c>
      <c r="L80" s="104">
        <f t="shared" si="37"/>
        <v>25240.38</v>
      </c>
      <c r="M80" s="104">
        <f t="shared" si="37"/>
        <v>314759.62</v>
      </c>
      <c r="N80" s="104">
        <f t="shared" si="37"/>
        <v>33021.654166666667</v>
      </c>
      <c r="O80" s="104">
        <f t="shared" si="37"/>
        <v>0</v>
      </c>
      <c r="P80" s="104">
        <f t="shared" si="37"/>
        <v>10327.64</v>
      </c>
      <c r="Q80" s="104">
        <f t="shared" si="37"/>
        <v>68589.674166666664</v>
      </c>
      <c r="R80" s="104">
        <f t="shared" si="37"/>
        <v>271410.32583333331</v>
      </c>
    </row>
    <row r="81" spans="1:18" s="114" customFormat="1" ht="39.950000000000003" customHeight="1" thickBot="1" x14ac:dyDescent="0.25">
      <c r="A81" s="173"/>
      <c r="B81" s="173"/>
      <c r="C81" s="173"/>
      <c r="D81" s="173"/>
      <c r="E81" s="173"/>
      <c r="F81" s="173"/>
      <c r="G81" s="173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</row>
    <row r="82" spans="1:18" s="117" customFormat="1" ht="39.950000000000003" customHeight="1" thickBot="1" x14ac:dyDescent="0.25">
      <c r="A82" s="154" t="s">
        <v>134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</row>
    <row r="83" spans="1:18" s="117" customFormat="1" ht="39.950000000000003" customHeight="1" x14ac:dyDescent="0.2">
      <c r="A83" s="160">
        <f>+A79+1</f>
        <v>38</v>
      </c>
      <c r="B83" s="108" t="s">
        <v>125</v>
      </c>
      <c r="C83" s="133" t="s">
        <v>346</v>
      </c>
      <c r="D83" s="157" t="s">
        <v>428</v>
      </c>
      <c r="E83" s="157" t="s">
        <v>183</v>
      </c>
      <c r="F83" s="168" t="s">
        <v>619</v>
      </c>
      <c r="G83" s="157" t="s">
        <v>618</v>
      </c>
      <c r="H83" s="164">
        <v>155000</v>
      </c>
      <c r="I83" s="121">
        <f>H83*2.87%</f>
        <v>4448.5</v>
      </c>
      <c r="J83" s="121">
        <f>+H83*3.04%</f>
        <v>4712</v>
      </c>
      <c r="K83" s="121"/>
      <c r="L83" s="119">
        <f>+J83+I83+K83</f>
        <v>9160.5</v>
      </c>
      <c r="M83" s="119">
        <f>+H83-L83</f>
        <v>145839.5</v>
      </c>
      <c r="N83" s="119">
        <f>+IF(M83*12&lt;=416220.01,0,IF(M83*12&lt;=624329.01,(((M83*12-416220.01)*0.15)/12),IF((M83*12&lt;=867123.01),(31216+0.2*(M83*12-624329.01))/12,((79776+0.25*(M83*12-867123.01))/12))))-O83</f>
        <v>25042.812291666665</v>
      </c>
      <c r="O83" s="119">
        <v>0</v>
      </c>
      <c r="P83" s="159">
        <f>100+125</f>
        <v>225</v>
      </c>
      <c r="Q83" s="119">
        <f>+P83+N83+L83</f>
        <v>34428.312291666662</v>
      </c>
      <c r="R83" s="159">
        <f>+H83-Q83</f>
        <v>120571.68770833334</v>
      </c>
    </row>
    <row r="84" spans="1:18" s="117" customFormat="1" ht="39.950000000000003" customHeight="1" x14ac:dyDescent="0.2">
      <c r="A84" s="160">
        <f>+A83+1</f>
        <v>39</v>
      </c>
      <c r="B84" s="161" t="s">
        <v>470</v>
      </c>
      <c r="C84" s="133" t="s">
        <v>347</v>
      </c>
      <c r="D84" s="157" t="s">
        <v>605</v>
      </c>
      <c r="E84" s="157" t="s">
        <v>183</v>
      </c>
      <c r="F84" s="157" t="s">
        <v>599</v>
      </c>
      <c r="G84" s="157" t="s">
        <v>656</v>
      </c>
      <c r="H84" s="164">
        <v>80000</v>
      </c>
      <c r="I84" s="121">
        <f>H84*2.87%</f>
        <v>2296</v>
      </c>
      <c r="J84" s="121">
        <f>+H84*3.04%</f>
        <v>2432</v>
      </c>
      <c r="K84" s="121">
        <v>1715.46</v>
      </c>
      <c r="L84" s="119">
        <f>+J84+I84+K84</f>
        <v>6443.46</v>
      </c>
      <c r="M84" s="119">
        <f t="shared" ref="M84" si="38">+H84-L84</f>
        <v>73556.539999999994</v>
      </c>
      <c r="N84" s="119">
        <f t="shared" ref="N84:N85" si="39">+IF(M84*12&lt;=416220.01,0,IF(M84*12&lt;=624329.01,(((M84*12-416220.01)*0.15)/12),IF((M84*12&lt;=867123.01),(31216+0.2*(M84*12-624329.01))/12,((79776+0.25*(M84*12-867123.01))/12))))-O84</f>
        <v>6972.0722916666664</v>
      </c>
      <c r="O84" s="119"/>
      <c r="P84" s="159">
        <f>100+1125</f>
        <v>1225</v>
      </c>
      <c r="Q84" s="119">
        <f t="shared" ref="Q84" si="40">+P84+N84+L84</f>
        <v>14640.532291666666</v>
      </c>
      <c r="R84" s="159">
        <f t="shared" ref="R84" si="41">+H84-Q84</f>
        <v>65359.467708333337</v>
      </c>
    </row>
    <row r="85" spans="1:18" s="117" customFormat="1" ht="39.950000000000003" customHeight="1" x14ac:dyDescent="0.2">
      <c r="A85" s="160">
        <f>+A84+1</f>
        <v>40</v>
      </c>
      <c r="B85" s="168" t="s">
        <v>528</v>
      </c>
      <c r="C85" s="138" t="s">
        <v>347</v>
      </c>
      <c r="D85" s="110" t="s">
        <v>605</v>
      </c>
      <c r="E85" s="157" t="s">
        <v>183</v>
      </c>
      <c r="F85" s="157" t="s">
        <v>611</v>
      </c>
      <c r="G85" s="157" t="s">
        <v>671</v>
      </c>
      <c r="H85" s="121">
        <v>80000</v>
      </c>
      <c r="I85" s="121">
        <f>H85*2.87%</f>
        <v>2296</v>
      </c>
      <c r="J85" s="121">
        <f>+H85*3.04%</f>
        <v>2432</v>
      </c>
      <c r="K85" s="121">
        <v>0</v>
      </c>
      <c r="L85" s="119">
        <f t="shared" ref="L85" si="42">+J85+I85+K85</f>
        <v>4728</v>
      </c>
      <c r="M85" s="119">
        <f>+H85-L85</f>
        <v>75272</v>
      </c>
      <c r="N85" s="119">
        <f t="shared" si="39"/>
        <v>7400.9372916666662</v>
      </c>
      <c r="O85" s="119">
        <v>0</v>
      </c>
      <c r="P85" s="159">
        <v>25</v>
      </c>
      <c r="Q85" s="121">
        <f>+P85+N85+L85</f>
        <v>12153.937291666665</v>
      </c>
      <c r="R85" s="159">
        <f>+H85-Q85</f>
        <v>67846.062708333338</v>
      </c>
    </row>
    <row r="86" spans="1:18" s="117" customFormat="1" ht="39.950000000000003" customHeight="1" thickBot="1" x14ac:dyDescent="0.25">
      <c r="A86" s="360" t="s">
        <v>103</v>
      </c>
      <c r="B86" s="361"/>
      <c r="C86" s="103"/>
      <c r="D86" s="103"/>
      <c r="E86" s="103"/>
      <c r="F86" s="103"/>
      <c r="G86" s="103"/>
      <c r="H86" s="104">
        <f>SUM(H83:H85)</f>
        <v>315000</v>
      </c>
      <c r="I86" s="104">
        <f t="shared" ref="I86:R86" si="43">SUM(I83:I85)</f>
        <v>9040.5</v>
      </c>
      <c r="J86" s="104">
        <f t="shared" si="43"/>
        <v>9576</v>
      </c>
      <c r="K86" s="104">
        <f t="shared" si="43"/>
        <v>1715.46</v>
      </c>
      <c r="L86" s="104">
        <f t="shared" si="43"/>
        <v>20331.96</v>
      </c>
      <c r="M86" s="104">
        <f t="shared" si="43"/>
        <v>294668.03999999998</v>
      </c>
      <c r="N86" s="104">
        <f t="shared" si="43"/>
        <v>39415.821875000001</v>
      </c>
      <c r="O86" s="104">
        <f t="shared" si="43"/>
        <v>0</v>
      </c>
      <c r="P86" s="104">
        <f t="shared" si="43"/>
        <v>1475</v>
      </c>
      <c r="Q86" s="104">
        <f t="shared" si="43"/>
        <v>61222.781874999986</v>
      </c>
      <c r="R86" s="104">
        <f t="shared" si="43"/>
        <v>253777.21812500001</v>
      </c>
    </row>
    <row r="87" spans="1:18" s="117" customFormat="1" ht="39.950000000000003" customHeight="1" thickBot="1" x14ac:dyDescent="0.25">
      <c r="A87" s="154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Q87" s="155"/>
      <c r="R87" s="155"/>
    </row>
    <row r="88" spans="1:18" s="117" customFormat="1" ht="39.950000000000003" customHeight="1" thickBot="1" x14ac:dyDescent="0.25">
      <c r="A88" s="154" t="s">
        <v>448</v>
      </c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</row>
    <row r="89" spans="1:18" s="117" customFormat="1" ht="39.950000000000003" customHeight="1" x14ac:dyDescent="0.2">
      <c r="A89" s="156">
        <f>+A85+1</f>
        <v>41</v>
      </c>
      <c r="B89" s="161" t="s">
        <v>330</v>
      </c>
      <c r="C89" s="133" t="s">
        <v>346</v>
      </c>
      <c r="D89" s="157" t="s">
        <v>605</v>
      </c>
      <c r="E89" s="157" t="s">
        <v>183</v>
      </c>
      <c r="F89" s="168" t="s">
        <v>580</v>
      </c>
      <c r="G89" s="157" t="s">
        <v>631</v>
      </c>
      <c r="H89" s="164">
        <v>85000</v>
      </c>
      <c r="I89" s="119">
        <f>H89*2.87%</f>
        <v>2439.5</v>
      </c>
      <c r="J89" s="119">
        <f>+H89*3.04%</f>
        <v>2584</v>
      </c>
      <c r="K89" s="119"/>
      <c r="L89" s="119">
        <f>+J89+I89+K89</f>
        <v>5023.5</v>
      </c>
      <c r="M89" s="119">
        <f>+H89-L89</f>
        <v>79976.5</v>
      </c>
      <c r="N89" s="119">
        <f>+IF(M89*12&lt;=416220.01,0,IF(M89*12&lt;=624329.01,(((M89*12-416220.01)*0.15)/12),IF((M89*12&lt;=867123.01),(31216+0.2*(M89*12-624329.01))/12,((79776+0.25*(M89*12-867123.01))/12))))</f>
        <v>8577.0622916666671</v>
      </c>
      <c r="O89" s="119"/>
      <c r="P89" s="119">
        <f>100+3125</f>
        <v>3225</v>
      </c>
      <c r="Q89" s="119">
        <f>+P89+N89+L89</f>
        <v>16825.562291666669</v>
      </c>
      <c r="R89" s="119">
        <f>+H89-Q89</f>
        <v>68174.437708333338</v>
      </c>
    </row>
    <row r="90" spans="1:18" s="174" customFormat="1" ht="41.25" customHeight="1" x14ac:dyDescent="0.2">
      <c r="A90" s="180">
        <f>+A89+1</f>
        <v>42</v>
      </c>
      <c r="B90" s="181" t="s">
        <v>559</v>
      </c>
      <c r="C90" s="132" t="s">
        <v>347</v>
      </c>
      <c r="D90" s="179" t="s">
        <v>605</v>
      </c>
      <c r="E90" s="105" t="s">
        <v>183</v>
      </c>
      <c r="F90" s="157" t="s">
        <v>599</v>
      </c>
      <c r="G90" s="157" t="s">
        <v>656</v>
      </c>
      <c r="H90" s="159">
        <v>80000</v>
      </c>
      <c r="I90" s="121">
        <f>H90*2.87%</f>
        <v>2296</v>
      </c>
      <c r="J90" s="121">
        <f>+H90*3.04%</f>
        <v>2432</v>
      </c>
      <c r="K90" s="121"/>
      <c r="L90" s="119">
        <f>+J90+I90+K90</f>
        <v>4728</v>
      </c>
      <c r="M90" s="119">
        <f>+H90-L90</f>
        <v>75272</v>
      </c>
      <c r="N90" s="119">
        <f>+IF(M90*12&lt;=416220.01,0,IF(M90*12&lt;=624329.01,(((M90*12-416220.01)*0.15)/12),IF((M90*12&lt;=867123.01),(31216+0.2*(M90*12-624329.01))/12,((79776+0.25*(M90*12-867123.01))/12))))</f>
        <v>7400.9372916666662</v>
      </c>
      <c r="O90" s="119"/>
      <c r="P90" s="164">
        <f>100+1625</f>
        <v>1725</v>
      </c>
      <c r="Q90" s="119">
        <f>+P90+N90+L90</f>
        <v>13853.937291666665</v>
      </c>
      <c r="R90" s="159">
        <f>+H90-Q90</f>
        <v>66146.062708333338</v>
      </c>
    </row>
    <row r="91" spans="1:18" s="117" customFormat="1" ht="39.950000000000003" customHeight="1" thickBot="1" x14ac:dyDescent="0.25">
      <c r="A91" s="360" t="s">
        <v>103</v>
      </c>
      <c r="B91" s="361"/>
      <c r="C91" s="103"/>
      <c r="D91" s="103"/>
      <c r="E91" s="103"/>
      <c r="F91" s="103"/>
      <c r="G91" s="103"/>
      <c r="H91" s="104">
        <f t="shared" ref="H91:R91" si="44">SUM(H89:H90)</f>
        <v>165000</v>
      </c>
      <c r="I91" s="104">
        <f t="shared" si="44"/>
        <v>4735.5</v>
      </c>
      <c r="J91" s="104">
        <f t="shared" si="44"/>
        <v>5016</v>
      </c>
      <c r="K91" s="104">
        <f t="shared" si="44"/>
        <v>0</v>
      </c>
      <c r="L91" s="104">
        <f t="shared" si="44"/>
        <v>9751.5</v>
      </c>
      <c r="M91" s="104">
        <f t="shared" si="44"/>
        <v>155248.5</v>
      </c>
      <c r="N91" s="104">
        <f t="shared" si="44"/>
        <v>15977.999583333334</v>
      </c>
      <c r="O91" s="104">
        <f t="shared" si="44"/>
        <v>0</v>
      </c>
      <c r="P91" s="104">
        <f t="shared" si="44"/>
        <v>4950</v>
      </c>
      <c r="Q91" s="104">
        <f t="shared" si="44"/>
        <v>30679.499583333334</v>
      </c>
      <c r="R91" s="104">
        <f t="shared" si="44"/>
        <v>134320.50041666668</v>
      </c>
    </row>
    <row r="92" spans="1:18" s="117" customFormat="1" ht="39.950000000000003" customHeight="1" thickBot="1" x14ac:dyDescent="0.25">
      <c r="A92" s="154" t="s">
        <v>137</v>
      </c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</row>
    <row r="93" spans="1:18" s="174" customFormat="1" ht="39.950000000000003" customHeight="1" x14ac:dyDescent="0.2">
      <c r="A93" s="160">
        <f>+A90+1</f>
        <v>43</v>
      </c>
      <c r="B93" s="161" t="s">
        <v>504</v>
      </c>
      <c r="C93" s="133" t="s">
        <v>347</v>
      </c>
      <c r="D93" s="157" t="s">
        <v>605</v>
      </c>
      <c r="E93" s="157" t="s">
        <v>183</v>
      </c>
      <c r="F93" s="157" t="s">
        <v>590</v>
      </c>
      <c r="G93" s="157" t="s">
        <v>665</v>
      </c>
      <c r="H93" s="164">
        <v>80000</v>
      </c>
      <c r="I93" s="119">
        <f>H93*2.87%</f>
        <v>2296</v>
      </c>
      <c r="J93" s="119">
        <f>+H93*3.04%</f>
        <v>2432</v>
      </c>
      <c r="K93" s="119"/>
      <c r="L93" s="119">
        <f>+J93+I93+K93</f>
        <v>4728</v>
      </c>
      <c r="M93" s="119">
        <f>+H93-L93</f>
        <v>75272</v>
      </c>
      <c r="N93" s="119">
        <v>7400.94</v>
      </c>
      <c r="O93" s="119"/>
      <c r="P93" s="159">
        <v>1024.9999999999991</v>
      </c>
      <c r="Q93" s="119">
        <f>+P93+N93+L93</f>
        <v>13153.939999999999</v>
      </c>
      <c r="R93" s="164">
        <f>+H93-Q93</f>
        <v>66846.06</v>
      </c>
    </row>
    <row r="94" spans="1:18" s="174" customFormat="1" ht="39.950000000000003" customHeight="1" x14ac:dyDescent="0.2">
      <c r="A94" s="160">
        <f>+A93+1</f>
        <v>44</v>
      </c>
      <c r="B94" s="161" t="s">
        <v>373</v>
      </c>
      <c r="C94" s="133" t="s">
        <v>346</v>
      </c>
      <c r="D94" s="157" t="s">
        <v>605</v>
      </c>
      <c r="E94" s="157" t="s">
        <v>183</v>
      </c>
      <c r="F94" s="168" t="s">
        <v>619</v>
      </c>
      <c r="G94" s="157" t="s">
        <v>618</v>
      </c>
      <c r="H94" s="164">
        <v>90000</v>
      </c>
      <c r="I94" s="119">
        <f>H94*2.87%</f>
        <v>2583</v>
      </c>
      <c r="J94" s="119">
        <f>+H94*3.04%</f>
        <v>2736</v>
      </c>
      <c r="K94" s="119"/>
      <c r="L94" s="119">
        <f>+J94+I94+K94</f>
        <v>5319</v>
      </c>
      <c r="M94" s="119">
        <f>+H94-L94</f>
        <v>84681</v>
      </c>
      <c r="N94" s="119">
        <f>+IF(M68*12&lt;=416220.01,0,IF(M94*12&lt;=624329.01,(((M94*12-416220.01)*0.15)/12),IF((M94*12&lt;=867123.01),(31216+0.2*(M94*12-624329.01))/12,((79776+0.25*(M94*12-867123.01))/12))))-O94</f>
        <v>9753.1872916666671</v>
      </c>
      <c r="O94" s="119"/>
      <c r="P94" s="159">
        <f>100+125</f>
        <v>225</v>
      </c>
      <c r="Q94" s="119">
        <f>+P94+N94+L94</f>
        <v>15297.187291666667</v>
      </c>
      <c r="R94" s="164">
        <f>+H94-Q94</f>
        <v>74702.812708333338</v>
      </c>
    </row>
    <row r="95" spans="1:18" s="117" customFormat="1" ht="39.950000000000003" customHeight="1" x14ac:dyDescent="0.2">
      <c r="A95" s="360" t="s">
        <v>103</v>
      </c>
      <c r="B95" s="361"/>
      <c r="C95" s="103"/>
      <c r="D95" s="103"/>
      <c r="E95" s="103"/>
      <c r="F95" s="103"/>
      <c r="G95" s="103"/>
      <c r="H95" s="104">
        <f>SUM(H93:H94)</f>
        <v>170000</v>
      </c>
      <c r="I95" s="104">
        <f t="shared" ref="I95:R95" si="45">SUM(I93:I94)</f>
        <v>4879</v>
      </c>
      <c r="J95" s="104">
        <f t="shared" si="45"/>
        <v>5168</v>
      </c>
      <c r="K95" s="104">
        <f t="shared" si="45"/>
        <v>0</v>
      </c>
      <c r="L95" s="104">
        <f t="shared" si="45"/>
        <v>10047</v>
      </c>
      <c r="M95" s="104">
        <f t="shared" si="45"/>
        <v>159953</v>
      </c>
      <c r="N95" s="104">
        <f t="shared" si="45"/>
        <v>17154.127291666668</v>
      </c>
      <c r="O95" s="104">
        <f t="shared" si="45"/>
        <v>0</v>
      </c>
      <c r="P95" s="104">
        <f t="shared" si="45"/>
        <v>1249.9999999999991</v>
      </c>
      <c r="Q95" s="104">
        <f t="shared" si="45"/>
        <v>28451.127291666664</v>
      </c>
      <c r="R95" s="104">
        <f t="shared" si="45"/>
        <v>141548.87270833334</v>
      </c>
    </row>
    <row r="96" spans="1:18" s="117" customFormat="1" ht="39.950000000000003" customHeight="1" thickBot="1" x14ac:dyDescent="0.25">
      <c r="A96" s="173"/>
      <c r="B96" s="173"/>
      <c r="C96" s="173"/>
      <c r="D96" s="173"/>
      <c r="E96" s="173"/>
      <c r="F96" s="173"/>
      <c r="G96" s="173"/>
    </row>
    <row r="97" spans="1:18" s="101" customFormat="1" ht="39.950000000000003" customHeight="1" thickBot="1" x14ac:dyDescent="0.25">
      <c r="A97" s="154" t="s">
        <v>139</v>
      </c>
      <c r="B97" s="155"/>
      <c r="C97" s="155"/>
      <c r="D97" s="155"/>
      <c r="E97" s="155"/>
      <c r="F97" s="155"/>
      <c r="G97" s="32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</row>
    <row r="98" spans="1:18" s="117" customFormat="1" ht="39.950000000000003" customHeight="1" x14ac:dyDescent="0.2">
      <c r="A98" s="160">
        <f>+A94+1</f>
        <v>45</v>
      </c>
      <c r="B98" s="161" t="s">
        <v>368</v>
      </c>
      <c r="C98" s="133" t="s">
        <v>346</v>
      </c>
      <c r="D98" s="157" t="s">
        <v>605</v>
      </c>
      <c r="E98" s="157" t="s">
        <v>183</v>
      </c>
      <c r="F98" s="157" t="s">
        <v>599</v>
      </c>
      <c r="G98" s="157" t="s">
        <v>656</v>
      </c>
      <c r="H98" s="164">
        <v>80000</v>
      </c>
      <c r="I98" s="119">
        <f>H98*2.87%</f>
        <v>2296</v>
      </c>
      <c r="J98" s="119">
        <f>+H98*3.04%</f>
        <v>2432</v>
      </c>
      <c r="K98" s="119"/>
      <c r="L98" s="119">
        <f>+J98+I98+K98</f>
        <v>4728</v>
      </c>
      <c r="M98" s="119">
        <f>+H98-L98</f>
        <v>75272</v>
      </c>
      <c r="N98" s="119">
        <f>+IF(M98*12&lt;=416220.01,0,IF(M98*12&lt;=624329.01,(((M98*12-416220.01)*0.15)/12),IF((M98*12&lt;=867123.01),(31216+0.2*(M98*12-624329.01))/12,((79776+0.25*(M98*12-867123.01))/12))))</f>
        <v>7400.9372916666662</v>
      </c>
      <c r="O98" s="119"/>
      <c r="P98" s="159">
        <v>225</v>
      </c>
      <c r="Q98" s="119">
        <f>+P98+N98+L98</f>
        <v>12353.937291666665</v>
      </c>
      <c r="R98" s="164">
        <f>+H98-Q98</f>
        <v>67646.062708333338</v>
      </c>
    </row>
    <row r="99" spans="1:18" s="117" customFormat="1" ht="39.950000000000003" customHeight="1" x14ac:dyDescent="0.2">
      <c r="A99" s="360" t="s">
        <v>103</v>
      </c>
      <c r="B99" s="361"/>
      <c r="C99" s="103"/>
      <c r="D99" s="103"/>
      <c r="E99" s="103"/>
      <c r="F99" s="103"/>
      <c r="G99" s="103"/>
      <c r="H99" s="104">
        <f>SUM(H98)</f>
        <v>80000</v>
      </c>
      <c r="I99" s="104">
        <f t="shared" ref="I99:R99" si="46">SUM(I98)</f>
        <v>2296</v>
      </c>
      <c r="J99" s="104">
        <f t="shared" si="46"/>
        <v>2432</v>
      </c>
      <c r="K99" s="104">
        <f t="shared" si="46"/>
        <v>0</v>
      </c>
      <c r="L99" s="104">
        <f t="shared" si="46"/>
        <v>4728</v>
      </c>
      <c r="M99" s="104">
        <f t="shared" si="46"/>
        <v>75272</v>
      </c>
      <c r="N99" s="104">
        <f t="shared" si="46"/>
        <v>7400.9372916666662</v>
      </c>
      <c r="O99" s="104">
        <f t="shared" si="46"/>
        <v>0</v>
      </c>
      <c r="P99" s="104">
        <f t="shared" si="46"/>
        <v>225</v>
      </c>
      <c r="Q99" s="104">
        <f t="shared" si="46"/>
        <v>12353.937291666665</v>
      </c>
      <c r="R99" s="104">
        <f t="shared" si="46"/>
        <v>67646.062708333338</v>
      </c>
    </row>
    <row r="100" spans="1:18" s="117" customFormat="1" ht="39.950000000000003" customHeight="1" thickBot="1" x14ac:dyDescent="0.25">
      <c r="A100" s="173"/>
      <c r="B100" s="173"/>
      <c r="C100" s="173"/>
      <c r="D100" s="173"/>
      <c r="E100" s="173"/>
      <c r="F100" s="173"/>
      <c r="G100" s="173"/>
    </row>
    <row r="101" spans="1:18" s="117" customFormat="1" ht="39.950000000000003" customHeight="1" thickBot="1" x14ac:dyDescent="0.25">
      <c r="A101" s="154" t="s">
        <v>140</v>
      </c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</row>
    <row r="102" spans="1:18" s="101" customFormat="1" ht="39.950000000000003" customHeight="1" x14ac:dyDescent="0.2">
      <c r="A102" s="160">
        <f>+A98+1</f>
        <v>46</v>
      </c>
      <c r="B102" s="100" t="s">
        <v>358</v>
      </c>
      <c r="C102" s="135" t="s">
        <v>347</v>
      </c>
      <c r="D102" s="179" t="s">
        <v>605</v>
      </c>
      <c r="E102" s="179" t="s">
        <v>183</v>
      </c>
      <c r="F102" s="168" t="s">
        <v>657</v>
      </c>
      <c r="G102" s="157" t="s">
        <v>658</v>
      </c>
      <c r="H102" s="164">
        <v>85000</v>
      </c>
      <c r="I102" s="119">
        <f>H102*2.87%</f>
        <v>2439.5</v>
      </c>
      <c r="J102" s="119">
        <f>+H102*3.04%</f>
        <v>2584</v>
      </c>
      <c r="K102" s="119"/>
      <c r="L102" s="119">
        <f>+J102+I102+K102</f>
        <v>5023.5</v>
      </c>
      <c r="M102" s="119">
        <f>+H102-L102</f>
        <v>79976.5</v>
      </c>
      <c r="N102" s="119">
        <f t="shared" ref="N102:N105" si="47">+IF(M102*12&lt;=416220.01,0,IF(M102*12&lt;=624329.01,(((M102*12-416220.01)*0.15)/12),IF((M102*12&lt;=867123.01),(31216+0.2*(M102*12-624329.01))/12,((79776+0.25*(M102*12-867123.01))/12))))</f>
        <v>8577.0622916666671</v>
      </c>
      <c r="O102" s="119"/>
      <c r="P102" s="159">
        <f>100+1125</f>
        <v>1225</v>
      </c>
      <c r="Q102" s="119">
        <f>+P102+N102+L102</f>
        <v>14825.562291666667</v>
      </c>
      <c r="R102" s="164">
        <f>+H102-Q102</f>
        <v>70174.437708333338</v>
      </c>
    </row>
    <row r="103" spans="1:18" s="101" customFormat="1" ht="39.950000000000003" customHeight="1" x14ac:dyDescent="0.2">
      <c r="A103" s="160">
        <f>+A102+1</f>
        <v>47</v>
      </c>
      <c r="B103" s="100" t="s">
        <v>367</v>
      </c>
      <c r="C103" s="135" t="s">
        <v>347</v>
      </c>
      <c r="D103" s="179" t="s">
        <v>605</v>
      </c>
      <c r="E103" s="179" t="s">
        <v>183</v>
      </c>
      <c r="F103" s="157" t="s">
        <v>599</v>
      </c>
      <c r="G103" s="157" t="s">
        <v>656</v>
      </c>
      <c r="H103" s="164">
        <v>85000</v>
      </c>
      <c r="I103" s="119">
        <f>H103*2.87%</f>
        <v>2439.5</v>
      </c>
      <c r="J103" s="119">
        <f>+H103*3.04%</f>
        <v>2584</v>
      </c>
      <c r="K103" s="119"/>
      <c r="L103" s="119">
        <f>+J103+I103+K103</f>
        <v>5023.5</v>
      </c>
      <c r="M103" s="119">
        <f>+H103-L103</f>
        <v>79976.5</v>
      </c>
      <c r="N103" s="119">
        <f t="shared" si="47"/>
        <v>8577.0622916666671</v>
      </c>
      <c r="O103" s="119"/>
      <c r="P103" s="159">
        <f>125+100</f>
        <v>225</v>
      </c>
      <c r="Q103" s="119">
        <f>+P103+N103+L103</f>
        <v>13825.562291666667</v>
      </c>
      <c r="R103" s="164">
        <f>+H103-Q103</f>
        <v>71174.437708333338</v>
      </c>
    </row>
    <row r="104" spans="1:18" s="117" customFormat="1" ht="39.950000000000003" customHeight="1" x14ac:dyDescent="0.2">
      <c r="A104" s="160">
        <f>+A103+1</f>
        <v>48</v>
      </c>
      <c r="B104" s="100" t="s">
        <v>529</v>
      </c>
      <c r="C104" s="135" t="s">
        <v>347</v>
      </c>
      <c r="D104" s="179" t="s">
        <v>605</v>
      </c>
      <c r="E104" s="179" t="s">
        <v>183</v>
      </c>
      <c r="F104" s="157" t="s">
        <v>611</v>
      </c>
      <c r="G104" s="157" t="s">
        <v>671</v>
      </c>
      <c r="H104" s="164">
        <v>80000</v>
      </c>
      <c r="I104" s="119">
        <f>H104*2.87%</f>
        <v>2296</v>
      </c>
      <c r="J104" s="119">
        <f>+H104*3.04%</f>
        <v>2432</v>
      </c>
      <c r="K104" s="119"/>
      <c r="L104" s="119">
        <f>+J104+I104+K104</f>
        <v>4728</v>
      </c>
      <c r="M104" s="119">
        <f>+H104-L104</f>
        <v>75272</v>
      </c>
      <c r="N104" s="119">
        <f t="shared" si="47"/>
        <v>7400.9372916666662</v>
      </c>
      <c r="O104" s="119"/>
      <c r="P104" s="159">
        <f>2165+100</f>
        <v>2265</v>
      </c>
      <c r="Q104" s="119">
        <f>+P104+N104+L104</f>
        <v>14393.937291666665</v>
      </c>
      <c r="R104" s="164">
        <f>+H104-Q104</f>
        <v>65606.062708333338</v>
      </c>
    </row>
    <row r="105" spans="1:18" s="117" customFormat="1" ht="39.950000000000003" customHeight="1" x14ac:dyDescent="0.2">
      <c r="A105" s="160">
        <f>+A104+1</f>
        <v>49</v>
      </c>
      <c r="B105" s="100" t="s">
        <v>432</v>
      </c>
      <c r="C105" s="135" t="s">
        <v>346</v>
      </c>
      <c r="D105" s="179" t="s">
        <v>605</v>
      </c>
      <c r="E105" s="179" t="s">
        <v>183</v>
      </c>
      <c r="F105" s="168" t="s">
        <v>625</v>
      </c>
      <c r="G105" s="157" t="s">
        <v>626</v>
      </c>
      <c r="H105" s="164">
        <v>80000</v>
      </c>
      <c r="I105" s="119">
        <f>H105*2.87%</f>
        <v>2296</v>
      </c>
      <c r="J105" s="119">
        <f>+H105*3.04%</f>
        <v>2432</v>
      </c>
      <c r="K105" s="119"/>
      <c r="L105" s="119">
        <f>+J105+I105+K105</f>
        <v>4728</v>
      </c>
      <c r="M105" s="119">
        <f>+H105-L105</f>
        <v>75272</v>
      </c>
      <c r="N105" s="119">
        <f t="shared" si="47"/>
        <v>7400.9372916666662</v>
      </c>
      <c r="O105" s="119"/>
      <c r="P105" s="159">
        <v>25</v>
      </c>
      <c r="Q105" s="119">
        <f>+P105+N105+L105</f>
        <v>12153.937291666665</v>
      </c>
      <c r="R105" s="164">
        <f>+H105-Q105</f>
        <v>67846.062708333338</v>
      </c>
    </row>
    <row r="106" spans="1:18" s="114" customFormat="1" ht="39.950000000000003" customHeight="1" thickBot="1" x14ac:dyDescent="0.25">
      <c r="A106" s="367" t="s">
        <v>103</v>
      </c>
      <c r="B106" s="368"/>
      <c r="C106" s="103"/>
      <c r="D106" s="103"/>
      <c r="E106" s="103"/>
      <c r="F106" s="103"/>
      <c r="G106" s="103"/>
      <c r="H106" s="104">
        <f>SUM(H102:H105)</f>
        <v>330000</v>
      </c>
      <c r="I106" s="104">
        <f t="shared" ref="I106:R106" si="48">SUM(I102:I105)</f>
        <v>9471</v>
      </c>
      <c r="J106" s="104">
        <f t="shared" si="48"/>
        <v>10032</v>
      </c>
      <c r="K106" s="104">
        <f t="shared" si="48"/>
        <v>0</v>
      </c>
      <c r="L106" s="104">
        <f t="shared" si="48"/>
        <v>19503</v>
      </c>
      <c r="M106" s="104">
        <f t="shared" si="48"/>
        <v>310497</v>
      </c>
      <c r="N106" s="104">
        <f>SUM(N102:N105)</f>
        <v>31955.999166666665</v>
      </c>
      <c r="O106" s="104">
        <f t="shared" si="48"/>
        <v>0</v>
      </c>
      <c r="P106" s="104">
        <f t="shared" si="48"/>
        <v>3740</v>
      </c>
      <c r="Q106" s="104">
        <f t="shared" si="48"/>
        <v>55198.999166666661</v>
      </c>
      <c r="R106" s="104">
        <f t="shared" si="48"/>
        <v>274801.00083333335</v>
      </c>
    </row>
    <row r="107" spans="1:18" s="114" customFormat="1" ht="39.950000000000003" customHeight="1" thickBot="1" x14ac:dyDescent="0.25">
      <c r="A107" s="154" t="s">
        <v>141</v>
      </c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</row>
    <row r="108" spans="1:18" s="101" customFormat="1" ht="39.950000000000003" customHeight="1" x14ac:dyDescent="0.2">
      <c r="A108" s="156">
        <f>+A105+1</f>
        <v>50</v>
      </c>
      <c r="B108" s="108" t="s">
        <v>436</v>
      </c>
      <c r="C108" s="133" t="s">
        <v>346</v>
      </c>
      <c r="D108" s="157" t="s">
        <v>605</v>
      </c>
      <c r="E108" s="157" t="s">
        <v>183</v>
      </c>
      <c r="F108" s="168" t="s">
        <v>657</v>
      </c>
      <c r="G108" s="157" t="s">
        <v>658</v>
      </c>
      <c r="H108" s="164">
        <v>80000</v>
      </c>
      <c r="I108" s="119">
        <f>H108*2.87%</f>
        <v>2296</v>
      </c>
      <c r="J108" s="119">
        <f>+H108*3.04%</f>
        <v>2432</v>
      </c>
      <c r="K108" s="119"/>
      <c r="L108" s="119">
        <f>+J108+I108+K108</f>
        <v>4728</v>
      </c>
      <c r="M108" s="119">
        <f>+H108-L108</f>
        <v>75272</v>
      </c>
      <c r="N108" s="119">
        <f t="shared" ref="N108" si="49">+IF(M108*12&lt;=416220.01,0,IF(M108*12&lt;=624329.01,(((M108*12-416220.01)*0.15)/12),IF((M108*12&lt;=867123.01),(31216+0.2*(M108*12-624329.01))/12,((79776+0.25*(M108*12-867123.01))/12))))</f>
        <v>7400.9372916666662</v>
      </c>
      <c r="O108" s="119">
        <v>0</v>
      </c>
      <c r="P108" s="159">
        <v>25</v>
      </c>
      <c r="Q108" s="119">
        <f>+P108+N108+L108</f>
        <v>12153.937291666665</v>
      </c>
      <c r="R108" s="164">
        <f>+H108-Q108</f>
        <v>67846.062708333338</v>
      </c>
    </row>
    <row r="109" spans="1:18" s="101" customFormat="1" ht="39.950000000000003" customHeight="1" thickBot="1" x14ac:dyDescent="0.25">
      <c r="A109" s="360" t="s">
        <v>103</v>
      </c>
      <c r="B109" s="361"/>
      <c r="C109" s="103"/>
      <c r="D109" s="103"/>
      <c r="E109" s="103"/>
      <c r="F109" s="103"/>
      <c r="G109" s="103"/>
      <c r="H109" s="104">
        <f t="shared" ref="H109:R109" si="50">SUM(H108:H108)</f>
        <v>80000</v>
      </c>
      <c r="I109" s="104">
        <f t="shared" si="50"/>
        <v>2296</v>
      </c>
      <c r="J109" s="104">
        <f t="shared" si="50"/>
        <v>2432</v>
      </c>
      <c r="K109" s="104">
        <f t="shared" si="50"/>
        <v>0</v>
      </c>
      <c r="L109" s="104">
        <f t="shared" si="50"/>
        <v>4728</v>
      </c>
      <c r="M109" s="104">
        <f t="shared" si="50"/>
        <v>75272</v>
      </c>
      <c r="N109" s="104">
        <f t="shared" si="50"/>
        <v>7400.9372916666662</v>
      </c>
      <c r="O109" s="104">
        <f t="shared" si="50"/>
        <v>0</v>
      </c>
      <c r="P109" s="104">
        <f t="shared" si="50"/>
        <v>25</v>
      </c>
      <c r="Q109" s="104">
        <f t="shared" si="50"/>
        <v>12153.937291666665</v>
      </c>
      <c r="R109" s="104">
        <f t="shared" si="50"/>
        <v>67846.062708333338</v>
      </c>
    </row>
    <row r="110" spans="1:18" s="114" customFormat="1" ht="39.950000000000003" customHeight="1" thickBot="1" x14ac:dyDescent="0.25">
      <c r="A110" s="176" t="s">
        <v>142</v>
      </c>
      <c r="B110" s="177"/>
      <c r="C110" s="177"/>
      <c r="D110" s="177"/>
      <c r="E110" s="177"/>
      <c r="F110" s="177"/>
      <c r="G110" s="326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</row>
    <row r="111" spans="1:18" s="114" customFormat="1" ht="39.950000000000003" customHeight="1" x14ac:dyDescent="0.2">
      <c r="A111" s="315">
        <f>+A108+1</f>
        <v>51</v>
      </c>
      <c r="B111" s="161" t="s">
        <v>543</v>
      </c>
      <c r="C111" s="133" t="s">
        <v>346</v>
      </c>
      <c r="D111" s="157" t="s">
        <v>605</v>
      </c>
      <c r="E111" s="157" t="s">
        <v>183</v>
      </c>
      <c r="F111" s="168" t="s">
        <v>625</v>
      </c>
      <c r="G111" s="157" t="s">
        <v>626</v>
      </c>
      <c r="H111" s="164">
        <v>80000</v>
      </c>
      <c r="I111" s="119">
        <f>H111*2.87%</f>
        <v>2296</v>
      </c>
      <c r="J111" s="119">
        <f>+H111*3.04%</f>
        <v>2432</v>
      </c>
      <c r="K111" s="119">
        <v>1715.46</v>
      </c>
      <c r="L111" s="119">
        <f>+J111+I111+K111</f>
        <v>6443.46</v>
      </c>
      <c r="M111" s="119">
        <f>+H111-L111</f>
        <v>73556.539999999994</v>
      </c>
      <c r="N111" s="119">
        <f>+IF(M111*12&lt;=416220.01,0,IF(M111*12&lt;=624329.01,(((M111*12-416220.01)*0.15)/12),IF((M111*12&lt;=867123.01),(31216+0.2*(M111*12-624329.01))/12,((79776+0.25*(M111*12-867123.01))/12))))</f>
        <v>6972.0722916666664</v>
      </c>
      <c r="O111" s="119"/>
      <c r="P111" s="164">
        <v>225</v>
      </c>
      <c r="Q111" s="119">
        <f>+P111+N111+L111</f>
        <v>13640.532291666666</v>
      </c>
      <c r="R111" s="164">
        <f>+H111-Q111</f>
        <v>66359.467708333337</v>
      </c>
    </row>
    <row r="112" spans="1:18" s="114" customFormat="1" ht="39.950000000000003" customHeight="1" x14ac:dyDescent="0.2">
      <c r="A112" s="360" t="s">
        <v>103</v>
      </c>
      <c r="B112" s="361"/>
      <c r="C112" s="103"/>
      <c r="D112" s="103"/>
      <c r="E112" s="103"/>
      <c r="F112" s="103"/>
      <c r="G112" s="103"/>
      <c r="H112" s="104">
        <f t="shared" ref="H112:R112" si="51">SUM(H111:H111)</f>
        <v>80000</v>
      </c>
      <c r="I112" s="104">
        <f t="shared" si="51"/>
        <v>2296</v>
      </c>
      <c r="J112" s="104">
        <f t="shared" si="51"/>
        <v>2432</v>
      </c>
      <c r="K112" s="104">
        <f t="shared" si="51"/>
        <v>1715.46</v>
      </c>
      <c r="L112" s="104">
        <f t="shared" si="51"/>
        <v>6443.46</v>
      </c>
      <c r="M112" s="104">
        <f t="shared" si="51"/>
        <v>73556.539999999994</v>
      </c>
      <c r="N112" s="104">
        <f t="shared" si="51"/>
        <v>6972.0722916666664</v>
      </c>
      <c r="O112" s="104">
        <f t="shared" si="51"/>
        <v>0</v>
      </c>
      <c r="P112" s="104">
        <f t="shared" si="51"/>
        <v>225</v>
      </c>
      <c r="Q112" s="104">
        <f t="shared" si="51"/>
        <v>13640.532291666666</v>
      </c>
      <c r="R112" s="104">
        <f t="shared" si="51"/>
        <v>66359.467708333337</v>
      </c>
    </row>
    <row r="113" spans="1:18" s="114" customFormat="1" ht="39.950000000000003" customHeight="1" thickBot="1" x14ac:dyDescent="0.25">
      <c r="A113" s="173"/>
      <c r="B113" s="173"/>
      <c r="C113" s="173"/>
      <c r="D113" s="173"/>
      <c r="E113" s="173"/>
      <c r="F113" s="173"/>
      <c r="G113" s="173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</row>
    <row r="114" spans="1:18" s="114" customFormat="1" ht="39.950000000000003" customHeight="1" thickBot="1" x14ac:dyDescent="0.25">
      <c r="A114" s="176" t="s">
        <v>145</v>
      </c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</row>
    <row r="115" spans="1:18" s="114" customFormat="1" ht="39.950000000000003" customHeight="1" x14ac:dyDescent="0.2">
      <c r="A115" s="156">
        <f>+A111+1</f>
        <v>52</v>
      </c>
      <c r="B115" s="161" t="s">
        <v>114</v>
      </c>
      <c r="C115" s="133" t="s">
        <v>346</v>
      </c>
      <c r="D115" s="146" t="s">
        <v>173</v>
      </c>
      <c r="E115" s="157" t="s">
        <v>183</v>
      </c>
      <c r="F115" s="168" t="s">
        <v>583</v>
      </c>
      <c r="G115" s="157" t="s">
        <v>646</v>
      </c>
      <c r="H115" s="169">
        <v>145000</v>
      </c>
      <c r="I115" s="119">
        <f>H115*2.87%</f>
        <v>4161.5</v>
      </c>
      <c r="J115" s="121">
        <f>+H115*3.04%</f>
        <v>4408</v>
      </c>
      <c r="K115" s="121">
        <v>1715.46</v>
      </c>
      <c r="L115" s="121">
        <f>+J115+I115+K115</f>
        <v>10284.959999999999</v>
      </c>
      <c r="M115" s="119">
        <f>+H115-L115</f>
        <v>134715.04</v>
      </c>
      <c r="N115" s="119">
        <f>+IF(M115*12&lt;=416220.01,0,IF(M115*12&lt;=624329.01,(((M115*12-416220.01)*0.15)/12),IF((M115*12&lt;=867123.01),(31216+0.2*(M115*12-624329.01))/12,((79776+0.25*(M115*12-867123.01))/12))))</f>
        <v>22261.697291666667</v>
      </c>
      <c r="O115" s="119"/>
      <c r="P115" s="119">
        <f>100+10092</f>
        <v>10192</v>
      </c>
      <c r="Q115" s="119">
        <f>+P115+N115+L115</f>
        <v>42738.657291666663</v>
      </c>
      <c r="R115" s="164">
        <f>+H115-Q115</f>
        <v>102261.34270833334</v>
      </c>
    </row>
    <row r="116" spans="1:18" s="114" customFormat="1" ht="39.950000000000003" customHeight="1" thickBot="1" x14ac:dyDescent="0.25">
      <c r="A116" s="360" t="s">
        <v>103</v>
      </c>
      <c r="B116" s="361"/>
      <c r="C116" s="103"/>
      <c r="D116" s="103"/>
      <c r="E116" s="103"/>
      <c r="F116" s="103"/>
      <c r="G116" s="103"/>
      <c r="H116" s="104">
        <f t="shared" ref="H116:R116" si="52">SUM(H115:H115)</f>
        <v>145000</v>
      </c>
      <c r="I116" s="104">
        <f t="shared" si="52"/>
        <v>4161.5</v>
      </c>
      <c r="J116" s="104">
        <f t="shared" si="52"/>
        <v>4408</v>
      </c>
      <c r="K116" s="104">
        <f t="shared" si="52"/>
        <v>1715.46</v>
      </c>
      <c r="L116" s="104">
        <f t="shared" si="52"/>
        <v>10284.959999999999</v>
      </c>
      <c r="M116" s="104">
        <f t="shared" si="52"/>
        <v>134715.04</v>
      </c>
      <c r="N116" s="104">
        <f t="shared" si="52"/>
        <v>22261.697291666667</v>
      </c>
      <c r="O116" s="104">
        <f t="shared" si="52"/>
        <v>0</v>
      </c>
      <c r="P116" s="104">
        <f t="shared" si="52"/>
        <v>10192</v>
      </c>
      <c r="Q116" s="104">
        <f t="shared" si="52"/>
        <v>42738.657291666663</v>
      </c>
      <c r="R116" s="104">
        <f t="shared" si="52"/>
        <v>102261.34270833334</v>
      </c>
    </row>
    <row r="117" spans="1:18" s="114" customFormat="1" ht="39.950000000000003" customHeight="1" thickBot="1" x14ac:dyDescent="0.25">
      <c r="A117" s="176" t="s">
        <v>147</v>
      </c>
      <c r="B117" s="177"/>
      <c r="C117" s="177"/>
      <c r="D117" s="177"/>
      <c r="E117" s="177"/>
      <c r="F117" s="177"/>
      <c r="G117" s="326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</row>
    <row r="118" spans="1:18" s="114" customFormat="1" ht="39.950000000000003" customHeight="1" x14ac:dyDescent="0.2">
      <c r="A118" s="160">
        <f>+A115+1</f>
        <v>53</v>
      </c>
      <c r="B118" s="182" t="s">
        <v>465</v>
      </c>
      <c r="C118" s="135" t="s">
        <v>347</v>
      </c>
      <c r="D118" s="143" t="s">
        <v>612</v>
      </c>
      <c r="E118" s="179" t="s">
        <v>183</v>
      </c>
      <c r="F118" s="157" t="s">
        <v>599</v>
      </c>
      <c r="G118" s="157" t="s">
        <v>656</v>
      </c>
      <c r="H118" s="169">
        <v>80000</v>
      </c>
      <c r="I118" s="119">
        <f>H118*2.87%</f>
        <v>2296</v>
      </c>
      <c r="J118" s="119">
        <f>+H118*3.04%</f>
        <v>2432</v>
      </c>
      <c r="K118" s="119"/>
      <c r="L118" s="119">
        <f>+J118+I118+K118</f>
        <v>4728</v>
      </c>
      <c r="M118" s="119">
        <f>+H118-L118</f>
        <v>75272</v>
      </c>
      <c r="N118" s="119">
        <f>+IF(M118*12&lt;=416220.01,0,IF(M118*12&lt;=624329.01,(((M118*12-416220.01)*0.15)/12),IF((M118*12&lt;=867123.01),(31216+0.2*(M118*12-624329.01))/12,((79776+0.25*(M118*12-867123.01))/12))))-O118</f>
        <v>7400.9372916666662</v>
      </c>
      <c r="O118" s="119"/>
      <c r="P118" s="159">
        <f>100+2705</f>
        <v>2805</v>
      </c>
      <c r="Q118" s="119">
        <f>+P118+N118+L118</f>
        <v>14933.937291666665</v>
      </c>
      <c r="R118" s="164">
        <f>+H118-Q118</f>
        <v>65066.062708333338</v>
      </c>
    </row>
    <row r="119" spans="1:18" s="118" customFormat="1" ht="39.950000000000003" customHeight="1" thickBot="1" x14ac:dyDescent="0.25">
      <c r="A119" s="360" t="s">
        <v>103</v>
      </c>
      <c r="B119" s="361"/>
      <c r="C119" s="103"/>
      <c r="D119" s="103"/>
      <c r="E119" s="103"/>
      <c r="F119" s="103"/>
      <c r="G119" s="103"/>
      <c r="H119" s="104">
        <f t="shared" ref="H119:R119" si="53">SUM(H118:H118)</f>
        <v>80000</v>
      </c>
      <c r="I119" s="104">
        <f t="shared" si="53"/>
        <v>2296</v>
      </c>
      <c r="J119" s="104">
        <f t="shared" si="53"/>
        <v>2432</v>
      </c>
      <c r="K119" s="104">
        <f t="shared" si="53"/>
        <v>0</v>
      </c>
      <c r="L119" s="104">
        <f t="shared" si="53"/>
        <v>4728</v>
      </c>
      <c r="M119" s="104">
        <f t="shared" si="53"/>
        <v>75272</v>
      </c>
      <c r="N119" s="104">
        <f t="shared" si="53"/>
        <v>7400.9372916666662</v>
      </c>
      <c r="O119" s="104">
        <f t="shared" si="53"/>
        <v>0</v>
      </c>
      <c r="P119" s="104">
        <f t="shared" si="53"/>
        <v>2805</v>
      </c>
      <c r="Q119" s="104">
        <f t="shared" si="53"/>
        <v>14933.937291666665</v>
      </c>
      <c r="R119" s="104">
        <f t="shared" si="53"/>
        <v>65066.062708333338</v>
      </c>
    </row>
    <row r="120" spans="1:18" s="174" customFormat="1" ht="39.950000000000003" customHeight="1" thickBot="1" x14ac:dyDescent="0.25">
      <c r="A120" s="176" t="s">
        <v>379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</row>
    <row r="121" spans="1:18" s="117" customFormat="1" ht="39.950000000000003" customHeight="1" thickBot="1" x14ac:dyDescent="0.25">
      <c r="A121" s="176" t="s">
        <v>380</v>
      </c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</row>
    <row r="122" spans="1:18" s="117" customFormat="1" ht="39.950000000000003" customHeight="1" x14ac:dyDescent="0.2">
      <c r="A122" s="156">
        <f>+A118+1</f>
        <v>54</v>
      </c>
      <c r="B122" s="183" t="s">
        <v>393</v>
      </c>
      <c r="C122" s="133" t="s">
        <v>346</v>
      </c>
      <c r="D122" s="157" t="s">
        <v>407</v>
      </c>
      <c r="E122" s="157" t="s">
        <v>183</v>
      </c>
      <c r="F122" s="168" t="s">
        <v>583</v>
      </c>
      <c r="G122" s="157" t="s">
        <v>646</v>
      </c>
      <c r="H122" s="164">
        <v>190000</v>
      </c>
      <c r="I122" s="119">
        <f>H122*2.87%</f>
        <v>5453</v>
      </c>
      <c r="J122" s="119">
        <f>+H122*3.04%</f>
        <v>5776</v>
      </c>
      <c r="K122" s="119">
        <v>1715.46</v>
      </c>
      <c r="L122" s="119">
        <f>+J122+I122+K122</f>
        <v>12944.46</v>
      </c>
      <c r="M122" s="119">
        <f>+H122-L122</f>
        <v>177055.54</v>
      </c>
      <c r="N122" s="119">
        <f>+IF(M122*12&lt;=416220.01,0,IF(M122*12&lt;=624329.01,(((M122*12-416220.01)*0.15)/12),IF((M122*12&lt;=867123.01),(31216+0.2*(M122*12-624329.01))/12,((79776+0.25*(M122*12-867123.01))/12))))-O122</f>
        <v>32846.822291666664</v>
      </c>
      <c r="O122" s="119"/>
      <c r="P122" s="164">
        <v>25</v>
      </c>
      <c r="Q122" s="119">
        <f>+P122+N122+L122</f>
        <v>45816.282291666663</v>
      </c>
      <c r="R122" s="164">
        <f>+H122-Q122</f>
        <v>144183.71770833334</v>
      </c>
    </row>
    <row r="123" spans="1:18" s="117" customFormat="1" ht="39.950000000000003" customHeight="1" x14ac:dyDescent="0.2">
      <c r="A123" s="160">
        <f>+A122+1</f>
        <v>55</v>
      </c>
      <c r="B123" s="296" t="s">
        <v>552</v>
      </c>
      <c r="C123" s="135" t="s">
        <v>347</v>
      </c>
      <c r="D123" s="179" t="s">
        <v>553</v>
      </c>
      <c r="E123" s="179" t="s">
        <v>183</v>
      </c>
      <c r="F123" s="157" t="s">
        <v>657</v>
      </c>
      <c r="G123" s="157" t="s">
        <v>658</v>
      </c>
      <c r="H123" s="159">
        <v>140000</v>
      </c>
      <c r="I123" s="119">
        <f>H123*2.87%</f>
        <v>4018</v>
      </c>
      <c r="J123" s="119">
        <f>+H123*3.04%</f>
        <v>4256</v>
      </c>
      <c r="K123" s="119">
        <v>1715.46</v>
      </c>
      <c r="L123" s="119">
        <f>+J123+I123+K123</f>
        <v>9989.4599999999991</v>
      </c>
      <c r="M123" s="119">
        <f>+H123-L123</f>
        <v>130010.54000000001</v>
      </c>
      <c r="N123" s="119">
        <f t="shared" ref="N123:N125" si="54">+IF(M123*12&lt;=416220.01,0,IF(M123*12&lt;=624329.01,(((M123*12-416220.01)*0.15)/12),IF((M123*12&lt;=867123.01),(31216+0.2*(M123*12-624329.01))/12,((79776+0.25*(M123*12-867123.01))/12))))-O123</f>
        <v>21085.572291666667</v>
      </c>
      <c r="O123" s="119"/>
      <c r="P123" s="164">
        <v>105</v>
      </c>
      <c r="Q123" s="121">
        <f>+P123+N123+L123</f>
        <v>31180.032291666666</v>
      </c>
      <c r="R123" s="164">
        <f>+H123-Q123</f>
        <v>108819.96770833334</v>
      </c>
    </row>
    <row r="124" spans="1:18" s="117" customFormat="1" ht="39.950000000000003" customHeight="1" x14ac:dyDescent="0.2">
      <c r="A124" s="160">
        <f>+A123+1</f>
        <v>56</v>
      </c>
      <c r="B124" s="121" t="s">
        <v>433</v>
      </c>
      <c r="C124" s="135" t="s">
        <v>347</v>
      </c>
      <c r="D124" s="179" t="s">
        <v>612</v>
      </c>
      <c r="E124" s="179" t="s">
        <v>183</v>
      </c>
      <c r="F124" s="157" t="s">
        <v>657</v>
      </c>
      <c r="G124" s="157" t="s">
        <v>658</v>
      </c>
      <c r="H124" s="159">
        <v>100000</v>
      </c>
      <c r="I124" s="119">
        <f>H124*2.87%</f>
        <v>2870</v>
      </c>
      <c r="J124" s="119">
        <f>+H124*3.04%</f>
        <v>3040</v>
      </c>
      <c r="K124" s="119"/>
      <c r="L124" s="119">
        <f>+J124+I124+K124</f>
        <v>5910</v>
      </c>
      <c r="M124" s="119">
        <f>+H124-L124</f>
        <v>94090</v>
      </c>
      <c r="N124" s="119">
        <f t="shared" si="54"/>
        <v>12105.437291666667</v>
      </c>
      <c r="O124" s="119">
        <v>0</v>
      </c>
      <c r="P124" s="164">
        <v>25</v>
      </c>
      <c r="Q124" s="121">
        <f>+P124+N124+L124</f>
        <v>18040.437291666669</v>
      </c>
      <c r="R124" s="164">
        <f>+H124-Q124</f>
        <v>81959.562708333338</v>
      </c>
    </row>
    <row r="125" spans="1:18" s="117" customFormat="1" ht="39.950000000000003" customHeight="1" x14ac:dyDescent="0.2">
      <c r="A125" s="156">
        <f>+A124+1</f>
        <v>57</v>
      </c>
      <c r="B125" s="119" t="s">
        <v>174</v>
      </c>
      <c r="C125" s="133" t="s">
        <v>347</v>
      </c>
      <c r="D125" s="157" t="s">
        <v>612</v>
      </c>
      <c r="E125" s="157" t="s">
        <v>183</v>
      </c>
      <c r="F125" s="157" t="s">
        <v>590</v>
      </c>
      <c r="G125" s="157" t="s">
        <v>674</v>
      </c>
      <c r="H125" s="164">
        <v>80000</v>
      </c>
      <c r="I125" s="119">
        <f>H125*2.87%</f>
        <v>2296</v>
      </c>
      <c r="J125" s="119">
        <f>+H125*3.04%</f>
        <v>2432</v>
      </c>
      <c r="K125" s="119">
        <v>1715.46</v>
      </c>
      <c r="L125" s="119">
        <f>+J125+I125+K125</f>
        <v>6443.46</v>
      </c>
      <c r="M125" s="119">
        <f>+H125-L125</f>
        <v>73556.539999999994</v>
      </c>
      <c r="N125" s="119">
        <f t="shared" si="54"/>
        <v>6972.0722916666664</v>
      </c>
      <c r="O125" s="119"/>
      <c r="P125" s="164">
        <f>100+2176.41</f>
        <v>2276.41</v>
      </c>
      <c r="Q125" s="119">
        <f>+P125+K125+J125+I125+N125</f>
        <v>15691.942291666666</v>
      </c>
      <c r="R125" s="164">
        <f>+H125-Q125</f>
        <v>64308.057708333334</v>
      </c>
    </row>
    <row r="126" spans="1:18" s="117" customFormat="1" ht="39.950000000000003" customHeight="1" x14ac:dyDescent="0.2">
      <c r="A126" s="360" t="s">
        <v>103</v>
      </c>
      <c r="B126" s="361"/>
      <c r="C126" s="103"/>
      <c r="D126" s="103"/>
      <c r="E126" s="103"/>
      <c r="F126" s="103"/>
      <c r="G126" s="103"/>
      <c r="H126" s="104">
        <f t="shared" ref="H126:O126" si="55">SUM(H122:H125)</f>
        <v>510000</v>
      </c>
      <c r="I126" s="104">
        <f t="shared" si="55"/>
        <v>14637</v>
      </c>
      <c r="J126" s="104">
        <f t="shared" si="55"/>
        <v>15504</v>
      </c>
      <c r="K126" s="104">
        <f t="shared" si="55"/>
        <v>5146.38</v>
      </c>
      <c r="L126" s="104">
        <f t="shared" si="55"/>
        <v>35287.379999999997</v>
      </c>
      <c r="M126" s="104">
        <f t="shared" si="55"/>
        <v>474712.62</v>
      </c>
      <c r="N126" s="104">
        <f t="shared" si="55"/>
        <v>73009.90416666666</v>
      </c>
      <c r="O126" s="104">
        <f t="shared" si="55"/>
        <v>0</v>
      </c>
      <c r="P126" s="104">
        <f>SUM(P122:P125)</f>
        <v>2431.41</v>
      </c>
      <c r="Q126" s="104">
        <f t="shared" ref="Q126:R126" si="56">SUM(Q122:Q125)</f>
        <v>110728.69416666665</v>
      </c>
      <c r="R126" s="104">
        <f t="shared" si="56"/>
        <v>399271.3058333334</v>
      </c>
    </row>
    <row r="127" spans="1:18" s="117" customFormat="1" ht="39.950000000000003" customHeight="1" x14ac:dyDescent="0.2">
      <c r="A127" s="173"/>
      <c r="B127" s="173"/>
      <c r="C127" s="173"/>
      <c r="D127" s="173"/>
      <c r="E127" s="173"/>
      <c r="F127" s="173"/>
      <c r="G127" s="173"/>
    </row>
    <row r="128" spans="1:18" s="117" customFormat="1" ht="39.950000000000003" customHeight="1" thickBot="1" x14ac:dyDescent="0.25">
      <c r="A128" s="173"/>
      <c r="B128" s="173"/>
      <c r="C128" s="173"/>
      <c r="D128" s="173"/>
      <c r="E128" s="173"/>
      <c r="F128" s="173"/>
      <c r="G128" s="173"/>
    </row>
    <row r="129" spans="1:18" s="117" customFormat="1" ht="39.950000000000003" customHeight="1" thickBot="1" x14ac:dyDescent="0.25">
      <c r="A129" s="176" t="s">
        <v>314</v>
      </c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</row>
    <row r="130" spans="1:18" s="117" customFormat="1" ht="39.950000000000003" customHeight="1" x14ac:dyDescent="0.2">
      <c r="A130" s="156">
        <f>+A125+1</f>
        <v>58</v>
      </c>
      <c r="B130" s="119" t="s">
        <v>570</v>
      </c>
      <c r="C130" s="133" t="s">
        <v>346</v>
      </c>
      <c r="D130" s="157" t="s">
        <v>109</v>
      </c>
      <c r="E130" s="157" t="s">
        <v>183</v>
      </c>
      <c r="F130" s="157" t="s">
        <v>611</v>
      </c>
      <c r="G130" s="157" t="s">
        <v>671</v>
      </c>
      <c r="H130" s="164">
        <v>50000</v>
      </c>
      <c r="I130" s="121">
        <f>H130*2.87%</f>
        <v>1435</v>
      </c>
      <c r="J130" s="121">
        <f>+H130*3.04%</f>
        <v>1520</v>
      </c>
      <c r="K130" s="121"/>
      <c r="L130" s="119">
        <f>+J130+I130+K130</f>
        <v>2955</v>
      </c>
      <c r="M130" s="119">
        <f>+H130-L130</f>
        <v>47045</v>
      </c>
      <c r="N130" s="119">
        <f t="shared" ref="N130:N131" si="57">+IF(M130*12&lt;=416220.01,0,IF(M130*12&lt;=624329.01,(((M130*12-416220.01)*0.15)/12),IF((M130*12&lt;=867123.01),(31216+0.2*(M130*12-624329.01))/12,((79776+0.25*(M130*12-867123.01))/12))))-O130</f>
        <v>1853.9998749999997</v>
      </c>
      <c r="O130" s="119"/>
      <c r="P130" s="159">
        <v>3331.93</v>
      </c>
      <c r="Q130" s="119">
        <f>+P130+N130+L130</f>
        <v>8140.9298749999998</v>
      </c>
      <c r="R130" s="159">
        <f>+H130-Q130</f>
        <v>41859.070124999998</v>
      </c>
    </row>
    <row r="131" spans="1:18" s="117" customFormat="1" ht="39.950000000000003" customHeight="1" x14ac:dyDescent="0.2">
      <c r="A131" s="156">
        <f>+A130+1</f>
        <v>59</v>
      </c>
      <c r="B131" s="119" t="s">
        <v>622</v>
      </c>
      <c r="C131" s="133" t="s">
        <v>347</v>
      </c>
      <c r="D131" s="157" t="s">
        <v>109</v>
      </c>
      <c r="E131" s="157" t="s">
        <v>183</v>
      </c>
      <c r="F131" s="168" t="s">
        <v>580</v>
      </c>
      <c r="G131" s="157" t="s">
        <v>631</v>
      </c>
      <c r="H131" s="164">
        <v>50000</v>
      </c>
      <c r="I131" s="121">
        <f>H131*2.87%</f>
        <v>1435</v>
      </c>
      <c r="J131" s="121">
        <f>+H131*3.04%</f>
        <v>1520</v>
      </c>
      <c r="K131" s="121"/>
      <c r="L131" s="119">
        <f>+J131+I131+K131</f>
        <v>2955</v>
      </c>
      <c r="M131" s="119">
        <f>+H131-L131</f>
        <v>47045</v>
      </c>
      <c r="N131" s="119">
        <f t="shared" si="57"/>
        <v>1853.9998749999997</v>
      </c>
      <c r="O131" s="119"/>
      <c r="P131" s="159">
        <v>2225</v>
      </c>
      <c r="Q131" s="119">
        <f>+P131+N131+L131</f>
        <v>7033.9998749999995</v>
      </c>
      <c r="R131" s="159">
        <f>+H131-Q131</f>
        <v>42966.000124999999</v>
      </c>
    </row>
    <row r="132" spans="1:18" s="114" customFormat="1" ht="39.950000000000003" customHeight="1" x14ac:dyDescent="0.2">
      <c r="A132" s="360" t="s">
        <v>103</v>
      </c>
      <c r="B132" s="361"/>
      <c r="C132" s="103"/>
      <c r="D132" s="103"/>
      <c r="E132" s="103"/>
      <c r="F132" s="103"/>
      <c r="G132" s="103"/>
      <c r="H132" s="104">
        <f t="shared" ref="H132:R132" si="58">SUM(H130:H131)</f>
        <v>100000</v>
      </c>
      <c r="I132" s="104">
        <f t="shared" si="58"/>
        <v>2870</v>
      </c>
      <c r="J132" s="104">
        <f t="shared" si="58"/>
        <v>3040</v>
      </c>
      <c r="K132" s="104">
        <f t="shared" si="58"/>
        <v>0</v>
      </c>
      <c r="L132" s="104">
        <f t="shared" si="58"/>
        <v>5910</v>
      </c>
      <c r="M132" s="104">
        <f t="shared" si="58"/>
        <v>94090</v>
      </c>
      <c r="N132" s="104">
        <f t="shared" si="58"/>
        <v>3707.9997499999995</v>
      </c>
      <c r="O132" s="104">
        <f t="shared" si="58"/>
        <v>0</v>
      </c>
      <c r="P132" s="104">
        <f t="shared" si="58"/>
        <v>5556.93</v>
      </c>
      <c r="Q132" s="104">
        <f t="shared" si="58"/>
        <v>15174.929749999999</v>
      </c>
      <c r="R132" s="104">
        <f t="shared" si="58"/>
        <v>84825.07024999999</v>
      </c>
    </row>
    <row r="133" spans="1:18" s="114" customFormat="1" ht="39.950000000000003" customHeight="1" thickBot="1" x14ac:dyDescent="0.25">
      <c r="A133" s="173"/>
      <c r="B133" s="173"/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</row>
    <row r="134" spans="1:18" s="117" customFormat="1" ht="39.950000000000003" customHeight="1" thickBot="1" x14ac:dyDescent="0.25">
      <c r="A134" s="176" t="s">
        <v>314</v>
      </c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</row>
    <row r="135" spans="1:18" s="117" customFormat="1" ht="39.950000000000003" customHeight="1" x14ac:dyDescent="0.2">
      <c r="A135" s="156">
        <f>+A131+1</f>
        <v>60</v>
      </c>
      <c r="B135" s="119" t="s">
        <v>411</v>
      </c>
      <c r="C135" s="133" t="s">
        <v>347</v>
      </c>
      <c r="D135" s="157" t="s">
        <v>662</v>
      </c>
      <c r="E135" s="157" t="s">
        <v>183</v>
      </c>
      <c r="F135" s="157" t="s">
        <v>599</v>
      </c>
      <c r="G135" s="157" t="s">
        <v>656</v>
      </c>
      <c r="H135" s="164">
        <v>80000</v>
      </c>
      <c r="I135" s="121">
        <f>H135*2.87%</f>
        <v>2296</v>
      </c>
      <c r="J135" s="121">
        <f>+H135*3.04%</f>
        <v>2432</v>
      </c>
      <c r="K135" s="121"/>
      <c r="L135" s="119">
        <f>+J135+I135+K135</f>
        <v>4728</v>
      </c>
      <c r="M135" s="119">
        <f>+H135-L135</f>
        <v>75272</v>
      </c>
      <c r="N135" s="119">
        <f t="shared" ref="N135:N136" si="59">+IF(M135*12&lt;=416220.01,0,IF(M135*12&lt;=624329.01,(((M135*12-416220.01)*0.15)/12),IF((M135*12&lt;=867123.01),(31216+0.2*(M135*12-624329.01))/12,((79776+0.25*(M135*12-867123.01))/12))))-O135</f>
        <v>7400.9372916666662</v>
      </c>
      <c r="O135" s="119"/>
      <c r="P135" s="159">
        <v>25</v>
      </c>
      <c r="Q135" s="119">
        <f>+P135+N135+L135</f>
        <v>12153.937291666665</v>
      </c>
      <c r="R135" s="159">
        <f>+H135-Q135</f>
        <v>67846.062708333338</v>
      </c>
    </row>
    <row r="136" spans="1:18" s="117" customFormat="1" ht="39.950000000000003" customHeight="1" x14ac:dyDescent="0.2">
      <c r="A136" s="156">
        <f>+A135+1</f>
        <v>61</v>
      </c>
      <c r="B136" s="119" t="s">
        <v>490</v>
      </c>
      <c r="C136" s="133" t="s">
        <v>347</v>
      </c>
      <c r="D136" s="157" t="s">
        <v>109</v>
      </c>
      <c r="E136" s="157" t="s">
        <v>183</v>
      </c>
      <c r="F136" s="157" t="s">
        <v>619</v>
      </c>
      <c r="G136" s="157" t="s">
        <v>618</v>
      </c>
      <c r="H136" s="164">
        <v>80000</v>
      </c>
      <c r="I136" s="121">
        <f>H136*2.87%</f>
        <v>2296</v>
      </c>
      <c r="J136" s="121">
        <f>+H136*3.04%</f>
        <v>2432</v>
      </c>
      <c r="K136" s="121">
        <v>1715.46</v>
      </c>
      <c r="L136" s="119">
        <f>+J136+I136+K136</f>
        <v>6443.46</v>
      </c>
      <c r="M136" s="119">
        <f>+H136-L136</f>
        <v>73556.539999999994</v>
      </c>
      <c r="N136" s="119">
        <f t="shared" si="59"/>
        <v>6972.0722916666664</v>
      </c>
      <c r="O136" s="119"/>
      <c r="P136" s="159">
        <v>25</v>
      </c>
      <c r="Q136" s="119">
        <f>+P136+N136+L136</f>
        <v>13440.532291666666</v>
      </c>
      <c r="R136" s="159">
        <f>+H136-Q136</f>
        <v>66559.467708333337</v>
      </c>
    </row>
    <row r="137" spans="1:18" s="114" customFormat="1" ht="39.950000000000003" customHeight="1" x14ac:dyDescent="0.2">
      <c r="A137" s="360" t="s">
        <v>103</v>
      </c>
      <c r="B137" s="361"/>
      <c r="C137" s="103"/>
      <c r="D137" s="103"/>
      <c r="E137" s="103"/>
      <c r="F137" s="103"/>
      <c r="G137" s="103"/>
      <c r="H137" s="104">
        <f t="shared" ref="H137:R137" si="60">SUM(H135:H136)</f>
        <v>160000</v>
      </c>
      <c r="I137" s="104">
        <f t="shared" si="60"/>
        <v>4592</v>
      </c>
      <c r="J137" s="104">
        <f t="shared" si="60"/>
        <v>4864</v>
      </c>
      <c r="K137" s="104">
        <f t="shared" si="60"/>
        <v>1715.46</v>
      </c>
      <c r="L137" s="104">
        <f t="shared" si="60"/>
        <v>11171.46</v>
      </c>
      <c r="M137" s="104">
        <f t="shared" si="60"/>
        <v>148828.53999999998</v>
      </c>
      <c r="N137" s="104">
        <f t="shared" si="60"/>
        <v>14373.009583333333</v>
      </c>
      <c r="O137" s="104">
        <f t="shared" si="60"/>
        <v>0</v>
      </c>
      <c r="P137" s="104">
        <f t="shared" si="60"/>
        <v>50</v>
      </c>
      <c r="Q137" s="104">
        <f t="shared" si="60"/>
        <v>25594.469583333332</v>
      </c>
      <c r="R137" s="104">
        <f t="shared" si="60"/>
        <v>134405.53041666668</v>
      </c>
    </row>
    <row r="138" spans="1:18" s="118" customFormat="1" ht="39.950000000000003" customHeight="1" thickBot="1" x14ac:dyDescent="0.25">
      <c r="A138" s="178"/>
      <c r="B138" s="178"/>
      <c r="C138" s="178"/>
      <c r="D138" s="178"/>
      <c r="E138" s="178"/>
      <c r="F138" s="178"/>
      <c r="G138" s="178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</row>
    <row r="139" spans="1:18" s="118" customFormat="1" ht="39.950000000000003" customHeight="1" x14ac:dyDescent="0.2">
      <c r="A139" s="184" t="s">
        <v>401</v>
      </c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</row>
    <row r="140" spans="1:18" s="118" customFormat="1" ht="39.950000000000003" customHeight="1" x14ac:dyDescent="0.2">
      <c r="A140" s="111">
        <f>+A136+1</f>
        <v>62</v>
      </c>
      <c r="B140" s="112" t="s">
        <v>410</v>
      </c>
      <c r="C140" s="106" t="s">
        <v>347</v>
      </c>
      <c r="D140" s="107" t="s">
        <v>75</v>
      </c>
      <c r="E140" s="105" t="s">
        <v>183</v>
      </c>
      <c r="F140" s="110" t="s">
        <v>599</v>
      </c>
      <c r="G140" s="110" t="s">
        <v>656</v>
      </c>
      <c r="H140" s="108">
        <v>100000</v>
      </c>
      <c r="I140" s="100">
        <f>H140*2.87%</f>
        <v>2870</v>
      </c>
      <c r="J140" s="100">
        <f>+H140*3.04%</f>
        <v>3040</v>
      </c>
      <c r="K140" s="100">
        <v>3430.92</v>
      </c>
      <c r="L140" s="108">
        <f>+J140+I140+K140</f>
        <v>9340.92</v>
      </c>
      <c r="M140" s="108">
        <f>+H140-L140</f>
        <v>90659.08</v>
      </c>
      <c r="N140" s="108">
        <f>+IF(M140*12&lt;=416220.01,0,IF(M140*12&lt;=624329.01,(((M140*12-416220.01)*0.15)/12),IF((M140*12&lt;=867123.01),(31216+0.2*(M140*12-624329.01))/12,((79776+0.25*(M140*12-867123.01))/12))))-O140</f>
        <v>11247.707291666666</v>
      </c>
      <c r="O140" s="108"/>
      <c r="P140" s="120">
        <v>2974.89</v>
      </c>
      <c r="Q140" s="108">
        <f>+P140+N140+L140</f>
        <v>23563.517291666663</v>
      </c>
      <c r="R140" s="167">
        <f>+H140-Q140</f>
        <v>76436.482708333337</v>
      </c>
    </row>
    <row r="141" spans="1:18" s="118" customFormat="1" ht="39.950000000000003" customHeight="1" x14ac:dyDescent="0.2">
      <c r="A141" s="111">
        <f>+A140+1</f>
        <v>63</v>
      </c>
      <c r="B141" s="112" t="s">
        <v>491</v>
      </c>
      <c r="C141" s="106" t="s">
        <v>347</v>
      </c>
      <c r="D141" s="107" t="s">
        <v>581</v>
      </c>
      <c r="E141" s="105" t="s">
        <v>183</v>
      </c>
      <c r="F141" s="145" t="s">
        <v>619</v>
      </c>
      <c r="G141" s="143" t="s">
        <v>618</v>
      </c>
      <c r="H141" s="108">
        <v>90000</v>
      </c>
      <c r="I141" s="100">
        <f>H141*2.87%</f>
        <v>2583</v>
      </c>
      <c r="J141" s="100">
        <f>+H141*3.04%</f>
        <v>2736</v>
      </c>
      <c r="K141" s="100"/>
      <c r="L141" s="108">
        <f>+J141+I141+K141</f>
        <v>5319</v>
      </c>
      <c r="M141" s="108">
        <f>+H141-L141</f>
        <v>84681</v>
      </c>
      <c r="N141" s="119">
        <f>+IF(M141*12&lt;=416220.01,0,IF(M141*12&lt;=624329.01,(((M141*12-416220.01)*0.15)/12),IF((M141*12&lt;=867123.01),(31216+0.2*(M141*12-624329.01))/12,((79776+0.25*(M141*12-867123.01))/12))))-O141</f>
        <v>9753.1872916666671</v>
      </c>
      <c r="O141" s="108"/>
      <c r="P141" s="167">
        <v>25</v>
      </c>
      <c r="Q141" s="108">
        <f>+P141+N141+L141</f>
        <v>15097.187291666667</v>
      </c>
      <c r="R141" s="167">
        <f>+H141-Q141</f>
        <v>74902.812708333338</v>
      </c>
    </row>
    <row r="142" spans="1:18" s="118" customFormat="1" ht="39.950000000000003" customHeight="1" thickBot="1" x14ac:dyDescent="0.25">
      <c r="A142" s="360" t="s">
        <v>103</v>
      </c>
      <c r="B142" s="361"/>
      <c r="C142" s="103"/>
      <c r="D142" s="103"/>
      <c r="E142" s="103"/>
      <c r="F142" s="103"/>
      <c r="G142" s="103"/>
      <c r="H142" s="104">
        <f>SUM(H140:H141)</f>
        <v>190000</v>
      </c>
      <c r="I142" s="104">
        <f t="shared" ref="I142:R142" si="61">SUM(I140:I141)</f>
        <v>5453</v>
      </c>
      <c r="J142" s="104">
        <f t="shared" si="61"/>
        <v>5776</v>
      </c>
      <c r="K142" s="104">
        <f t="shared" si="61"/>
        <v>3430.92</v>
      </c>
      <c r="L142" s="104">
        <f t="shared" si="61"/>
        <v>14659.92</v>
      </c>
      <c r="M142" s="104">
        <f t="shared" si="61"/>
        <v>175340.08000000002</v>
      </c>
      <c r="N142" s="104">
        <f t="shared" si="61"/>
        <v>21000.894583333335</v>
      </c>
      <c r="O142" s="104">
        <f t="shared" si="61"/>
        <v>0</v>
      </c>
      <c r="P142" s="104">
        <f t="shared" si="61"/>
        <v>2999.89</v>
      </c>
      <c r="Q142" s="104">
        <f t="shared" si="61"/>
        <v>38660.704583333332</v>
      </c>
      <c r="R142" s="104">
        <f t="shared" si="61"/>
        <v>151339.29541666666</v>
      </c>
    </row>
    <row r="143" spans="1:18" s="114" customFormat="1" ht="39.950000000000003" customHeight="1" x14ac:dyDescent="0.2">
      <c r="A143" s="184" t="s">
        <v>554</v>
      </c>
      <c r="B143" s="185"/>
      <c r="C143" s="185"/>
      <c r="D143" s="185"/>
      <c r="E143" s="185"/>
      <c r="F143" s="185"/>
      <c r="G143" s="327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</row>
    <row r="144" spans="1:18" s="114" customFormat="1" ht="39.950000000000003" customHeight="1" x14ac:dyDescent="0.2">
      <c r="A144" s="111">
        <f>+A141+1</f>
        <v>64</v>
      </c>
      <c r="B144" s="144" t="s">
        <v>414</v>
      </c>
      <c r="C144" s="111" t="s">
        <v>346</v>
      </c>
      <c r="D144" s="146" t="s">
        <v>381</v>
      </c>
      <c r="E144" s="110" t="s">
        <v>183</v>
      </c>
      <c r="F144" s="110" t="s">
        <v>611</v>
      </c>
      <c r="G144" s="110" t="s">
        <v>671</v>
      </c>
      <c r="H144" s="169">
        <v>80000</v>
      </c>
      <c r="I144" s="108">
        <f>H144*2.87%</f>
        <v>2296</v>
      </c>
      <c r="J144" s="108">
        <f>+H144*3.04%</f>
        <v>2432</v>
      </c>
      <c r="K144" s="108"/>
      <c r="L144" s="108">
        <f>+J144+I144+K144</f>
        <v>4728</v>
      </c>
      <c r="M144" s="108">
        <f>+H144-L144</f>
        <v>75272</v>
      </c>
      <c r="N144" s="108">
        <f>+IF(M144*12&lt;=416220.01,0,IF(M144*12&lt;=624329.01,(((M144*12-416220.01)*0.15)/12),IF((M144*12&lt;=867123.01),(31216+0.2*(M144*12-624329.01))/12,((79776+0.25*(M144*12-867123.01))/12))))-O144</f>
        <v>7400.9372916666662</v>
      </c>
      <c r="O144" s="108"/>
      <c r="P144" s="120">
        <v>225</v>
      </c>
      <c r="Q144" s="100">
        <f>+P144+N144+L144</f>
        <v>12353.937291666665</v>
      </c>
      <c r="R144" s="167">
        <f>H144-Q144</f>
        <v>67646.062708333338</v>
      </c>
    </row>
    <row r="145" spans="1:18" s="114" customFormat="1" ht="39.950000000000003" customHeight="1" x14ac:dyDescent="0.2">
      <c r="A145" s="111">
        <f>+A144+1</f>
        <v>65</v>
      </c>
      <c r="B145" s="144" t="s">
        <v>560</v>
      </c>
      <c r="C145" s="111" t="s">
        <v>346</v>
      </c>
      <c r="D145" s="146" t="s">
        <v>381</v>
      </c>
      <c r="E145" s="157" t="s">
        <v>183</v>
      </c>
      <c r="F145" s="110" t="s">
        <v>599</v>
      </c>
      <c r="G145" s="110" t="s">
        <v>656</v>
      </c>
      <c r="H145" s="169">
        <v>80000</v>
      </c>
      <c r="I145" s="108">
        <f>H145*2.87%</f>
        <v>2296</v>
      </c>
      <c r="J145" s="108">
        <f>+H145*3.04%</f>
        <v>2432</v>
      </c>
      <c r="K145" s="108">
        <v>1715.46</v>
      </c>
      <c r="L145" s="119">
        <f>+J145+I145+K145</f>
        <v>6443.46</v>
      </c>
      <c r="M145" s="119">
        <f>+H145-L145</f>
        <v>73556.539999999994</v>
      </c>
      <c r="N145" s="108">
        <f>+IF(M145*12&lt;=416220.01,0,IF(M145*12&lt;=624329.01,(((M145*12-416220.01)*0.15)/12),IF((M145*12&lt;=867123.01),(31216+0.2*(M145*12-624329.01))/12,((79776+0.25*(M145*12-867123.01))/12))))-O145</f>
        <v>6972.0722916666664</v>
      </c>
      <c r="O145" s="119"/>
      <c r="P145" s="164">
        <v>7425</v>
      </c>
      <c r="Q145" s="121">
        <f>+P145+N145+L145</f>
        <v>20840.532291666666</v>
      </c>
      <c r="R145" s="159">
        <f>H145-Q145</f>
        <v>59159.467708333337</v>
      </c>
    </row>
    <row r="146" spans="1:18" s="118" customFormat="1" ht="39.950000000000003" customHeight="1" x14ac:dyDescent="0.2">
      <c r="A146" s="360" t="s">
        <v>103</v>
      </c>
      <c r="B146" s="361"/>
      <c r="C146" s="103"/>
      <c r="D146" s="103"/>
      <c r="E146" s="103"/>
      <c r="F146" s="103"/>
      <c r="G146" s="103"/>
      <c r="H146" s="104">
        <f t="shared" ref="H146:R146" si="62">SUM(H144:H145)</f>
        <v>160000</v>
      </c>
      <c r="I146" s="104">
        <f t="shared" si="62"/>
        <v>4592</v>
      </c>
      <c r="J146" s="104">
        <f t="shared" si="62"/>
        <v>4864</v>
      </c>
      <c r="K146" s="104">
        <f t="shared" si="62"/>
        <v>1715.46</v>
      </c>
      <c r="L146" s="104">
        <f t="shared" si="62"/>
        <v>11171.46</v>
      </c>
      <c r="M146" s="104">
        <f t="shared" si="62"/>
        <v>148828.53999999998</v>
      </c>
      <c r="N146" s="104">
        <f t="shared" si="62"/>
        <v>14373.009583333333</v>
      </c>
      <c r="O146" s="104">
        <f t="shared" si="62"/>
        <v>0</v>
      </c>
      <c r="P146" s="104">
        <f t="shared" si="62"/>
        <v>7650</v>
      </c>
      <c r="Q146" s="104">
        <f t="shared" si="62"/>
        <v>33194.469583333332</v>
      </c>
      <c r="R146" s="104">
        <f t="shared" si="62"/>
        <v>126805.53041666668</v>
      </c>
    </row>
    <row r="147" spans="1:18" s="186" customFormat="1" ht="39.950000000000003" customHeight="1" thickBot="1" x14ac:dyDescent="0.25">
      <c r="A147" s="173"/>
      <c r="B147" s="173"/>
      <c r="C147" s="173"/>
      <c r="D147" s="173"/>
      <c r="E147" s="173"/>
      <c r="F147" s="173"/>
      <c r="G147" s="173"/>
      <c r="H147" s="173"/>
      <c r="I147" s="173"/>
      <c r="J147" s="173"/>
      <c r="K147" s="173"/>
      <c r="L147" s="173"/>
      <c r="M147" s="173"/>
      <c r="N147" s="173"/>
      <c r="O147" s="173"/>
      <c r="P147" s="173"/>
      <c r="Q147" s="173"/>
      <c r="R147" s="173"/>
    </row>
    <row r="148" spans="1:18" s="186" customFormat="1" ht="39.950000000000003" customHeight="1" thickBot="1" x14ac:dyDescent="0.25">
      <c r="A148" s="176" t="s">
        <v>255</v>
      </c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</row>
    <row r="149" spans="1:18" s="186" customFormat="1" ht="39.950000000000003" customHeight="1" x14ac:dyDescent="0.2">
      <c r="A149" s="160">
        <f>+A145+1</f>
        <v>66</v>
      </c>
      <c r="B149" s="168" t="s">
        <v>108</v>
      </c>
      <c r="C149" s="156" t="s">
        <v>346</v>
      </c>
      <c r="D149" s="157" t="s">
        <v>107</v>
      </c>
      <c r="E149" s="157" t="s">
        <v>183</v>
      </c>
      <c r="F149" s="157" t="s">
        <v>657</v>
      </c>
      <c r="G149" s="157" t="s">
        <v>658</v>
      </c>
      <c r="H149" s="164">
        <v>190000</v>
      </c>
      <c r="I149" s="121">
        <f>H149*2.87%</f>
        <v>5453</v>
      </c>
      <c r="J149" s="108">
        <v>5776</v>
      </c>
      <c r="K149" s="108"/>
      <c r="L149" s="119">
        <f>+J149+I149+K149</f>
        <v>11229</v>
      </c>
      <c r="M149" s="119">
        <f>+H149-L149</f>
        <v>178771</v>
      </c>
      <c r="N149" s="119">
        <f>+IF(M149*12&lt;=416220.01,0,IF(M149*12&lt;=624329.01,(((M149*12-416220.01)*0.15)/12),IF((M149*12&lt;=867123.01),(31216+0.2*(M149*12-624329.01))/12,((79776+0.25*(M149*12-867123.01))/12))))-O149</f>
        <v>33275.687291666669</v>
      </c>
      <c r="O149" s="119"/>
      <c r="P149" s="159">
        <v>25</v>
      </c>
      <c r="Q149" s="119">
        <f>+P149+N149+L149</f>
        <v>44529.687291666669</v>
      </c>
      <c r="R149" s="159">
        <f>+H149-Q149</f>
        <v>145470.31270833334</v>
      </c>
    </row>
    <row r="150" spans="1:18" s="186" customFormat="1" ht="39.950000000000003" customHeight="1" x14ac:dyDescent="0.2">
      <c r="A150" s="160">
        <f>+A149+1</f>
        <v>67</v>
      </c>
      <c r="B150" s="105" t="s">
        <v>571</v>
      </c>
      <c r="C150" s="134" t="s">
        <v>347</v>
      </c>
      <c r="D150" s="105" t="s">
        <v>511</v>
      </c>
      <c r="E150" s="179" t="s">
        <v>183</v>
      </c>
      <c r="F150" s="157" t="s">
        <v>611</v>
      </c>
      <c r="G150" s="157" t="s">
        <v>671</v>
      </c>
      <c r="H150" s="121">
        <v>110000</v>
      </c>
      <c r="I150" s="121">
        <f>H150*2.87%</f>
        <v>3157</v>
      </c>
      <c r="J150" s="121">
        <f>+H150*3.04%</f>
        <v>3344</v>
      </c>
      <c r="K150" s="121"/>
      <c r="L150" s="119">
        <f>+J150+I150+K150</f>
        <v>6501</v>
      </c>
      <c r="M150" s="119">
        <f>+H150-L150</f>
        <v>103499</v>
      </c>
      <c r="N150" s="119">
        <f t="shared" ref="N150:N151" si="63">+IF(M150*12&lt;=416220.01,0,IF(M150*12&lt;=624329.01,(((M150*12-416220.01)*0.15)/12),IF((M150*12&lt;=867123.01),(31216+0.2*(M150*12-624329.01))/12,((79776+0.25*(M150*12-867123.01))/12))))-O150</f>
        <v>14457.687291666667</v>
      </c>
      <c r="O150" s="119"/>
      <c r="P150" s="159">
        <v>3025</v>
      </c>
      <c r="Q150" s="119">
        <f>+P150+N150+L150</f>
        <v>23983.687291666669</v>
      </c>
      <c r="R150" s="159">
        <f>+H150-Q150</f>
        <v>86016.312708333338</v>
      </c>
    </row>
    <row r="151" spans="1:18" s="118" customFormat="1" ht="39.950000000000003" customHeight="1" x14ac:dyDescent="0.2">
      <c r="A151" s="160">
        <f>+A150+1</f>
        <v>68</v>
      </c>
      <c r="B151" s="105" t="s">
        <v>471</v>
      </c>
      <c r="C151" s="134" t="s">
        <v>346</v>
      </c>
      <c r="D151" s="105" t="s">
        <v>511</v>
      </c>
      <c r="E151" s="179" t="s">
        <v>183</v>
      </c>
      <c r="F151" s="157" t="s">
        <v>599</v>
      </c>
      <c r="G151" s="157" t="s">
        <v>656</v>
      </c>
      <c r="H151" s="121">
        <v>100000</v>
      </c>
      <c r="I151" s="121">
        <f>H151*2.87%</f>
        <v>2870</v>
      </c>
      <c r="J151" s="121">
        <f>+H151*3.04%</f>
        <v>3040</v>
      </c>
      <c r="K151" s="121">
        <v>0</v>
      </c>
      <c r="L151" s="119">
        <f>+J151+I151+K151</f>
        <v>5910</v>
      </c>
      <c r="M151" s="119">
        <f>+H151-L151</f>
        <v>94090</v>
      </c>
      <c r="N151" s="119">
        <f t="shared" si="63"/>
        <v>12105.437291666667</v>
      </c>
      <c r="O151" s="119">
        <v>0</v>
      </c>
      <c r="P151" s="159">
        <v>25</v>
      </c>
      <c r="Q151" s="119">
        <f>+P151+N151+L151</f>
        <v>18040.437291666669</v>
      </c>
      <c r="R151" s="159">
        <f>+H151-Q151</f>
        <v>81959.562708333338</v>
      </c>
    </row>
    <row r="152" spans="1:18" s="117" customFormat="1" ht="39.950000000000003" customHeight="1" x14ac:dyDescent="0.2">
      <c r="A152" s="360" t="s">
        <v>103</v>
      </c>
      <c r="B152" s="361"/>
      <c r="C152" s="103"/>
      <c r="D152" s="103"/>
      <c r="E152" s="103"/>
      <c r="F152" s="103"/>
      <c r="G152" s="103"/>
      <c r="H152" s="104">
        <f>SUM(H149:H151)</f>
        <v>400000</v>
      </c>
      <c r="I152" s="104">
        <f t="shared" ref="I152:R152" si="64">SUM(I149:I151)</f>
        <v>11480</v>
      </c>
      <c r="J152" s="104">
        <f t="shared" si="64"/>
        <v>12160</v>
      </c>
      <c r="K152" s="104">
        <f t="shared" si="64"/>
        <v>0</v>
      </c>
      <c r="L152" s="104">
        <f t="shared" si="64"/>
        <v>23640</v>
      </c>
      <c r="M152" s="104">
        <f t="shared" si="64"/>
        <v>376360</v>
      </c>
      <c r="N152" s="104">
        <f t="shared" si="64"/>
        <v>59838.811875000007</v>
      </c>
      <c r="O152" s="104">
        <f t="shared" si="64"/>
        <v>0</v>
      </c>
      <c r="P152" s="104">
        <f t="shared" si="64"/>
        <v>3075</v>
      </c>
      <c r="Q152" s="104">
        <f t="shared" si="64"/>
        <v>86553.811875000014</v>
      </c>
      <c r="R152" s="104">
        <f t="shared" si="64"/>
        <v>313446.18812499999</v>
      </c>
    </row>
    <row r="153" spans="1:18" s="186" customFormat="1" ht="39.950000000000003" customHeight="1" thickBot="1" x14ac:dyDescent="0.25">
      <c r="A153" s="173"/>
      <c r="B153" s="173"/>
      <c r="C153" s="173"/>
      <c r="D153" s="173"/>
      <c r="E153" s="173"/>
      <c r="F153" s="173"/>
      <c r="G153" s="173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</row>
    <row r="154" spans="1:18" s="186" customFormat="1" ht="39.950000000000003" customHeight="1" thickBot="1" x14ac:dyDescent="0.25">
      <c r="A154" s="176" t="s">
        <v>404</v>
      </c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</row>
    <row r="155" spans="1:18" s="114" customFormat="1" ht="39.950000000000003" customHeight="1" x14ac:dyDescent="0.2">
      <c r="A155" s="156">
        <f>+A151+1</f>
        <v>69</v>
      </c>
      <c r="B155" s="168" t="s">
        <v>555</v>
      </c>
      <c r="C155" s="156" t="s">
        <v>346</v>
      </c>
      <c r="D155" s="157" t="s">
        <v>403</v>
      </c>
      <c r="E155" s="157" t="s">
        <v>183</v>
      </c>
      <c r="F155" s="168" t="s">
        <v>583</v>
      </c>
      <c r="G155" s="157" t="s">
        <v>646</v>
      </c>
      <c r="H155" s="119">
        <v>190000</v>
      </c>
      <c r="I155" s="119">
        <f>H155*2.87%</f>
        <v>5453</v>
      </c>
      <c r="J155" s="108">
        <f>+H155*3.04%</f>
        <v>5776</v>
      </c>
      <c r="K155" s="108">
        <v>3430.92</v>
      </c>
      <c r="L155" s="119">
        <f>+J155+I155+K155</f>
        <v>14659.92</v>
      </c>
      <c r="M155" s="119">
        <f>+H155-L155</f>
        <v>175340.08</v>
      </c>
      <c r="N155" s="119">
        <f t="shared" ref="N155:N156" si="65">+IF(M155*12&lt;=416220.01,0,IF(M155*12&lt;=624329.01,(((M155*12-416220.01)*0.15)/12),IF((M155*12&lt;=867123.01),(31216+0.2*(M155*12-624329.01))/12,((79776+0.25*(M155*12-867123.01))/12))))-O155</f>
        <v>32417.957291666666</v>
      </c>
      <c r="O155" s="119"/>
      <c r="P155" s="159">
        <v>4524.9999999999982</v>
      </c>
      <c r="Q155" s="119">
        <f>+P155+N155+L155</f>
        <v>51602.877291666664</v>
      </c>
      <c r="R155" s="159">
        <f>+H155-Q155</f>
        <v>138397.12270833334</v>
      </c>
    </row>
    <row r="156" spans="1:18" s="114" customFormat="1" ht="39.950000000000003" customHeight="1" x14ac:dyDescent="0.2">
      <c r="A156" s="156">
        <f>+A155+1</f>
        <v>70</v>
      </c>
      <c r="B156" s="168" t="s">
        <v>617</v>
      </c>
      <c r="C156" s="156" t="s">
        <v>346</v>
      </c>
      <c r="D156" s="157" t="s">
        <v>109</v>
      </c>
      <c r="E156" s="157" t="s">
        <v>183</v>
      </c>
      <c r="F156" s="144" t="s">
        <v>572</v>
      </c>
      <c r="G156" s="146" t="s">
        <v>618</v>
      </c>
      <c r="H156" s="119">
        <v>50000</v>
      </c>
      <c r="I156" s="119">
        <f>H156*2.87%</f>
        <v>1435</v>
      </c>
      <c r="J156" s="108">
        <f>+H156*3.04%</f>
        <v>1520</v>
      </c>
      <c r="K156" s="108"/>
      <c r="L156" s="119">
        <f>+J156+I156+K156</f>
        <v>2955</v>
      </c>
      <c r="M156" s="119">
        <f>+H156-L156</f>
        <v>47045</v>
      </c>
      <c r="N156" s="119">
        <f t="shared" si="65"/>
        <v>1853.9998749999997</v>
      </c>
      <c r="O156" s="119"/>
      <c r="P156" s="159">
        <v>25</v>
      </c>
      <c r="Q156" s="119">
        <f>+P156+N156+L156</f>
        <v>4833.9998749999995</v>
      </c>
      <c r="R156" s="159">
        <f>+H156-Q156</f>
        <v>45166.000124999999</v>
      </c>
    </row>
    <row r="157" spans="1:18" s="118" customFormat="1" ht="39.950000000000003" customHeight="1" x14ac:dyDescent="0.2">
      <c r="A157" s="360" t="s">
        <v>103</v>
      </c>
      <c r="B157" s="361"/>
      <c r="C157" s="187"/>
      <c r="D157" s="187"/>
      <c r="E157" s="187"/>
      <c r="F157" s="187"/>
      <c r="G157" s="188"/>
      <c r="H157" s="104">
        <f>SUM(H155:H156)</f>
        <v>240000</v>
      </c>
      <c r="I157" s="104">
        <f t="shared" ref="I157:R157" si="66">SUM(I155:I156)</f>
        <v>6888</v>
      </c>
      <c r="J157" s="104">
        <f t="shared" si="66"/>
        <v>7296</v>
      </c>
      <c r="K157" s="104">
        <f t="shared" si="66"/>
        <v>3430.92</v>
      </c>
      <c r="L157" s="104">
        <f t="shared" si="66"/>
        <v>17614.919999999998</v>
      </c>
      <c r="M157" s="104">
        <f t="shared" si="66"/>
        <v>222385.08</v>
      </c>
      <c r="N157" s="104">
        <f t="shared" si="66"/>
        <v>34271.957166666667</v>
      </c>
      <c r="O157" s="104">
        <f t="shared" si="66"/>
        <v>0</v>
      </c>
      <c r="P157" s="104">
        <f t="shared" si="66"/>
        <v>4549.9999999999982</v>
      </c>
      <c r="Q157" s="104">
        <f t="shared" si="66"/>
        <v>56436.877166666665</v>
      </c>
      <c r="R157" s="104">
        <f t="shared" si="66"/>
        <v>183563.12283333333</v>
      </c>
    </row>
    <row r="158" spans="1:18" s="186" customFormat="1" ht="39.950000000000003" customHeight="1" thickBot="1" x14ac:dyDescent="0.25">
      <c r="A158" s="114"/>
      <c r="B158" s="114"/>
      <c r="C158" s="129"/>
      <c r="D158" s="114"/>
      <c r="E158" s="114"/>
      <c r="F158" s="114"/>
      <c r="G158" s="328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  <c r="R158" s="114"/>
    </row>
    <row r="159" spans="1:18" s="186" customFormat="1" ht="39.950000000000003" customHeight="1" thickBot="1" x14ac:dyDescent="0.25">
      <c r="A159" s="176" t="s">
        <v>468</v>
      </c>
      <c r="B159" s="177"/>
      <c r="C159" s="177"/>
      <c r="D159" s="177"/>
      <c r="E159" s="177"/>
      <c r="F159" s="177"/>
      <c r="G159" s="326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</row>
    <row r="160" spans="1:18" s="118" customFormat="1" ht="39.950000000000003" customHeight="1" x14ac:dyDescent="0.2">
      <c r="A160" s="170">
        <f>+A156+1</f>
        <v>71</v>
      </c>
      <c r="B160" s="144" t="s">
        <v>474</v>
      </c>
      <c r="C160" s="111" t="s">
        <v>347</v>
      </c>
      <c r="D160" s="146" t="s">
        <v>475</v>
      </c>
      <c r="E160" s="157" t="s">
        <v>183</v>
      </c>
      <c r="F160" s="157" t="s">
        <v>611</v>
      </c>
      <c r="G160" s="157" t="s">
        <v>671</v>
      </c>
      <c r="H160" s="163">
        <v>90000</v>
      </c>
      <c r="I160" s="121">
        <f>H160*2.87%</f>
        <v>2583</v>
      </c>
      <c r="J160" s="121">
        <f>+H160*3.04%</f>
        <v>2736</v>
      </c>
      <c r="K160" s="121"/>
      <c r="L160" s="119">
        <f>+J160+I160+K160</f>
        <v>5319</v>
      </c>
      <c r="M160" s="119">
        <f>+H160-L160</f>
        <v>84681</v>
      </c>
      <c r="N160" s="119">
        <f>+IF(M160*12&lt;=416220.01,0,IF(M160*12&lt;=624329.01,(((M160*12-416220.01)*0.15)/12),IF((M160*12&lt;=867123.01),(31216+0.2*(M160*12-624329.01))/12,((79776+0.25*(M160*12-867123.01))/12))))-O160</f>
        <v>9753.1872916666671</v>
      </c>
      <c r="O160" s="119"/>
      <c r="P160" s="159">
        <v>65</v>
      </c>
      <c r="Q160" s="119">
        <f>+P160+N160+L160</f>
        <v>15137.187291666667</v>
      </c>
      <c r="R160" s="159">
        <f>+H160-Q160</f>
        <v>74862.812708333338</v>
      </c>
    </row>
    <row r="161" spans="1:18" s="114" customFormat="1" ht="39.950000000000003" customHeight="1" x14ac:dyDescent="0.2">
      <c r="A161" s="170">
        <f>+A160+1</f>
        <v>72</v>
      </c>
      <c r="B161" s="144" t="s">
        <v>466</v>
      </c>
      <c r="C161" s="111" t="s">
        <v>347</v>
      </c>
      <c r="D161" s="146" t="s">
        <v>467</v>
      </c>
      <c r="E161" s="157" t="s">
        <v>183</v>
      </c>
      <c r="F161" s="157" t="s">
        <v>599</v>
      </c>
      <c r="G161" s="157" t="s">
        <v>656</v>
      </c>
      <c r="H161" s="163">
        <v>80000</v>
      </c>
      <c r="I161" s="121">
        <f>H161*2.87%</f>
        <v>2296</v>
      </c>
      <c r="J161" s="121">
        <f>+H161*3.04%</f>
        <v>2432</v>
      </c>
      <c r="K161" s="121">
        <v>1715.46</v>
      </c>
      <c r="L161" s="119">
        <f>+J161+I161+K161</f>
        <v>6443.46</v>
      </c>
      <c r="M161" s="119">
        <f>+H161-L161</f>
        <v>73556.539999999994</v>
      </c>
      <c r="N161" s="119">
        <f>+IF(M161*12&lt;=416220.01,0,IF(M161*12&lt;=624329.01,(((M161*12-416220.01)*0.15)/12),IF((M161*12&lt;=867123.01),(31216+0.2*(M161*12-624329.01))/12,((79776+0.25*(M161*12-867123.01))/12))))-O161</f>
        <v>6972.0722916666664</v>
      </c>
      <c r="O161" s="119">
        <v>0</v>
      </c>
      <c r="P161" s="159">
        <v>225</v>
      </c>
      <c r="Q161" s="119">
        <f>+P161+N161+L161</f>
        <v>13640.532291666666</v>
      </c>
      <c r="R161" s="159">
        <f>+H161-Q161</f>
        <v>66359.467708333337</v>
      </c>
    </row>
    <row r="162" spans="1:18" s="114" customFormat="1" ht="39.950000000000003" customHeight="1" x14ac:dyDescent="0.2">
      <c r="A162" s="360" t="s">
        <v>103</v>
      </c>
      <c r="B162" s="361"/>
      <c r="C162" s="103"/>
      <c r="D162" s="103"/>
      <c r="E162" s="103"/>
      <c r="F162" s="103"/>
      <c r="G162" s="103"/>
      <c r="H162" s="104">
        <f>SUM(H160:H161)</f>
        <v>170000</v>
      </c>
      <c r="I162" s="104">
        <f t="shared" ref="I162:R162" si="67">SUM(I160:I161)</f>
        <v>4879</v>
      </c>
      <c r="J162" s="104">
        <f t="shared" si="67"/>
        <v>5168</v>
      </c>
      <c r="K162" s="104">
        <f t="shared" si="67"/>
        <v>1715.46</v>
      </c>
      <c r="L162" s="104">
        <f t="shared" si="67"/>
        <v>11762.46</v>
      </c>
      <c r="M162" s="104">
        <f t="shared" si="67"/>
        <v>158237.53999999998</v>
      </c>
      <c r="N162" s="104">
        <f t="shared" si="67"/>
        <v>16725.259583333333</v>
      </c>
      <c r="O162" s="104">
        <f t="shared" si="67"/>
        <v>0</v>
      </c>
      <c r="P162" s="104">
        <f t="shared" si="67"/>
        <v>290</v>
      </c>
      <c r="Q162" s="104">
        <f t="shared" si="67"/>
        <v>28777.719583333332</v>
      </c>
      <c r="R162" s="104">
        <f t="shared" si="67"/>
        <v>141222.28041666668</v>
      </c>
    </row>
    <row r="163" spans="1:18" s="174" customFormat="1" ht="39.950000000000003" customHeight="1" thickBot="1" x14ac:dyDescent="0.25">
      <c r="A163" s="173"/>
      <c r="B163" s="173"/>
      <c r="C163" s="189"/>
      <c r="D163" s="189"/>
      <c r="E163" s="189"/>
      <c r="F163" s="189"/>
      <c r="G163" s="189"/>
    </row>
    <row r="164" spans="1:18" s="174" customFormat="1" ht="39.950000000000003" customHeight="1" thickBot="1" x14ac:dyDescent="0.25">
      <c r="A164" s="176" t="s">
        <v>316</v>
      </c>
      <c r="B164" s="177"/>
      <c r="C164" s="177"/>
      <c r="D164" s="177"/>
      <c r="E164" s="177"/>
      <c r="F164" s="177"/>
      <c r="G164" s="326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</row>
    <row r="165" spans="1:18" s="118" customFormat="1" ht="39.950000000000003" customHeight="1" x14ac:dyDescent="0.2">
      <c r="A165" s="303">
        <f>+A161+1</f>
        <v>73</v>
      </c>
      <c r="B165" s="145" t="s">
        <v>623</v>
      </c>
      <c r="C165" s="106" t="s">
        <v>347</v>
      </c>
      <c r="D165" s="143" t="s">
        <v>569</v>
      </c>
      <c r="E165" s="179" t="s">
        <v>183</v>
      </c>
      <c r="F165" s="158" t="s">
        <v>632</v>
      </c>
      <c r="G165" s="158" t="s">
        <v>626</v>
      </c>
      <c r="H165" s="197">
        <v>100000</v>
      </c>
      <c r="I165" s="121">
        <f>H165*2.87%</f>
        <v>2870</v>
      </c>
      <c r="J165" s="121">
        <f>+H165*3.04%</f>
        <v>3040</v>
      </c>
      <c r="K165" s="121">
        <v>0</v>
      </c>
      <c r="L165" s="119">
        <f>+J165+I165+K165</f>
        <v>5910</v>
      </c>
      <c r="M165" s="119">
        <f>+H165-L165</f>
        <v>94090</v>
      </c>
      <c r="N165" s="119">
        <f>+IF(M165*12&lt;=416220.01,0,IF(M165*12&lt;=624329.01,(((M165*12-416220.01)*0.15)/12),IF((M165*12&lt;=867123.01),(31216+0.2*(M165*12-624329.01))/12,((79776+0.25*(M165*12-867123.01))/12))))-O165</f>
        <v>12105.437291666667</v>
      </c>
      <c r="O165" s="119">
        <v>0</v>
      </c>
      <c r="P165" s="159">
        <v>225</v>
      </c>
      <c r="Q165" s="119">
        <f>+L165+N165+P165</f>
        <v>18240.437291666669</v>
      </c>
      <c r="R165" s="159">
        <f>+H165-Q165</f>
        <v>81759.562708333338</v>
      </c>
    </row>
    <row r="166" spans="1:18" s="118" customFormat="1" ht="39.950000000000003" customHeight="1" x14ac:dyDescent="0.2">
      <c r="A166" s="303">
        <f>+A165+1</f>
        <v>74</v>
      </c>
      <c r="B166" s="145" t="s">
        <v>584</v>
      </c>
      <c r="C166" s="106" t="s">
        <v>346</v>
      </c>
      <c r="D166" s="143" t="s">
        <v>585</v>
      </c>
      <c r="E166" s="179" t="s">
        <v>183</v>
      </c>
      <c r="F166" s="168" t="s">
        <v>583</v>
      </c>
      <c r="G166" s="157" t="s">
        <v>646</v>
      </c>
      <c r="H166" s="197">
        <v>60000</v>
      </c>
      <c r="I166" s="121">
        <f>H166*2.87%</f>
        <v>1722</v>
      </c>
      <c r="J166" s="121">
        <f>+H166*3.04%</f>
        <v>1824</v>
      </c>
      <c r="K166" s="121"/>
      <c r="L166" s="119">
        <f>+J166+I166+K166</f>
        <v>3546</v>
      </c>
      <c r="M166" s="119">
        <f>+H166-L166</f>
        <v>56454</v>
      </c>
      <c r="N166" s="119">
        <f>+IF(M166*12&lt;=416220.01,0,IF(M166*12&lt;=624329.01,(((M166*12-416220.01)*0.15)/12),IF((M166*12&lt;=867123.01),(31216+0.2*(M166*12-624329.01))/12,((79776+0.25*(M166*12-867123.01))/12))))-O166</f>
        <v>3486.6498333333329</v>
      </c>
      <c r="O166" s="119"/>
      <c r="P166" s="159">
        <v>225</v>
      </c>
      <c r="Q166" s="119">
        <f>+P166+N166+L166</f>
        <v>7257.6498333333329</v>
      </c>
      <c r="R166" s="159">
        <f>+H166-Q166</f>
        <v>52742.350166666671</v>
      </c>
    </row>
    <row r="167" spans="1:18" s="117" customFormat="1" ht="39.950000000000003" customHeight="1" x14ac:dyDescent="0.2">
      <c r="A167" s="360" t="s">
        <v>103</v>
      </c>
      <c r="B167" s="361"/>
      <c r="C167" s="103"/>
      <c r="D167" s="103"/>
      <c r="E167" s="103"/>
      <c r="F167" s="103"/>
      <c r="G167" s="103"/>
      <c r="H167" s="104">
        <f t="shared" ref="H167:R167" si="68">SUM(H165:H166)</f>
        <v>160000</v>
      </c>
      <c r="I167" s="104">
        <f t="shared" si="68"/>
        <v>4592</v>
      </c>
      <c r="J167" s="104">
        <f t="shared" si="68"/>
        <v>4864</v>
      </c>
      <c r="K167" s="104">
        <f t="shared" si="68"/>
        <v>0</v>
      </c>
      <c r="L167" s="104">
        <f t="shared" si="68"/>
        <v>9456</v>
      </c>
      <c r="M167" s="104">
        <f t="shared" si="68"/>
        <v>150544</v>
      </c>
      <c r="N167" s="104">
        <f t="shared" si="68"/>
        <v>15592.087125</v>
      </c>
      <c r="O167" s="104">
        <f t="shared" si="68"/>
        <v>0</v>
      </c>
      <c r="P167" s="104">
        <f t="shared" si="68"/>
        <v>450</v>
      </c>
      <c r="Q167" s="104">
        <f t="shared" si="68"/>
        <v>25498.087125000002</v>
      </c>
      <c r="R167" s="104">
        <f t="shared" si="68"/>
        <v>134501.91287500001</v>
      </c>
    </row>
    <row r="168" spans="1:18" s="117" customFormat="1" ht="39.950000000000003" customHeight="1" thickBot="1" x14ac:dyDescent="0.25">
      <c r="A168" s="173"/>
      <c r="B168" s="173"/>
      <c r="C168" s="173"/>
      <c r="D168" s="173"/>
      <c r="E168" s="173"/>
      <c r="F168" s="173"/>
      <c r="G168" s="173"/>
    </row>
    <row r="169" spans="1:18" s="117" customFormat="1" ht="39.950000000000003" customHeight="1" thickBot="1" x14ac:dyDescent="0.25">
      <c r="A169" s="176" t="s">
        <v>186</v>
      </c>
      <c r="B169" s="177"/>
      <c r="C169" s="177"/>
      <c r="D169" s="177"/>
      <c r="E169" s="177"/>
      <c r="F169" s="177"/>
      <c r="G169" s="177"/>
      <c r="H169" s="177"/>
      <c r="I169" s="177"/>
      <c r="J169" s="177"/>
      <c r="K169" s="191"/>
      <c r="L169" s="191"/>
      <c r="M169" s="191"/>
      <c r="N169" s="191"/>
      <c r="O169" s="191"/>
      <c r="P169" s="191"/>
      <c r="Q169" s="191"/>
      <c r="R169" s="177"/>
    </row>
    <row r="170" spans="1:18" s="117" customFormat="1" ht="39.950000000000003" customHeight="1" x14ac:dyDescent="0.2">
      <c r="A170" s="106">
        <f>+A166+1</f>
        <v>75</v>
      </c>
      <c r="B170" s="144" t="s">
        <v>317</v>
      </c>
      <c r="C170" s="111" t="s">
        <v>347</v>
      </c>
      <c r="D170" s="146" t="s">
        <v>512</v>
      </c>
      <c r="E170" s="157" t="s">
        <v>183</v>
      </c>
      <c r="F170" s="158" t="s">
        <v>619</v>
      </c>
      <c r="G170" s="179" t="s">
        <v>618</v>
      </c>
      <c r="H170" s="163">
        <v>145000</v>
      </c>
      <c r="I170" s="121">
        <f>H170*2.87%</f>
        <v>4161.5</v>
      </c>
      <c r="J170" s="121">
        <f>+H170*3.04%</f>
        <v>4408</v>
      </c>
      <c r="K170" s="121"/>
      <c r="L170" s="121">
        <f>+J170+I170+K170</f>
        <v>8569.5</v>
      </c>
      <c r="M170" s="121">
        <f>+H170-L170</f>
        <v>136430.5</v>
      </c>
      <c r="N170" s="119">
        <f>+IF(M170*12&lt;=416220.01,0,IF(M170*12&lt;=624329.01,(((M170*12-416220.01)*0.15)/12),IF((M170*12&lt;=867123.01),(31216+0.2*(M170*12-624329.01))/12,((79776+0.25*(M170*12-867123.01))/12))))-O170</f>
        <v>22690.562291666665</v>
      </c>
      <c r="O170" s="121"/>
      <c r="P170" s="164">
        <v>5466</v>
      </c>
      <c r="Q170" s="121">
        <f>+P170+N170+L170</f>
        <v>36726.062291666662</v>
      </c>
      <c r="R170" s="159">
        <f>+H170-Q170</f>
        <v>108273.93770833334</v>
      </c>
    </row>
    <row r="171" spans="1:18" s="117" customFormat="1" ht="39.950000000000003" customHeight="1" x14ac:dyDescent="0.2">
      <c r="A171" s="360" t="s">
        <v>103</v>
      </c>
      <c r="B171" s="366"/>
      <c r="C171" s="192"/>
      <c r="D171" s="192"/>
      <c r="E171" s="192"/>
      <c r="F171" s="192"/>
      <c r="G171" s="193"/>
      <c r="H171" s="104">
        <f>+H170</f>
        <v>145000</v>
      </c>
      <c r="I171" s="104">
        <f t="shared" ref="I171:R171" si="69">+I170</f>
        <v>4161.5</v>
      </c>
      <c r="J171" s="104">
        <f t="shared" si="69"/>
        <v>4408</v>
      </c>
      <c r="K171" s="104">
        <f t="shared" si="69"/>
        <v>0</v>
      </c>
      <c r="L171" s="104">
        <f t="shared" si="69"/>
        <v>8569.5</v>
      </c>
      <c r="M171" s="104">
        <f t="shared" si="69"/>
        <v>136430.5</v>
      </c>
      <c r="N171" s="104">
        <f t="shared" si="69"/>
        <v>22690.562291666665</v>
      </c>
      <c r="O171" s="104">
        <f t="shared" si="69"/>
        <v>0</v>
      </c>
      <c r="P171" s="104">
        <f t="shared" si="69"/>
        <v>5466</v>
      </c>
      <c r="Q171" s="104">
        <f t="shared" si="69"/>
        <v>36726.062291666662</v>
      </c>
      <c r="R171" s="104">
        <f t="shared" si="69"/>
        <v>108273.93770833334</v>
      </c>
    </row>
    <row r="172" spans="1:18" s="117" customFormat="1" ht="39.950000000000003" customHeight="1" thickBot="1" x14ac:dyDescent="0.25">
      <c r="A172" s="127"/>
      <c r="B172" s="113"/>
      <c r="C172" s="116"/>
      <c r="D172" s="194"/>
      <c r="E172" s="195"/>
      <c r="F172" s="148"/>
      <c r="G172" s="148"/>
      <c r="H172" s="196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</row>
    <row r="173" spans="1:18" s="186" customFormat="1" ht="39.950000000000003" customHeight="1" thickBot="1" x14ac:dyDescent="0.25">
      <c r="A173" s="176" t="s">
        <v>176</v>
      </c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</row>
    <row r="174" spans="1:18" s="190" customFormat="1" ht="39.950000000000003" customHeight="1" x14ac:dyDescent="0.2">
      <c r="A174" s="111">
        <f>+A170+1</f>
        <v>76</v>
      </c>
      <c r="B174" s="144" t="s">
        <v>319</v>
      </c>
      <c r="C174" s="111" t="s">
        <v>347</v>
      </c>
      <c r="D174" s="146" t="s">
        <v>187</v>
      </c>
      <c r="E174" s="157" t="s">
        <v>183</v>
      </c>
      <c r="F174" s="158" t="s">
        <v>632</v>
      </c>
      <c r="G174" s="158" t="s">
        <v>626</v>
      </c>
      <c r="H174" s="163">
        <v>155000</v>
      </c>
      <c r="I174" s="119">
        <f t="shared" ref="I174:I176" si="70">H174*2.87%</f>
        <v>4448.5</v>
      </c>
      <c r="J174" s="119">
        <f t="shared" ref="J174:J176" si="71">+H174*3.04%</f>
        <v>4712</v>
      </c>
      <c r="K174" s="119"/>
      <c r="L174" s="119">
        <f t="shared" ref="L174:L178" si="72">+J174+I174+K174</f>
        <v>9160.5</v>
      </c>
      <c r="M174" s="119">
        <f t="shared" ref="M174:M178" si="73">+H174-L174</f>
        <v>145839.5</v>
      </c>
      <c r="N174" s="119">
        <f>+IF(M174*12&lt;=416220.01,0,IF(M174*12&lt;=624329.01,(((M174*12-416220.01)*0.15)/12),IF((M174*12&lt;=867123.01),(31216+0.2*(M174*12-624329.01))/12,((79776+0.25*(M174*12-867123.01))/12))))-O174</f>
        <v>25042.812291666665</v>
      </c>
      <c r="O174" s="119"/>
      <c r="P174" s="164">
        <v>9316.5300000000007</v>
      </c>
      <c r="Q174" s="119">
        <f>+P174+N174+L174</f>
        <v>43519.842291666668</v>
      </c>
      <c r="R174" s="164">
        <f>+H174-Q174</f>
        <v>111480.15770833334</v>
      </c>
    </row>
    <row r="175" spans="1:18" s="190" customFormat="1" ht="39.950000000000003" customHeight="1" x14ac:dyDescent="0.2">
      <c r="A175" s="111">
        <f>+A174+1</f>
        <v>77</v>
      </c>
      <c r="B175" s="144" t="s">
        <v>84</v>
      </c>
      <c r="C175" s="111" t="s">
        <v>347</v>
      </c>
      <c r="D175" s="146" t="s">
        <v>416</v>
      </c>
      <c r="E175" s="157" t="s">
        <v>183</v>
      </c>
      <c r="F175" s="168" t="s">
        <v>583</v>
      </c>
      <c r="G175" s="157" t="s">
        <v>646</v>
      </c>
      <c r="H175" s="163">
        <v>80000</v>
      </c>
      <c r="I175" s="108">
        <f t="shared" si="70"/>
        <v>2296</v>
      </c>
      <c r="J175" s="108">
        <f t="shared" si="71"/>
        <v>2432</v>
      </c>
      <c r="K175" s="119">
        <v>1715.46</v>
      </c>
      <c r="L175" s="119">
        <f t="shared" si="72"/>
        <v>6443.46</v>
      </c>
      <c r="M175" s="119">
        <f t="shared" si="73"/>
        <v>73556.539999999994</v>
      </c>
      <c r="N175" s="119">
        <f t="shared" ref="N175:N178" si="74">+IF(M175*12&lt;=416220.01,0,IF(M175*12&lt;=624329.01,(((M175*12-416220.01)*0.15)/12),IF((M175*12&lt;=867123.01),(31216+0.2*(M175*12-624329.01))/12,((79776+0.25*(M175*12-867123.01))/12))))-O175</f>
        <v>6972.0722916666664</v>
      </c>
      <c r="O175" s="119"/>
      <c r="P175" s="164">
        <v>3878.07</v>
      </c>
      <c r="Q175" s="121">
        <f>+P175+N175+L175</f>
        <v>17293.602291666666</v>
      </c>
      <c r="R175" s="159">
        <f>+H175-Q175</f>
        <v>62706.39770833333</v>
      </c>
    </row>
    <row r="176" spans="1:18" s="186" customFormat="1" ht="39.950000000000003" customHeight="1" x14ac:dyDescent="0.2">
      <c r="A176" s="111">
        <f>+A175+1</f>
        <v>78</v>
      </c>
      <c r="B176" s="144" t="s">
        <v>321</v>
      </c>
      <c r="C176" s="111" t="s">
        <v>347</v>
      </c>
      <c r="D176" s="146" t="s">
        <v>195</v>
      </c>
      <c r="E176" s="157" t="s">
        <v>183</v>
      </c>
      <c r="F176" s="168" t="s">
        <v>657</v>
      </c>
      <c r="G176" s="157" t="s">
        <v>658</v>
      </c>
      <c r="H176" s="163">
        <v>80000</v>
      </c>
      <c r="I176" s="108">
        <f t="shared" si="70"/>
        <v>2296</v>
      </c>
      <c r="J176" s="108">
        <f t="shared" si="71"/>
        <v>2432</v>
      </c>
      <c r="K176" s="119">
        <v>1715.46</v>
      </c>
      <c r="L176" s="119">
        <f>+J176+I176+K176</f>
        <v>6443.46</v>
      </c>
      <c r="M176" s="119">
        <f>+H176-L176</f>
        <v>73556.539999999994</v>
      </c>
      <c r="N176" s="119">
        <f t="shared" si="74"/>
        <v>6972.0722916666664</v>
      </c>
      <c r="O176" s="119"/>
      <c r="P176" s="164">
        <v>2925</v>
      </c>
      <c r="Q176" s="121">
        <f>+P176+N176+L176</f>
        <v>16340.532291666666</v>
      </c>
      <c r="R176" s="159">
        <f>+H176-Q176</f>
        <v>63659.467708333337</v>
      </c>
    </row>
    <row r="177" spans="1:18" s="186" customFormat="1" ht="39.950000000000003" customHeight="1" x14ac:dyDescent="0.2">
      <c r="A177" s="111">
        <f>+A176+1</f>
        <v>79</v>
      </c>
      <c r="B177" s="144" t="s">
        <v>318</v>
      </c>
      <c r="C177" s="111" t="s">
        <v>347</v>
      </c>
      <c r="D177" s="146" t="s">
        <v>195</v>
      </c>
      <c r="E177" s="157" t="s">
        <v>183</v>
      </c>
      <c r="F177" s="157" t="s">
        <v>599</v>
      </c>
      <c r="G177" s="157" t="s">
        <v>656</v>
      </c>
      <c r="H177" s="163">
        <v>80000</v>
      </c>
      <c r="I177" s="119">
        <f>H177*2.87%</f>
        <v>2296</v>
      </c>
      <c r="J177" s="119">
        <f>+H177*3.04%</f>
        <v>2432</v>
      </c>
      <c r="K177" s="119">
        <v>1715.46</v>
      </c>
      <c r="L177" s="119">
        <f>+J177+I177+K177</f>
        <v>6443.46</v>
      </c>
      <c r="M177" s="119">
        <f>+H177-L177</f>
        <v>73556.539999999994</v>
      </c>
      <c r="N177" s="119">
        <f t="shared" si="74"/>
        <v>6972.0722916666664</v>
      </c>
      <c r="O177" s="119"/>
      <c r="P177" s="164">
        <v>25</v>
      </c>
      <c r="Q177" s="121">
        <f>+P177+N177+L177</f>
        <v>13440.532291666666</v>
      </c>
      <c r="R177" s="159">
        <f>+H177-Q177</f>
        <v>66559.467708333337</v>
      </c>
    </row>
    <row r="178" spans="1:18" s="186" customFormat="1" ht="39.950000000000003" customHeight="1" x14ac:dyDescent="0.2">
      <c r="A178" s="111">
        <f>+A177+1</f>
        <v>80</v>
      </c>
      <c r="B178" s="144" t="s">
        <v>476</v>
      </c>
      <c r="C178" s="111" t="s">
        <v>347</v>
      </c>
      <c r="D178" s="146" t="s">
        <v>322</v>
      </c>
      <c r="E178" s="157" t="s">
        <v>183</v>
      </c>
      <c r="F178" s="157" t="s">
        <v>611</v>
      </c>
      <c r="G178" s="157" t="s">
        <v>671</v>
      </c>
      <c r="H178" s="163">
        <v>65000</v>
      </c>
      <c r="I178" s="108">
        <f t="shared" ref="I178" si="75">H178*2.87%</f>
        <v>1865.5</v>
      </c>
      <c r="J178" s="108">
        <f t="shared" ref="J178" si="76">+H178*3.04%</f>
        <v>1976</v>
      </c>
      <c r="K178" s="108"/>
      <c r="L178" s="119">
        <f t="shared" si="72"/>
        <v>3841.5</v>
      </c>
      <c r="M178" s="119">
        <f t="shared" si="73"/>
        <v>61158.5</v>
      </c>
      <c r="N178" s="119">
        <f t="shared" si="74"/>
        <v>4427.5498333333335</v>
      </c>
      <c r="O178" s="119"/>
      <c r="P178" s="164">
        <v>225</v>
      </c>
      <c r="Q178" s="119">
        <f>+P178+N178+L178</f>
        <v>8494.0498333333344</v>
      </c>
      <c r="R178" s="164">
        <f>+H178-Q178</f>
        <v>56505.950166666662</v>
      </c>
    </row>
    <row r="179" spans="1:18" s="186" customFormat="1" ht="39.950000000000003" customHeight="1" x14ac:dyDescent="0.2">
      <c r="A179" s="360" t="s">
        <v>103</v>
      </c>
      <c r="B179" s="361"/>
      <c r="C179" s="103"/>
      <c r="D179" s="103"/>
      <c r="E179" s="103"/>
      <c r="F179" s="103"/>
      <c r="G179" s="103"/>
      <c r="H179" s="104">
        <f t="shared" ref="H179:R179" si="77">SUM(H174:H178)</f>
        <v>460000</v>
      </c>
      <c r="I179" s="104">
        <f t="shared" si="77"/>
        <v>13202</v>
      </c>
      <c r="J179" s="104">
        <f t="shared" si="77"/>
        <v>13984</v>
      </c>
      <c r="K179" s="104">
        <f t="shared" si="77"/>
        <v>5146.38</v>
      </c>
      <c r="L179" s="104">
        <f t="shared" si="77"/>
        <v>32332.379999999997</v>
      </c>
      <c r="M179" s="104">
        <f t="shared" si="77"/>
        <v>427667.61999999994</v>
      </c>
      <c r="N179" s="104">
        <f t="shared" si="77"/>
        <v>50386.578999999991</v>
      </c>
      <c r="O179" s="104">
        <f t="shared" si="77"/>
        <v>0</v>
      </c>
      <c r="P179" s="104">
        <f t="shared" si="77"/>
        <v>16369.6</v>
      </c>
      <c r="Q179" s="104">
        <f t="shared" si="77"/>
        <v>99088.558999999994</v>
      </c>
      <c r="R179" s="104">
        <f t="shared" si="77"/>
        <v>360911.44099999999</v>
      </c>
    </row>
    <row r="180" spans="1:18" s="186" customFormat="1" ht="39.950000000000003" customHeight="1" thickBot="1" x14ac:dyDescent="0.25">
      <c r="A180" s="173"/>
      <c r="B180" s="173"/>
      <c r="C180" s="173"/>
      <c r="D180" s="173"/>
      <c r="E180" s="173"/>
      <c r="F180" s="173"/>
      <c r="G180" s="173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</row>
    <row r="181" spans="1:18" s="190" customFormat="1" ht="39.950000000000003" customHeight="1" thickBot="1" x14ac:dyDescent="0.25">
      <c r="A181" s="176" t="s">
        <v>377</v>
      </c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</row>
    <row r="182" spans="1:18" s="186" customFormat="1" ht="39.950000000000003" customHeight="1" x14ac:dyDescent="0.2">
      <c r="A182" s="106">
        <f>+A178+1</f>
        <v>81</v>
      </c>
      <c r="B182" s="112" t="s">
        <v>188</v>
      </c>
      <c r="C182" s="111" t="s">
        <v>347</v>
      </c>
      <c r="D182" s="110" t="s">
        <v>378</v>
      </c>
      <c r="E182" s="157" t="s">
        <v>183</v>
      </c>
      <c r="F182" s="158" t="s">
        <v>632</v>
      </c>
      <c r="G182" s="158" t="s">
        <v>626</v>
      </c>
      <c r="H182" s="198">
        <v>180000</v>
      </c>
      <c r="I182" s="100">
        <f>H182*2.87%</f>
        <v>5166</v>
      </c>
      <c r="J182" s="121">
        <f>+H182*3.04%</f>
        <v>5472</v>
      </c>
      <c r="K182" s="121"/>
      <c r="L182" s="119">
        <f>+J182+I182+K182</f>
        <v>10638</v>
      </c>
      <c r="M182" s="119">
        <f>+H182-L182</f>
        <v>169362</v>
      </c>
      <c r="N182" s="119">
        <f>+IF(M182*12&lt;=416220.01,0,IF(M182*12&lt;=624329.01,(((M182*12-416220.01)*0.15)/12),IF((M182*12&lt;=867123.01),(31216+0.2*(M182*12-624329.01))/12,((79776+0.25*(M182*12-867123.01))/12))))</f>
        <v>30923.437291666665</v>
      </c>
      <c r="O182" s="119"/>
      <c r="P182" s="159">
        <v>10025</v>
      </c>
      <c r="Q182" s="119">
        <f>+P182+N182+L182</f>
        <v>51586.437291666662</v>
      </c>
      <c r="R182" s="167">
        <f>+H182-Q182</f>
        <v>128413.56270833334</v>
      </c>
    </row>
    <row r="183" spans="1:18" s="114" customFormat="1" ht="39.950000000000003" customHeight="1" x14ac:dyDescent="0.2">
      <c r="A183" s="360" t="s">
        <v>103</v>
      </c>
      <c r="B183" s="361"/>
      <c r="C183" s="103"/>
      <c r="D183" s="103"/>
      <c r="E183" s="103"/>
      <c r="F183" s="103"/>
      <c r="G183" s="103"/>
      <c r="H183" s="104">
        <f t="shared" ref="H183:R183" si="78">SUM(H182:H182)</f>
        <v>180000</v>
      </c>
      <c r="I183" s="104">
        <f t="shared" si="78"/>
        <v>5166</v>
      </c>
      <c r="J183" s="104">
        <f t="shared" si="78"/>
        <v>5472</v>
      </c>
      <c r="K183" s="104">
        <f t="shared" si="78"/>
        <v>0</v>
      </c>
      <c r="L183" s="104">
        <f t="shared" si="78"/>
        <v>10638</v>
      </c>
      <c r="M183" s="104">
        <f t="shared" si="78"/>
        <v>169362</v>
      </c>
      <c r="N183" s="104">
        <f t="shared" si="78"/>
        <v>30923.437291666665</v>
      </c>
      <c r="O183" s="104">
        <f t="shared" si="78"/>
        <v>0</v>
      </c>
      <c r="P183" s="104">
        <f t="shared" si="78"/>
        <v>10025</v>
      </c>
      <c r="Q183" s="104">
        <f t="shared" si="78"/>
        <v>51586.437291666662</v>
      </c>
      <c r="R183" s="104">
        <f t="shared" si="78"/>
        <v>128413.56270833334</v>
      </c>
    </row>
    <row r="184" spans="1:18" s="118" customFormat="1" ht="39.950000000000003" customHeight="1" thickBot="1" x14ac:dyDescent="0.25">
      <c r="A184" s="173"/>
      <c r="B184" s="173"/>
      <c r="C184" s="173"/>
      <c r="D184" s="173"/>
      <c r="E184" s="173"/>
      <c r="F184" s="173"/>
      <c r="G184" s="173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</row>
    <row r="185" spans="1:18" s="118" customFormat="1" ht="39.950000000000003" customHeight="1" thickBot="1" x14ac:dyDescent="0.25">
      <c r="A185" s="176" t="s">
        <v>149</v>
      </c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</row>
    <row r="186" spans="1:18" s="114" customFormat="1" ht="39.950000000000003" customHeight="1" x14ac:dyDescent="0.2">
      <c r="A186" s="160">
        <f>+A182+1</f>
        <v>82</v>
      </c>
      <c r="B186" s="171" t="s">
        <v>394</v>
      </c>
      <c r="C186" s="156" t="s">
        <v>347</v>
      </c>
      <c r="D186" s="157" t="s">
        <v>395</v>
      </c>
      <c r="E186" s="157" t="s">
        <v>183</v>
      </c>
      <c r="F186" s="168" t="s">
        <v>583</v>
      </c>
      <c r="G186" s="157" t="s">
        <v>646</v>
      </c>
      <c r="H186" s="197">
        <v>150000</v>
      </c>
      <c r="I186" s="121">
        <f>H186*2.87%</f>
        <v>4305</v>
      </c>
      <c r="J186" s="121">
        <f>+H186*3.04%</f>
        <v>4560</v>
      </c>
      <c r="K186" s="121"/>
      <c r="L186" s="119">
        <f>+J186+I186+K186</f>
        <v>8865</v>
      </c>
      <c r="M186" s="119">
        <f>+H186-L186</f>
        <v>141135</v>
      </c>
      <c r="N186" s="119">
        <f>+IF(M186*12&lt;=416220.01,0,IF(M186*12&lt;=624329.01,(((M186*12-416220.01)*0.15)/12),IF((M186*12&lt;=867123.01),(31216+0.2*(M186*12-624329.01))/12,((79776+0.25*(M186*12-867123.01))/12))))-O186</f>
        <v>23866.687291666665</v>
      </c>
      <c r="O186" s="119"/>
      <c r="P186" s="119">
        <v>3590.92</v>
      </c>
      <c r="Q186" s="119">
        <f>+P186+N186+L186</f>
        <v>36322.607291666667</v>
      </c>
      <c r="R186" s="159">
        <f>+H186-Q186</f>
        <v>113677.39270833333</v>
      </c>
    </row>
    <row r="187" spans="1:18" s="118" customFormat="1" ht="39.950000000000003" customHeight="1" x14ac:dyDescent="0.2">
      <c r="A187" s="160">
        <f>+A186+1</f>
        <v>83</v>
      </c>
      <c r="B187" s="171" t="s">
        <v>304</v>
      </c>
      <c r="C187" s="156" t="s">
        <v>347</v>
      </c>
      <c r="D187" s="157" t="s">
        <v>323</v>
      </c>
      <c r="E187" s="157" t="s">
        <v>183</v>
      </c>
      <c r="F187" s="168" t="s">
        <v>657</v>
      </c>
      <c r="G187" s="157" t="s">
        <v>658</v>
      </c>
      <c r="H187" s="197">
        <v>70000</v>
      </c>
      <c r="I187" s="100">
        <f>H187*2.87%</f>
        <v>2009</v>
      </c>
      <c r="J187" s="121">
        <f t="shared" ref="J187" si="79">+H187*3.04%</f>
        <v>2128</v>
      </c>
      <c r="K187" s="121"/>
      <c r="L187" s="119">
        <f>+J187+I187+K187</f>
        <v>4137</v>
      </c>
      <c r="M187" s="119">
        <f>+H187-L187</f>
        <v>65863</v>
      </c>
      <c r="N187" s="119">
        <f t="shared" ref="N187:N188" si="80">+IF(M187*12&lt;=416220.01,0,IF(M187*12&lt;=624329.01,(((M187*12-416220.01)*0.15)/12),IF((M187*12&lt;=867123.01),(31216+0.2*(M187*12-624329.01))/12,((79776+0.25*(M187*12-867123.01))/12))))-O187</f>
        <v>5368.4498333333331</v>
      </c>
      <c r="O187" s="119"/>
      <c r="P187" s="164">
        <v>25</v>
      </c>
      <c r="Q187" s="119">
        <f>+P187+N187+L187</f>
        <v>9530.4498333333322</v>
      </c>
      <c r="R187" s="167">
        <f>+H187-Q187</f>
        <v>60469.550166666668</v>
      </c>
    </row>
    <row r="188" spans="1:18" s="118" customFormat="1" ht="39.950000000000003" customHeight="1" x14ac:dyDescent="0.2">
      <c r="A188" s="160">
        <f>+A187+1</f>
        <v>84</v>
      </c>
      <c r="B188" s="171" t="s">
        <v>434</v>
      </c>
      <c r="C188" s="156" t="s">
        <v>347</v>
      </c>
      <c r="D188" s="157" t="s">
        <v>323</v>
      </c>
      <c r="E188" s="157" t="s">
        <v>183</v>
      </c>
      <c r="F188" s="168" t="s">
        <v>657</v>
      </c>
      <c r="G188" s="157" t="s">
        <v>658</v>
      </c>
      <c r="H188" s="197">
        <v>60000</v>
      </c>
      <c r="I188" s="100">
        <f>H188*2.87%</f>
        <v>1722</v>
      </c>
      <c r="J188" s="121">
        <f t="shared" ref="J188" si="81">+H188*3.04%</f>
        <v>1824</v>
      </c>
      <c r="K188" s="121"/>
      <c r="L188" s="119">
        <f>+J188+I188+K188</f>
        <v>3546</v>
      </c>
      <c r="M188" s="119">
        <f>+H188-L188</f>
        <v>56454</v>
      </c>
      <c r="N188" s="119">
        <f t="shared" si="80"/>
        <v>3486.6498333333329</v>
      </c>
      <c r="O188" s="119">
        <v>0</v>
      </c>
      <c r="P188" s="159">
        <v>25</v>
      </c>
      <c r="Q188" s="119">
        <f>+P188+N188+L188</f>
        <v>7057.6498333333329</v>
      </c>
      <c r="R188" s="167">
        <f>+H188-Q188</f>
        <v>52942.350166666671</v>
      </c>
    </row>
    <row r="189" spans="1:18" s="118" customFormat="1" ht="39.950000000000003" customHeight="1" x14ac:dyDescent="0.2">
      <c r="A189" s="360" t="s">
        <v>103</v>
      </c>
      <c r="B189" s="361"/>
      <c r="C189" s="103"/>
      <c r="D189" s="103"/>
      <c r="E189" s="103"/>
      <c r="F189" s="103"/>
      <c r="G189" s="103"/>
      <c r="H189" s="104">
        <f>SUM(H186:H188)</f>
        <v>280000</v>
      </c>
      <c r="I189" s="104">
        <f t="shared" ref="I189:R189" si="82">SUM(I186:I188)</f>
        <v>8036</v>
      </c>
      <c r="J189" s="104">
        <f t="shared" si="82"/>
        <v>8512</v>
      </c>
      <c r="K189" s="104">
        <f t="shared" si="82"/>
        <v>0</v>
      </c>
      <c r="L189" s="104">
        <f t="shared" si="82"/>
        <v>16548</v>
      </c>
      <c r="M189" s="104">
        <f t="shared" si="82"/>
        <v>263452</v>
      </c>
      <c r="N189" s="104">
        <f t="shared" si="82"/>
        <v>32721.78695833333</v>
      </c>
      <c r="O189" s="104">
        <f t="shared" si="82"/>
        <v>0</v>
      </c>
      <c r="P189" s="104">
        <f t="shared" si="82"/>
        <v>3640.92</v>
      </c>
      <c r="Q189" s="104">
        <f t="shared" si="82"/>
        <v>52910.706958333336</v>
      </c>
      <c r="R189" s="104">
        <f t="shared" si="82"/>
        <v>227089.29304166668</v>
      </c>
    </row>
    <row r="190" spans="1:18" s="114" customFormat="1" ht="39.950000000000003" customHeight="1" thickBot="1" x14ac:dyDescent="0.25">
      <c r="A190" s="173"/>
      <c r="B190" s="173"/>
      <c r="C190" s="173"/>
      <c r="D190" s="173"/>
      <c r="E190" s="173"/>
      <c r="F190" s="173"/>
      <c r="G190" s="173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</row>
    <row r="191" spans="1:18" s="190" customFormat="1" ht="39.950000000000003" customHeight="1" thickBot="1" x14ac:dyDescent="0.25">
      <c r="A191" s="176" t="s">
        <v>150</v>
      </c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</row>
    <row r="192" spans="1:18" s="186" customFormat="1" ht="39.950000000000003" customHeight="1" x14ac:dyDescent="0.2">
      <c r="A192" s="160">
        <f>+A188+1</f>
        <v>85</v>
      </c>
      <c r="B192" s="168" t="s">
        <v>364</v>
      </c>
      <c r="C192" s="156" t="s">
        <v>346</v>
      </c>
      <c r="D192" s="168" t="s">
        <v>359</v>
      </c>
      <c r="E192" s="157" t="s">
        <v>183</v>
      </c>
      <c r="F192" s="157" t="s">
        <v>599</v>
      </c>
      <c r="G192" s="157" t="s">
        <v>656</v>
      </c>
      <c r="H192" s="164">
        <v>70000</v>
      </c>
      <c r="I192" s="121">
        <f t="shared" ref="I192" si="83">H192*2.87%</f>
        <v>2009</v>
      </c>
      <c r="J192" s="121">
        <f>+H192*3.04%</f>
        <v>2128</v>
      </c>
      <c r="K192" s="121"/>
      <c r="L192" s="119">
        <f>+J192+I192+K192</f>
        <v>4137</v>
      </c>
      <c r="M192" s="119">
        <f>+H192-L192</f>
        <v>65863</v>
      </c>
      <c r="N192" s="119">
        <f>+IF(M192*12&lt;=416220.01,0,IF(M192*12&lt;=624329.01,(((M192*12-416220.01)*0.15)/12),IF((M192*12&lt;=867123.01),(31216+0.2*(M192*12-624329.01))/12,((79776+0.25*(M192*12-867123.01))/12))))-O192</f>
        <v>5368.4498333333331</v>
      </c>
      <c r="O192" s="119"/>
      <c r="P192" s="164">
        <v>10563.83</v>
      </c>
      <c r="Q192" s="119">
        <f>+P192+N192+L192</f>
        <v>20069.279833333334</v>
      </c>
      <c r="R192" s="159">
        <f>+H192-Q192</f>
        <v>49930.720166666666</v>
      </c>
    </row>
    <row r="193" spans="1:18" s="114" customFormat="1" ht="39.950000000000003" customHeight="1" x14ac:dyDescent="0.2">
      <c r="A193" s="160">
        <f>+A192+1</f>
        <v>86</v>
      </c>
      <c r="B193" s="168" t="s">
        <v>190</v>
      </c>
      <c r="C193" s="156" t="s">
        <v>346</v>
      </c>
      <c r="D193" s="168" t="s">
        <v>189</v>
      </c>
      <c r="E193" s="157" t="s">
        <v>183</v>
      </c>
      <c r="F193" s="158" t="s">
        <v>632</v>
      </c>
      <c r="G193" s="158" t="s">
        <v>626</v>
      </c>
      <c r="H193" s="164">
        <v>70000</v>
      </c>
      <c r="I193" s="121">
        <f>H193*2.87%</f>
        <v>2009</v>
      </c>
      <c r="J193" s="121">
        <f t="shared" ref="J193" si="84">+H193*3.04%</f>
        <v>2128</v>
      </c>
      <c r="K193" s="121"/>
      <c r="L193" s="119">
        <f>+J193+I193+K193</f>
        <v>4137</v>
      </c>
      <c r="M193" s="119">
        <f>+H193-L193</f>
        <v>65863</v>
      </c>
      <c r="N193" s="119">
        <f>+IF(M193*12&lt;=416220.01,0,IF(M193*12&lt;=624329.01,(((M193*12-416220.01)*0.15)/12),IF((M193*12&lt;=867123.01),(31216+0.2*(M193*12-624329.01))/12,((79776+0.25*(M193*12-867123.01))/12))))-O193</f>
        <v>5368.4498333333331</v>
      </c>
      <c r="O193" s="119"/>
      <c r="P193" s="159">
        <v>25</v>
      </c>
      <c r="Q193" s="119">
        <f>+P193+N193+L193</f>
        <v>9530.4498333333322</v>
      </c>
      <c r="R193" s="159">
        <f>+H193-Q193</f>
        <v>60469.550166666668</v>
      </c>
    </row>
    <row r="194" spans="1:18" s="186" customFormat="1" ht="39.950000000000003" customHeight="1" x14ac:dyDescent="0.2">
      <c r="A194" s="360" t="s">
        <v>103</v>
      </c>
      <c r="B194" s="361"/>
      <c r="C194" s="103"/>
      <c r="D194" s="103"/>
      <c r="E194" s="103"/>
      <c r="F194" s="103"/>
      <c r="G194" s="103"/>
      <c r="H194" s="104">
        <f>SUM(H192:H193)</f>
        <v>140000</v>
      </c>
      <c r="I194" s="104">
        <f t="shared" ref="I194:R194" si="85">SUM(I192:I193)</f>
        <v>4018</v>
      </c>
      <c r="J194" s="104">
        <f t="shared" si="85"/>
        <v>4256</v>
      </c>
      <c r="K194" s="104">
        <f t="shared" si="85"/>
        <v>0</v>
      </c>
      <c r="L194" s="104">
        <f t="shared" si="85"/>
        <v>8274</v>
      </c>
      <c r="M194" s="104">
        <f t="shared" si="85"/>
        <v>131726</v>
      </c>
      <c r="N194" s="104">
        <f t="shared" si="85"/>
        <v>10736.899666666666</v>
      </c>
      <c r="O194" s="104">
        <f t="shared" si="85"/>
        <v>0</v>
      </c>
      <c r="P194" s="104">
        <f t="shared" si="85"/>
        <v>10588.83</v>
      </c>
      <c r="Q194" s="104">
        <f t="shared" si="85"/>
        <v>29599.729666666666</v>
      </c>
      <c r="R194" s="104">
        <f t="shared" si="85"/>
        <v>110400.27033333333</v>
      </c>
    </row>
    <row r="195" spans="1:18" s="114" customFormat="1" ht="39.950000000000003" customHeight="1" thickBot="1" x14ac:dyDescent="0.25">
      <c r="A195" s="116"/>
      <c r="B195" s="148"/>
      <c r="C195" s="116"/>
      <c r="D195" s="199"/>
      <c r="E195" s="199"/>
      <c r="F195" s="199"/>
      <c r="G195" s="199"/>
    </row>
    <row r="196" spans="1:18" s="114" customFormat="1" ht="39.950000000000003" customHeight="1" thickBot="1" x14ac:dyDescent="0.25">
      <c r="A196" s="176" t="s">
        <v>259</v>
      </c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</row>
    <row r="197" spans="1:18" s="118" customFormat="1" ht="39.950000000000003" customHeight="1" x14ac:dyDescent="0.2">
      <c r="A197" s="156">
        <f>+A193+1</f>
        <v>87</v>
      </c>
      <c r="B197" s="161" t="s">
        <v>624</v>
      </c>
      <c r="C197" s="133" t="s">
        <v>346</v>
      </c>
      <c r="D197" s="331" t="s">
        <v>633</v>
      </c>
      <c r="E197" s="157" t="s">
        <v>183</v>
      </c>
      <c r="F197" s="168" t="s">
        <v>625</v>
      </c>
      <c r="G197" s="168" t="s">
        <v>626</v>
      </c>
      <c r="H197" s="119">
        <v>170000</v>
      </c>
      <c r="I197" s="119">
        <f>H197*2.87%</f>
        <v>4879</v>
      </c>
      <c r="J197" s="121">
        <f t="shared" ref="J197" si="86">+H197*3.04%</f>
        <v>5168</v>
      </c>
      <c r="K197" s="121"/>
      <c r="L197" s="119">
        <f>+J197+I197+K197</f>
        <v>10047</v>
      </c>
      <c r="M197" s="119">
        <f>+H197-L197</f>
        <v>159953</v>
      </c>
      <c r="N197" s="119">
        <f>+IF(M197*12&lt;=416220.01,0,IF(M197*12&lt;=624329.01,(((M197*12-416220.01)*0.15)/12),IF((M197*12&lt;=867123.01),(31216+0.2*(M197*12-624329.01))/12,((79776+0.25*(M197*12-867123.01))/12))))-O197</f>
        <v>28571.187291666665</v>
      </c>
      <c r="O197" s="119"/>
      <c r="P197" s="159">
        <v>4525</v>
      </c>
      <c r="Q197" s="119">
        <f>+P197+N197+L197</f>
        <v>43143.187291666662</v>
      </c>
      <c r="R197" s="159">
        <f>+H197-Q197</f>
        <v>126856.81270833334</v>
      </c>
    </row>
    <row r="198" spans="1:18" s="118" customFormat="1" ht="39.950000000000003" customHeight="1" x14ac:dyDescent="0.2">
      <c r="A198" s="156">
        <f>+A197+1</f>
        <v>88</v>
      </c>
      <c r="B198" s="161" t="s">
        <v>669</v>
      </c>
      <c r="C198" s="133" t="s">
        <v>347</v>
      </c>
      <c r="D198" s="331" t="s">
        <v>672</v>
      </c>
      <c r="E198" s="157" t="s">
        <v>183</v>
      </c>
      <c r="F198" s="157" t="s">
        <v>611</v>
      </c>
      <c r="G198" s="157" t="s">
        <v>671</v>
      </c>
      <c r="H198" s="119">
        <v>50000</v>
      </c>
      <c r="I198" s="119">
        <f>H198*2.87%</f>
        <v>1435</v>
      </c>
      <c r="J198" s="121">
        <f t="shared" ref="J198" si="87">+H198*3.04%</f>
        <v>1520</v>
      </c>
      <c r="K198" s="121"/>
      <c r="L198" s="119">
        <f>+J198+I198+K198</f>
        <v>2955</v>
      </c>
      <c r="M198" s="119">
        <f>+H198-L198</f>
        <v>47045</v>
      </c>
      <c r="N198" s="119">
        <f>+IF(M198*12&lt;=416220.01,0,IF(M198*12&lt;=624329.01,(((M198*12-416220.01)*0.15)/12),IF((M198*12&lt;=867123.01),(31216+0.2*(M198*12-624329.01))/12,((79776+0.25*(M198*12-867123.01))/12))))-O198</f>
        <v>1853.9998749999997</v>
      </c>
      <c r="O198" s="119"/>
      <c r="P198" s="159">
        <v>25</v>
      </c>
      <c r="Q198" s="119">
        <f>+P198+N198+L198</f>
        <v>4833.9998749999995</v>
      </c>
      <c r="R198" s="159">
        <f>+H198-Q198</f>
        <v>45166.000124999999</v>
      </c>
    </row>
    <row r="199" spans="1:18" s="118" customFormat="1" ht="39.950000000000003" customHeight="1" x14ac:dyDescent="0.2">
      <c r="A199" s="360" t="s">
        <v>103</v>
      </c>
      <c r="B199" s="361"/>
      <c r="C199" s="103"/>
      <c r="D199" s="103"/>
      <c r="E199" s="187"/>
      <c r="F199" s="187"/>
      <c r="G199" s="188"/>
      <c r="H199" s="104">
        <f t="shared" ref="H199:Q199" si="88">+SUM(H197:H198)</f>
        <v>220000</v>
      </c>
      <c r="I199" s="104">
        <f t="shared" si="88"/>
        <v>6314</v>
      </c>
      <c r="J199" s="104">
        <f t="shared" si="88"/>
        <v>6688</v>
      </c>
      <c r="K199" s="104">
        <f t="shared" si="88"/>
        <v>0</v>
      </c>
      <c r="L199" s="104">
        <f t="shared" si="88"/>
        <v>13002</v>
      </c>
      <c r="M199" s="104">
        <f t="shared" si="88"/>
        <v>206998</v>
      </c>
      <c r="N199" s="104">
        <f t="shared" si="88"/>
        <v>30425.187166666667</v>
      </c>
      <c r="O199" s="104">
        <f t="shared" si="88"/>
        <v>0</v>
      </c>
      <c r="P199" s="104">
        <f t="shared" si="88"/>
        <v>4550</v>
      </c>
      <c r="Q199" s="104">
        <f t="shared" si="88"/>
        <v>47977.187166666663</v>
      </c>
      <c r="R199" s="104">
        <f>+SUM(R197:R198)</f>
        <v>172022.81283333333</v>
      </c>
    </row>
    <row r="200" spans="1:18" s="190" customFormat="1" ht="39.950000000000003" customHeight="1" thickBot="1" x14ac:dyDescent="0.25">
      <c r="A200" s="178"/>
      <c r="B200" s="178"/>
      <c r="C200" s="178"/>
      <c r="D200" s="178"/>
      <c r="E200" s="178"/>
      <c r="F200" s="178"/>
      <c r="G200" s="178"/>
      <c r="H200" s="200"/>
      <c r="I200" s="200"/>
      <c r="J200" s="200"/>
      <c r="K200" s="200"/>
      <c r="L200" s="200"/>
      <c r="M200" s="200"/>
      <c r="N200" s="200"/>
      <c r="O200" s="200"/>
      <c r="P200" s="200"/>
      <c r="Q200" s="200"/>
      <c r="R200" s="200"/>
    </row>
    <row r="201" spans="1:18" s="114" customFormat="1" ht="39.950000000000003" customHeight="1" thickBot="1" x14ac:dyDescent="0.25">
      <c r="A201" s="176" t="s">
        <v>324</v>
      </c>
      <c r="B201" s="177"/>
      <c r="C201" s="177"/>
      <c r="D201" s="177"/>
      <c r="E201" s="177"/>
      <c r="F201" s="177"/>
      <c r="G201" s="177"/>
      <c r="H201" s="177"/>
      <c r="I201" s="177"/>
      <c r="J201" s="177"/>
      <c r="K201" s="191"/>
      <c r="L201" s="177"/>
      <c r="M201" s="177"/>
      <c r="N201" s="177"/>
      <c r="O201" s="177"/>
      <c r="P201" s="177"/>
      <c r="Q201" s="177"/>
      <c r="R201" s="177"/>
    </row>
    <row r="202" spans="1:18" s="190" customFormat="1" ht="39.950000000000003" customHeight="1" x14ac:dyDescent="0.2">
      <c r="A202" s="160">
        <f>+A198+1</f>
        <v>89</v>
      </c>
      <c r="B202" s="168" t="s">
        <v>492</v>
      </c>
      <c r="C202" s="156" t="s">
        <v>346</v>
      </c>
      <c r="D202" s="157" t="s">
        <v>494</v>
      </c>
      <c r="E202" s="157" t="s">
        <v>183</v>
      </c>
      <c r="F202" s="168" t="s">
        <v>619</v>
      </c>
      <c r="G202" s="157" t="s">
        <v>618</v>
      </c>
      <c r="H202" s="121">
        <v>145000</v>
      </c>
      <c r="I202" s="100">
        <f>H202*2.87%</f>
        <v>4161.5</v>
      </c>
      <c r="J202" s="100">
        <f>+H202*3.04%</f>
        <v>4408</v>
      </c>
      <c r="K202" s="100"/>
      <c r="L202" s="119">
        <f>+J202+I202+K202</f>
        <v>8569.5</v>
      </c>
      <c r="M202" s="119">
        <f>+H202-L202</f>
        <v>136430.5</v>
      </c>
      <c r="N202" s="119">
        <f>+IF(M202*12&lt;=416220.01,0,IF(M202*12&lt;=624329.01,(((M202*12-416220.01)*0.15)/12),IF((M202*12&lt;=867123.01),(31216+0.2*(M202*12-624329.01))/12,((79776+0.25*(M202*12-867123.01))/12))))-O202</f>
        <v>22690.562291666665</v>
      </c>
      <c r="O202" s="119"/>
      <c r="P202" s="164">
        <f>100+125</f>
        <v>225</v>
      </c>
      <c r="Q202" s="119">
        <f t="shared" ref="Q202:Q207" si="89">+P202+N202+L202</f>
        <v>31485.062291666665</v>
      </c>
      <c r="R202" s="167">
        <f t="shared" ref="R202:R207" si="90">+H202-Q202</f>
        <v>113514.93770833334</v>
      </c>
    </row>
    <row r="203" spans="1:18" s="114" customFormat="1" ht="39.950000000000003" customHeight="1" x14ac:dyDescent="0.2">
      <c r="A203" s="160">
        <f>+A202+1</f>
        <v>90</v>
      </c>
      <c r="B203" s="168" t="s">
        <v>69</v>
      </c>
      <c r="C203" s="156" t="s">
        <v>346</v>
      </c>
      <c r="D203" s="157" t="s">
        <v>81</v>
      </c>
      <c r="E203" s="157" t="s">
        <v>183</v>
      </c>
      <c r="F203" s="157" t="s">
        <v>599</v>
      </c>
      <c r="G203" s="157" t="s">
        <v>656</v>
      </c>
      <c r="H203" s="121">
        <v>95000</v>
      </c>
      <c r="I203" s="100">
        <f t="shared" ref="I203" si="91">H203*2.87%</f>
        <v>2726.5</v>
      </c>
      <c r="J203" s="100">
        <f t="shared" ref="J203" si="92">+H203*3.04%</f>
        <v>2888</v>
      </c>
      <c r="K203" s="100"/>
      <c r="L203" s="121">
        <f t="shared" ref="L203:L207" si="93">+J203+I203+K203</f>
        <v>5614.5</v>
      </c>
      <c r="M203" s="121">
        <f t="shared" ref="M203:M207" si="94">+H203-L203</f>
        <v>89385.5</v>
      </c>
      <c r="N203" s="119">
        <f t="shared" ref="N203:N207" si="95">+IF(M203*12&lt;=416220.01,0,IF(M203*12&lt;=624329.01,(((M203*12-416220.01)*0.15)/12),IF((M203*12&lt;=867123.01),(31216+0.2*(M203*12-624329.01))/12,((79776+0.25*(M203*12-867123.01))/12))))-O203</f>
        <v>10929.312291666667</v>
      </c>
      <c r="O203" s="121"/>
      <c r="P203" s="164">
        <f>100+1025</f>
        <v>1125</v>
      </c>
      <c r="Q203" s="119">
        <f t="shared" si="89"/>
        <v>17668.812291666669</v>
      </c>
      <c r="R203" s="159">
        <f t="shared" si="90"/>
        <v>77331.187708333338</v>
      </c>
    </row>
    <row r="204" spans="1:18" s="190" customFormat="1" ht="39.950000000000003" customHeight="1" x14ac:dyDescent="0.2">
      <c r="A204" s="160">
        <f t="shared" ref="A204" si="96">+A203+1</f>
        <v>91</v>
      </c>
      <c r="B204" s="168" t="s">
        <v>493</v>
      </c>
      <c r="C204" s="156" t="s">
        <v>346</v>
      </c>
      <c r="D204" s="157" t="s">
        <v>66</v>
      </c>
      <c r="E204" s="157" t="s">
        <v>183</v>
      </c>
      <c r="F204" s="168" t="s">
        <v>619</v>
      </c>
      <c r="G204" s="157" t="s">
        <v>618</v>
      </c>
      <c r="H204" s="121">
        <v>95000</v>
      </c>
      <c r="I204" s="100">
        <f>H204*2.87%</f>
        <v>2726.5</v>
      </c>
      <c r="J204" s="100">
        <f>+H204*3.04%</f>
        <v>2888</v>
      </c>
      <c r="K204" s="100"/>
      <c r="L204" s="121">
        <f>+J204+I204+K204</f>
        <v>5614.5</v>
      </c>
      <c r="M204" s="121">
        <f>+H204-L204</f>
        <v>89385.5</v>
      </c>
      <c r="N204" s="119">
        <f t="shared" si="95"/>
        <v>10929.312291666667</v>
      </c>
      <c r="O204" s="121"/>
      <c r="P204" s="164">
        <f>100+13125</f>
        <v>13225</v>
      </c>
      <c r="Q204" s="119">
        <f t="shared" si="89"/>
        <v>29768.812291666669</v>
      </c>
      <c r="R204" s="167">
        <f t="shared" si="90"/>
        <v>65231.187708333331</v>
      </c>
    </row>
    <row r="205" spans="1:18" s="190" customFormat="1" ht="39.950000000000003" customHeight="1" x14ac:dyDescent="0.2">
      <c r="A205" s="160">
        <f>+A204+1</f>
        <v>92</v>
      </c>
      <c r="B205" s="168" t="s">
        <v>435</v>
      </c>
      <c r="C205" s="156" t="s">
        <v>346</v>
      </c>
      <c r="D205" s="157" t="s">
        <v>66</v>
      </c>
      <c r="E205" s="157" t="s">
        <v>183</v>
      </c>
      <c r="F205" s="168" t="s">
        <v>657</v>
      </c>
      <c r="G205" s="157" t="s">
        <v>658</v>
      </c>
      <c r="H205" s="121">
        <v>80000</v>
      </c>
      <c r="I205" s="100">
        <f t="shared" ref="I205" si="97">H205*2.87%</f>
        <v>2296</v>
      </c>
      <c r="J205" s="100">
        <f t="shared" ref="J205" si="98">+H205*3.04%</f>
        <v>2432</v>
      </c>
      <c r="K205" s="100">
        <v>3430.92</v>
      </c>
      <c r="L205" s="121">
        <f t="shared" si="93"/>
        <v>8158.92</v>
      </c>
      <c r="M205" s="121">
        <f t="shared" si="94"/>
        <v>71841.08</v>
      </c>
      <c r="N205" s="119">
        <f t="shared" si="95"/>
        <v>6564.0658333333331</v>
      </c>
      <c r="O205" s="121">
        <v>0</v>
      </c>
      <c r="P205" s="164">
        <f>100+125</f>
        <v>225</v>
      </c>
      <c r="Q205" s="119">
        <f t="shared" si="89"/>
        <v>14947.985833333332</v>
      </c>
      <c r="R205" s="159">
        <f t="shared" si="90"/>
        <v>65052.014166666668</v>
      </c>
    </row>
    <row r="206" spans="1:18" s="114" customFormat="1" ht="39.950000000000003" customHeight="1" x14ac:dyDescent="0.2">
      <c r="A206" s="160">
        <f t="shared" ref="A206" si="99">+A205+1</f>
        <v>93</v>
      </c>
      <c r="B206" s="112" t="s">
        <v>360</v>
      </c>
      <c r="C206" s="111" t="s">
        <v>346</v>
      </c>
      <c r="D206" s="107" t="s">
        <v>503</v>
      </c>
      <c r="E206" s="110" t="s">
        <v>183</v>
      </c>
      <c r="F206" s="157" t="s">
        <v>611</v>
      </c>
      <c r="G206" s="157" t="s">
        <v>671</v>
      </c>
      <c r="H206" s="166">
        <v>75000</v>
      </c>
      <c r="I206" s="100">
        <f>H206*2.87%</f>
        <v>2152.5</v>
      </c>
      <c r="J206" s="100">
        <f>+H206*3.04%</f>
        <v>2280</v>
      </c>
      <c r="K206" s="100">
        <v>1715.46</v>
      </c>
      <c r="L206" s="121">
        <f t="shared" si="93"/>
        <v>6147.96</v>
      </c>
      <c r="M206" s="121">
        <f t="shared" si="94"/>
        <v>68852.039999999994</v>
      </c>
      <c r="N206" s="119">
        <f t="shared" si="95"/>
        <v>5966.2578333333331</v>
      </c>
      <c r="O206" s="121">
        <v>0</v>
      </c>
      <c r="P206" s="164">
        <f>100+125</f>
        <v>225</v>
      </c>
      <c r="Q206" s="119">
        <f t="shared" si="89"/>
        <v>12339.217833333332</v>
      </c>
      <c r="R206" s="167">
        <f t="shared" si="90"/>
        <v>62660.782166666671</v>
      </c>
    </row>
    <row r="207" spans="1:18" s="114" customFormat="1" ht="39.950000000000003" customHeight="1" x14ac:dyDescent="0.2">
      <c r="A207" s="160">
        <f>+A206+1</f>
        <v>94</v>
      </c>
      <c r="B207" s="112" t="s">
        <v>655</v>
      </c>
      <c r="C207" s="111" t="s">
        <v>346</v>
      </c>
      <c r="D207" s="107" t="s">
        <v>666</v>
      </c>
      <c r="E207" s="110" t="s">
        <v>183</v>
      </c>
      <c r="F207" s="157" t="s">
        <v>599</v>
      </c>
      <c r="G207" s="157" t="s">
        <v>656</v>
      </c>
      <c r="H207" s="166">
        <v>50000</v>
      </c>
      <c r="I207" s="100">
        <f>H207*2.87%</f>
        <v>1435</v>
      </c>
      <c r="J207" s="100">
        <f>+H207*3.04%</f>
        <v>1520</v>
      </c>
      <c r="K207" s="100"/>
      <c r="L207" s="121">
        <f t="shared" si="93"/>
        <v>2955</v>
      </c>
      <c r="M207" s="121">
        <f t="shared" si="94"/>
        <v>47045</v>
      </c>
      <c r="N207" s="119">
        <f t="shared" si="95"/>
        <v>1853.9998749999997</v>
      </c>
      <c r="O207" s="121"/>
      <c r="P207" s="164">
        <v>25</v>
      </c>
      <c r="Q207" s="119">
        <f t="shared" si="89"/>
        <v>4833.9998749999995</v>
      </c>
      <c r="R207" s="167">
        <f t="shared" si="90"/>
        <v>45166.000124999999</v>
      </c>
    </row>
    <row r="208" spans="1:18" s="114" customFormat="1" ht="39.950000000000003" customHeight="1" x14ac:dyDescent="0.2">
      <c r="A208" s="360" t="s">
        <v>103</v>
      </c>
      <c r="B208" s="361"/>
      <c r="C208" s="103"/>
      <c r="D208" s="103"/>
      <c r="E208" s="103"/>
      <c r="F208" s="103"/>
      <c r="G208" s="201"/>
      <c r="H208" s="104">
        <f>SUM(H202:H207)</f>
        <v>540000</v>
      </c>
      <c r="I208" s="104">
        <f t="shared" ref="I208:R208" si="100">SUM(I202:I207)</f>
        <v>15498</v>
      </c>
      <c r="J208" s="104">
        <f t="shared" si="100"/>
        <v>16416</v>
      </c>
      <c r="K208" s="104">
        <f t="shared" si="100"/>
        <v>5146.38</v>
      </c>
      <c r="L208" s="104">
        <f t="shared" si="100"/>
        <v>37060.379999999997</v>
      </c>
      <c r="M208" s="104">
        <f t="shared" si="100"/>
        <v>502939.62</v>
      </c>
      <c r="N208" s="104">
        <f t="shared" si="100"/>
        <v>58933.510416666664</v>
      </c>
      <c r="O208" s="104">
        <f t="shared" si="100"/>
        <v>0</v>
      </c>
      <c r="P208" s="104">
        <f t="shared" si="100"/>
        <v>15050</v>
      </c>
      <c r="Q208" s="104">
        <f t="shared" si="100"/>
        <v>111043.89041666668</v>
      </c>
      <c r="R208" s="104">
        <f t="shared" si="100"/>
        <v>428956.10958333337</v>
      </c>
    </row>
    <row r="209" spans="1:18" s="114" customFormat="1" ht="39.950000000000003" customHeight="1" thickBot="1" x14ac:dyDescent="0.25">
      <c r="A209" s="173"/>
      <c r="B209" s="173"/>
      <c r="C209" s="173"/>
      <c r="D209" s="173"/>
      <c r="E209" s="173"/>
      <c r="F209" s="173"/>
      <c r="G209" s="173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</row>
    <row r="210" spans="1:18" s="114" customFormat="1" ht="39.950000000000003" customHeight="1" thickBot="1" x14ac:dyDescent="0.25">
      <c r="A210" s="176" t="s">
        <v>263</v>
      </c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</row>
    <row r="211" spans="1:18" s="114" customFormat="1" ht="39.950000000000003" customHeight="1" x14ac:dyDescent="0.2">
      <c r="A211" s="156">
        <f>+A207+1</f>
        <v>95</v>
      </c>
      <c r="B211" s="168" t="s">
        <v>586</v>
      </c>
      <c r="C211" s="156" t="s">
        <v>346</v>
      </c>
      <c r="D211" s="157" t="s">
        <v>369</v>
      </c>
      <c r="E211" s="157" t="s">
        <v>183</v>
      </c>
      <c r="F211" s="168" t="s">
        <v>657</v>
      </c>
      <c r="G211" s="157" t="s">
        <v>658</v>
      </c>
      <c r="H211" s="119">
        <v>145000</v>
      </c>
      <c r="I211" s="119">
        <f>H211*2.87%</f>
        <v>4161.5</v>
      </c>
      <c r="J211" s="119">
        <f>+H211*3.04%</f>
        <v>4408</v>
      </c>
      <c r="K211" s="119">
        <v>1715.46</v>
      </c>
      <c r="L211" s="119">
        <f t="shared" ref="L211:L213" si="101">+J211+I211+K211</f>
        <v>10284.959999999999</v>
      </c>
      <c r="M211" s="119">
        <f t="shared" ref="M211:M213" si="102">+H211-L211</f>
        <v>134715.04</v>
      </c>
      <c r="N211" s="119">
        <f>+IF(M211*12&lt;=416220.01,0,IF(M211*12&lt;=624329.01,(((M211*12-416220.01)*0.15)/12),IF((M211*12&lt;=867123.01),(31216+0.2*(M211*12-624329.01))/12,((79776+0.25*(M211*12-867123.01))/12))))-O211</f>
        <v>22261.697291666667</v>
      </c>
      <c r="O211" s="119"/>
      <c r="P211" s="164">
        <v>5025</v>
      </c>
      <c r="Q211" s="119">
        <f t="shared" ref="Q211:Q213" si="103">+P211+N211+L211</f>
        <v>37571.657291666663</v>
      </c>
      <c r="R211" s="164">
        <f t="shared" ref="R211:R213" si="104">+H211-Q211</f>
        <v>107428.34270833334</v>
      </c>
    </row>
    <row r="212" spans="1:18" s="114" customFormat="1" ht="39.950000000000003" customHeight="1" x14ac:dyDescent="0.2">
      <c r="A212" s="156">
        <f>+A211+1</f>
        <v>96</v>
      </c>
      <c r="B212" s="112" t="s">
        <v>409</v>
      </c>
      <c r="C212" s="111" t="s">
        <v>346</v>
      </c>
      <c r="D212" s="112" t="s">
        <v>405</v>
      </c>
      <c r="E212" s="110" t="s">
        <v>183</v>
      </c>
      <c r="F212" s="157" t="s">
        <v>599</v>
      </c>
      <c r="G212" s="157" t="s">
        <v>656</v>
      </c>
      <c r="H212" s="166">
        <v>110000</v>
      </c>
      <c r="I212" s="121">
        <f>H212*2.87%</f>
        <v>3157</v>
      </c>
      <c r="J212" s="121">
        <f>+H212*3.04%</f>
        <v>3344</v>
      </c>
      <c r="K212" s="121">
        <v>5146.38</v>
      </c>
      <c r="L212" s="121">
        <f t="shared" si="101"/>
        <v>11647.380000000001</v>
      </c>
      <c r="M212" s="121">
        <f t="shared" si="102"/>
        <v>98352.62</v>
      </c>
      <c r="N212" s="119">
        <f t="shared" ref="N212:N213" si="105">+IF(M212*12&lt;=416220.01,0,IF(M212*12&lt;=624329.01,(((M212*12-416220.01)*0.15)/12),IF((M212*12&lt;=867123.01),(31216+0.2*(M212*12-624329.01))/12,((79776+0.25*(M212*12-867123.01))/12))))-O212</f>
        <v>13171.092291666666</v>
      </c>
      <c r="O212" s="121"/>
      <c r="P212" s="159">
        <v>6817.14</v>
      </c>
      <c r="Q212" s="119">
        <f t="shared" si="103"/>
        <v>31635.612291666668</v>
      </c>
      <c r="R212" s="159">
        <f t="shared" si="104"/>
        <v>78364.387708333335</v>
      </c>
    </row>
    <row r="213" spans="1:18" s="114" customFormat="1" ht="39.950000000000003" customHeight="1" x14ac:dyDescent="0.2">
      <c r="A213" s="160">
        <f>+A212+1</f>
        <v>97</v>
      </c>
      <c r="B213" s="158" t="s">
        <v>170</v>
      </c>
      <c r="C213" s="160" t="s">
        <v>346</v>
      </c>
      <c r="D213" s="179" t="s">
        <v>325</v>
      </c>
      <c r="E213" s="179" t="s">
        <v>183</v>
      </c>
      <c r="F213" s="158" t="s">
        <v>619</v>
      </c>
      <c r="G213" s="179" t="s">
        <v>618</v>
      </c>
      <c r="H213" s="121">
        <v>55000</v>
      </c>
      <c r="I213" s="121">
        <f>H213*2.87%</f>
        <v>1578.5</v>
      </c>
      <c r="J213" s="121">
        <f>+H213*3.04%</f>
        <v>1672</v>
      </c>
      <c r="K213" s="121">
        <v>0</v>
      </c>
      <c r="L213" s="121">
        <f t="shared" si="101"/>
        <v>3250.5</v>
      </c>
      <c r="M213" s="121">
        <f t="shared" si="102"/>
        <v>51749.5</v>
      </c>
      <c r="N213" s="119">
        <f t="shared" si="105"/>
        <v>2559.6748749999997</v>
      </c>
      <c r="O213" s="121"/>
      <c r="P213" s="164">
        <v>5225</v>
      </c>
      <c r="Q213" s="119">
        <f t="shared" si="103"/>
        <v>11035.174875000001</v>
      </c>
      <c r="R213" s="159">
        <f t="shared" si="104"/>
        <v>43964.825125000003</v>
      </c>
    </row>
    <row r="214" spans="1:18" s="114" customFormat="1" ht="39.950000000000003" customHeight="1" x14ac:dyDescent="0.2">
      <c r="A214" s="360" t="s">
        <v>103</v>
      </c>
      <c r="B214" s="361"/>
      <c r="C214" s="187"/>
      <c r="D214" s="187"/>
      <c r="E214" s="187"/>
      <c r="F214" s="187"/>
      <c r="G214" s="187"/>
      <c r="H214" s="104">
        <f t="shared" ref="H214:R214" si="106">SUM(H211:H213)</f>
        <v>310000</v>
      </c>
      <c r="I214" s="104">
        <f t="shared" si="106"/>
        <v>8897</v>
      </c>
      <c r="J214" s="104">
        <f t="shared" si="106"/>
        <v>9424</v>
      </c>
      <c r="K214" s="104">
        <f t="shared" si="106"/>
        <v>6861.84</v>
      </c>
      <c r="L214" s="104">
        <f t="shared" si="106"/>
        <v>25182.84</v>
      </c>
      <c r="M214" s="104">
        <f t="shared" si="106"/>
        <v>284817.16000000003</v>
      </c>
      <c r="N214" s="104">
        <f t="shared" si="106"/>
        <v>37992.464458333328</v>
      </c>
      <c r="O214" s="104">
        <f t="shared" si="106"/>
        <v>0</v>
      </c>
      <c r="P214" s="104">
        <f t="shared" si="106"/>
        <v>17067.14</v>
      </c>
      <c r="Q214" s="104">
        <f t="shared" si="106"/>
        <v>80242.444458333324</v>
      </c>
      <c r="R214" s="104">
        <f t="shared" si="106"/>
        <v>229757.55554166666</v>
      </c>
    </row>
    <row r="215" spans="1:18" s="114" customFormat="1" ht="39.950000000000003" customHeight="1" thickBot="1" x14ac:dyDescent="0.25">
      <c r="A215" s="173"/>
      <c r="B215" s="173"/>
      <c r="C215" s="173"/>
      <c r="D215" s="173"/>
      <c r="E215" s="173"/>
      <c r="F215" s="173"/>
      <c r="G215" s="173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</row>
    <row r="216" spans="1:18" s="118" customFormat="1" ht="39.950000000000003" customHeight="1" thickBot="1" x14ac:dyDescent="0.25">
      <c r="A216" s="176" t="s">
        <v>197</v>
      </c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</row>
    <row r="217" spans="1:18" s="114" customFormat="1" ht="39.950000000000003" customHeight="1" x14ac:dyDescent="0.2">
      <c r="A217" s="156">
        <f>+A213+1</f>
        <v>98</v>
      </c>
      <c r="B217" s="112" t="s">
        <v>192</v>
      </c>
      <c r="C217" s="111" t="s">
        <v>346</v>
      </c>
      <c r="D217" s="112" t="s">
        <v>663</v>
      </c>
      <c r="E217" s="110" t="s">
        <v>183</v>
      </c>
      <c r="F217" s="171" t="s">
        <v>625</v>
      </c>
      <c r="G217" s="341" t="s">
        <v>626</v>
      </c>
      <c r="H217" s="169">
        <v>95000</v>
      </c>
      <c r="I217" s="100">
        <f t="shared" ref="I217" si="107">H217*2.87%</f>
        <v>2726.5</v>
      </c>
      <c r="J217" s="100">
        <f t="shared" ref="J217" si="108">+H217*3.04%</f>
        <v>2888</v>
      </c>
      <c r="K217" s="100"/>
      <c r="L217" s="121">
        <f>+J217+I217+K217</f>
        <v>5614.5</v>
      </c>
      <c r="M217" s="121">
        <f>+H217-L217</f>
        <v>89385.5</v>
      </c>
      <c r="N217" s="119">
        <f>+IF(M217*12&lt;=416220.01,0,IF(M217*12&lt;=624329.01,(((M217*12-416220.01)*0.15)/12),IF((M217*12&lt;=867123.01),(31216+0.2*(M217*12-624329.01))/12,((79776+0.25*(M217*12-867123.01))/12))))-O217</f>
        <v>10929.312291666667</v>
      </c>
      <c r="O217" s="121"/>
      <c r="P217" s="159">
        <f>100+2370.33</f>
        <v>2470.33</v>
      </c>
      <c r="Q217" s="119">
        <f>+P217+N217+L217</f>
        <v>19014.142291666667</v>
      </c>
      <c r="R217" s="120">
        <f>+H217-Q217</f>
        <v>75985.857708333337</v>
      </c>
    </row>
    <row r="218" spans="1:18" ht="39.950000000000003" customHeight="1" x14ac:dyDescent="0.2">
      <c r="A218" s="160">
        <f>+A217+1</f>
        <v>99</v>
      </c>
      <c r="B218" s="168" t="s">
        <v>627</v>
      </c>
      <c r="C218" s="156" t="s">
        <v>346</v>
      </c>
      <c r="D218" s="179" t="s">
        <v>634</v>
      </c>
      <c r="E218" s="157" t="s">
        <v>183</v>
      </c>
      <c r="F218" s="168" t="s">
        <v>625</v>
      </c>
      <c r="G218" s="168" t="s">
        <v>626</v>
      </c>
      <c r="H218" s="166">
        <v>145000</v>
      </c>
      <c r="I218" s="108">
        <f>H218*2.87%</f>
        <v>4161.5</v>
      </c>
      <c r="J218" s="108">
        <f>+H218*3.04%</f>
        <v>4408</v>
      </c>
      <c r="K218" s="108"/>
      <c r="L218" s="119">
        <f>+J218+I218+K218</f>
        <v>8569.5</v>
      </c>
      <c r="M218" s="119">
        <f>+H218-L218</f>
        <v>136430.5</v>
      </c>
      <c r="N218" s="119">
        <f t="shared" ref="N218:N220" si="109">+IF(M218*12&lt;=416220.01,0,IF(M218*12&lt;=624329.01,(((M218*12-416220.01)*0.15)/12),IF((M218*12&lt;=867123.01),(31216+0.2*(M218*12-624329.01))/12,((79776+0.25*(M218*12-867123.01))/12))))-O218</f>
        <v>22690.562291666665</v>
      </c>
      <c r="O218" s="119"/>
      <c r="P218" s="159">
        <v>225</v>
      </c>
      <c r="Q218" s="119">
        <f>+P218+N218+L218</f>
        <v>31485.062291666665</v>
      </c>
      <c r="R218" s="167">
        <f>H218-Q218</f>
        <v>113514.93770833334</v>
      </c>
    </row>
    <row r="219" spans="1:18" s="114" customFormat="1" ht="39.950000000000003" customHeight="1" x14ac:dyDescent="0.2">
      <c r="A219" s="160">
        <v>100</v>
      </c>
      <c r="B219" s="168" t="s">
        <v>469</v>
      </c>
      <c r="C219" s="156" t="s">
        <v>346</v>
      </c>
      <c r="D219" s="158" t="s">
        <v>325</v>
      </c>
      <c r="E219" s="157" t="s">
        <v>183</v>
      </c>
      <c r="F219" s="157" t="s">
        <v>599</v>
      </c>
      <c r="G219" s="157" t="s">
        <v>656</v>
      </c>
      <c r="H219" s="166">
        <v>60000</v>
      </c>
      <c r="I219" s="108">
        <f>H219*2.87%</f>
        <v>1722</v>
      </c>
      <c r="J219" s="108">
        <f>+H219*3.04%</f>
        <v>1824</v>
      </c>
      <c r="K219" s="108"/>
      <c r="L219" s="119">
        <f>+J219+I219+K219</f>
        <v>3546</v>
      </c>
      <c r="M219" s="119">
        <f>+H219-L219</f>
        <v>56454</v>
      </c>
      <c r="N219" s="119">
        <f t="shared" si="109"/>
        <v>3486.6498333333329</v>
      </c>
      <c r="O219" s="119"/>
      <c r="P219" s="100">
        <v>225</v>
      </c>
      <c r="Q219" s="119">
        <f>+P219+N219+L219</f>
        <v>7257.6498333333329</v>
      </c>
      <c r="R219" s="167">
        <f>H219-Q219</f>
        <v>52742.350166666671</v>
      </c>
    </row>
    <row r="220" spans="1:18" s="118" customFormat="1" ht="39.950000000000003" customHeight="1" x14ac:dyDescent="0.2">
      <c r="A220" s="160">
        <v>101</v>
      </c>
      <c r="B220" s="168" t="s">
        <v>544</v>
      </c>
      <c r="C220" s="156" t="s">
        <v>346</v>
      </c>
      <c r="D220" s="168" t="s">
        <v>325</v>
      </c>
      <c r="E220" s="157" t="s">
        <v>183</v>
      </c>
      <c r="F220" s="168" t="s">
        <v>625</v>
      </c>
      <c r="G220" s="168" t="s">
        <v>626</v>
      </c>
      <c r="H220" s="166">
        <v>55000</v>
      </c>
      <c r="I220" s="108">
        <f>H220*2.87%</f>
        <v>1578.5</v>
      </c>
      <c r="J220" s="108">
        <f>+H220*3.04%</f>
        <v>1672</v>
      </c>
      <c r="K220" s="108"/>
      <c r="L220" s="119">
        <f>+J220+I220+K220</f>
        <v>3250.5</v>
      </c>
      <c r="M220" s="119">
        <f>+H220-L220</f>
        <v>51749.5</v>
      </c>
      <c r="N220" s="119">
        <f t="shared" si="109"/>
        <v>2559.6748749999997</v>
      </c>
      <c r="O220" s="119"/>
      <c r="P220" s="100">
        <v>225</v>
      </c>
      <c r="Q220" s="119">
        <f>+P220+N220+L220</f>
        <v>6035.1748749999997</v>
      </c>
      <c r="R220" s="167">
        <f>H220-Q220</f>
        <v>48964.825125000003</v>
      </c>
    </row>
    <row r="221" spans="1:18" ht="39.950000000000003" customHeight="1" x14ac:dyDescent="0.2">
      <c r="A221" s="360" t="s">
        <v>103</v>
      </c>
      <c r="B221" s="361"/>
      <c r="C221" s="187"/>
      <c r="D221" s="108"/>
      <c r="E221" s="187"/>
      <c r="F221" s="187"/>
      <c r="G221" s="188"/>
      <c r="H221" s="104">
        <f>SUM(H217:H220)</f>
        <v>355000</v>
      </c>
      <c r="I221" s="104">
        <f t="shared" ref="I221:R221" si="110">SUM(I217:I220)</f>
        <v>10188.5</v>
      </c>
      <c r="J221" s="104">
        <f t="shared" si="110"/>
        <v>10792</v>
      </c>
      <c r="K221" s="104">
        <f t="shared" si="110"/>
        <v>0</v>
      </c>
      <c r="L221" s="104">
        <f t="shared" si="110"/>
        <v>20980.5</v>
      </c>
      <c r="M221" s="104">
        <f t="shared" si="110"/>
        <v>334019.5</v>
      </c>
      <c r="N221" s="104">
        <f t="shared" si="110"/>
        <v>39666.199291666664</v>
      </c>
      <c r="O221" s="104">
        <f t="shared" si="110"/>
        <v>0</v>
      </c>
      <c r="P221" s="104">
        <f t="shared" si="110"/>
        <v>3145.33</v>
      </c>
      <c r="Q221" s="104">
        <f t="shared" si="110"/>
        <v>63792.029291666666</v>
      </c>
      <c r="R221" s="104">
        <f t="shared" si="110"/>
        <v>291207.97070833331</v>
      </c>
    </row>
    <row r="222" spans="1:18" s="118" customFormat="1" ht="39.950000000000003" customHeight="1" thickBot="1" x14ac:dyDescent="0.25">
      <c r="A222" s="173"/>
      <c r="B222" s="173"/>
      <c r="C222" s="173"/>
      <c r="D222" s="173"/>
      <c r="E222" s="173"/>
      <c r="F222" s="173"/>
      <c r="G222" s="173"/>
      <c r="H222" s="202"/>
      <c r="I222" s="202"/>
      <c r="J222" s="202"/>
      <c r="K222" s="202"/>
      <c r="L222" s="202"/>
      <c r="M222" s="202"/>
      <c r="N222" s="202"/>
      <c r="O222" s="202"/>
      <c r="P222" s="202"/>
      <c r="Q222" s="202"/>
      <c r="R222" s="202"/>
    </row>
    <row r="223" spans="1:18" s="118" customFormat="1" ht="39.950000000000003" customHeight="1" thickBot="1" x14ac:dyDescent="0.25">
      <c r="A223" s="176" t="s">
        <v>191</v>
      </c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</row>
    <row r="224" spans="1:18" s="118" customFormat="1" ht="39.950000000000003" customHeight="1" x14ac:dyDescent="0.2">
      <c r="A224" s="106">
        <f>+A220+1</f>
        <v>102</v>
      </c>
      <c r="B224" s="112" t="s">
        <v>513</v>
      </c>
      <c r="C224" s="111" t="s">
        <v>346</v>
      </c>
      <c r="D224" s="110" t="s">
        <v>361</v>
      </c>
      <c r="E224" s="157" t="s">
        <v>183</v>
      </c>
      <c r="F224" s="179" t="s">
        <v>619</v>
      </c>
      <c r="G224" s="179" t="s">
        <v>618</v>
      </c>
      <c r="H224" s="100">
        <v>75000</v>
      </c>
      <c r="I224" s="100">
        <f>H224*2.87%</f>
        <v>2152.5</v>
      </c>
      <c r="J224" s="100">
        <f>+H224*3.04%</f>
        <v>2280</v>
      </c>
      <c r="K224" s="100"/>
      <c r="L224" s="119">
        <f>+J224+I224+K224</f>
        <v>4432.5</v>
      </c>
      <c r="M224" s="119">
        <f>+H224-L224</f>
        <v>70567.5</v>
      </c>
      <c r="N224" s="119">
        <f>+IF(M224*12&lt;=416220.01,0,IF(M224*12&lt;=624329.01,(((M224*12-416220.01)*0.15)/12),IF((M224*12&lt;=867123.01),(31216+0.2*(M224*12-624329.01))/12,((79776+0.25*(M224*12-867123.01))/12))))</f>
        <v>6309.3498333333337</v>
      </c>
      <c r="O224" s="119"/>
      <c r="P224" s="164">
        <v>15700.68</v>
      </c>
      <c r="Q224" s="119">
        <f>+P224+N224+L224</f>
        <v>26442.529833333334</v>
      </c>
      <c r="R224" s="167">
        <f>+H224-Q224</f>
        <v>48557.470166666666</v>
      </c>
    </row>
    <row r="225" spans="1:18" ht="39.950000000000003" customHeight="1" x14ac:dyDescent="0.2">
      <c r="A225" s="160">
        <f>+A224+1</f>
        <v>103</v>
      </c>
      <c r="B225" s="168" t="s">
        <v>415</v>
      </c>
      <c r="C225" s="156" t="s">
        <v>346</v>
      </c>
      <c r="D225" s="158" t="s">
        <v>361</v>
      </c>
      <c r="E225" s="157" t="s">
        <v>183</v>
      </c>
      <c r="F225" s="157" t="s">
        <v>611</v>
      </c>
      <c r="G225" s="157" t="s">
        <v>671</v>
      </c>
      <c r="H225" s="166">
        <v>75000</v>
      </c>
      <c r="I225" s="108">
        <f>H225*2.87%</f>
        <v>2152.5</v>
      </c>
      <c r="J225" s="108">
        <f>+H225*3.04%</f>
        <v>2280</v>
      </c>
      <c r="K225" s="108"/>
      <c r="L225" s="119">
        <f>+J225+I225+K225</f>
        <v>4432.5</v>
      </c>
      <c r="M225" s="119">
        <f>+H225-L225</f>
        <v>70567.5</v>
      </c>
      <c r="N225" s="119">
        <f>+IF(M225*12&lt;=416220.01,0,IF(M225*12&lt;=624329.01,(((M225*12-416220.01)*0.15)/12),IF((M225*12&lt;=867123.01),(31216+0.2*(M225*12-624329.01))/12,((79776+0.25*(M225*12-867123.01))/12))))</f>
        <v>6309.3498333333337</v>
      </c>
      <c r="O225" s="119"/>
      <c r="P225" s="159">
        <v>1225</v>
      </c>
      <c r="Q225" s="119">
        <f>+P225+N225+L225</f>
        <v>11966.849833333334</v>
      </c>
      <c r="R225" s="167">
        <f>H225-Q225</f>
        <v>63033.150166666666</v>
      </c>
    </row>
    <row r="226" spans="1:18" s="118" customFormat="1" ht="39.950000000000003" customHeight="1" thickBot="1" x14ac:dyDescent="0.25">
      <c r="A226" s="360" t="s">
        <v>103</v>
      </c>
      <c r="B226" s="361"/>
      <c r="C226" s="187"/>
      <c r="D226" s="187"/>
      <c r="E226" s="187"/>
      <c r="F226" s="187"/>
      <c r="G226" s="188"/>
      <c r="H226" s="104">
        <f t="shared" ref="H226:R226" si="111">SUM(H224:H225)</f>
        <v>150000</v>
      </c>
      <c r="I226" s="104">
        <f t="shared" si="111"/>
        <v>4305</v>
      </c>
      <c r="J226" s="104">
        <f t="shared" si="111"/>
        <v>4560</v>
      </c>
      <c r="K226" s="104">
        <f t="shared" si="111"/>
        <v>0</v>
      </c>
      <c r="L226" s="104">
        <f t="shared" si="111"/>
        <v>8865</v>
      </c>
      <c r="M226" s="104">
        <f t="shared" si="111"/>
        <v>141135</v>
      </c>
      <c r="N226" s="104">
        <f t="shared" si="111"/>
        <v>12618.699666666667</v>
      </c>
      <c r="O226" s="104">
        <f t="shared" si="111"/>
        <v>0</v>
      </c>
      <c r="P226" s="104">
        <f t="shared" si="111"/>
        <v>16925.68</v>
      </c>
      <c r="Q226" s="104">
        <f t="shared" si="111"/>
        <v>38409.379666666668</v>
      </c>
      <c r="R226" s="104">
        <f t="shared" si="111"/>
        <v>111590.62033333333</v>
      </c>
    </row>
    <row r="227" spans="1:18" s="114" customFormat="1" ht="39.950000000000003" customHeight="1" thickBot="1" x14ac:dyDescent="0.25">
      <c r="A227" s="203"/>
      <c r="B227" s="203"/>
      <c r="C227" s="203"/>
      <c r="D227" s="203"/>
      <c r="E227" s="203"/>
      <c r="F227" s="203"/>
      <c r="G227" s="203"/>
      <c r="H227" s="204"/>
      <c r="I227" s="204"/>
      <c r="J227" s="204"/>
      <c r="K227" s="204"/>
      <c r="L227" s="204"/>
      <c r="M227" s="204"/>
      <c r="N227" s="204"/>
      <c r="O227" s="204"/>
      <c r="P227" s="204"/>
      <c r="Q227" s="204"/>
      <c r="R227" s="204"/>
    </row>
    <row r="228" spans="1:18" s="114" customFormat="1" ht="39.950000000000003" customHeight="1" thickBot="1" x14ac:dyDescent="0.25">
      <c r="A228" s="176" t="s">
        <v>13</v>
      </c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</row>
    <row r="229" spans="1:18" s="102" customFormat="1" ht="39.950000000000003" customHeight="1" x14ac:dyDescent="0.2">
      <c r="A229" s="180">
        <f>+A225+1</f>
        <v>104</v>
      </c>
      <c r="B229" s="66" t="s">
        <v>452</v>
      </c>
      <c r="C229" s="67" t="s">
        <v>346</v>
      </c>
      <c r="D229" s="66" t="s">
        <v>523</v>
      </c>
      <c r="E229" s="179" t="s">
        <v>183</v>
      </c>
      <c r="F229" s="158" t="s">
        <v>619</v>
      </c>
      <c r="G229" s="179" t="s">
        <v>618</v>
      </c>
      <c r="H229" s="121">
        <v>190000</v>
      </c>
      <c r="I229" s="121">
        <f>H229*2.87%</f>
        <v>5453</v>
      </c>
      <c r="J229" s="121">
        <f>+H229*3.04%</f>
        <v>5776</v>
      </c>
      <c r="K229" s="119">
        <v>0</v>
      </c>
      <c r="L229" s="121">
        <f>+J229+I229+K229</f>
        <v>11229</v>
      </c>
      <c r="M229" s="121">
        <f>+H229-L229</f>
        <v>178771</v>
      </c>
      <c r="N229" s="119">
        <f>+IF(M229*12&lt;=416220.01,0,IF(M229*12&lt;=624329.01,(((M229*12-416220.01)*0.15)/12),IF((M229*12&lt;=867123.01),(31216+0.2*(M229*12-624329.01))/12,((79776+0.25*(M229*12-867123.01))/12))))</f>
        <v>33275.687291666669</v>
      </c>
      <c r="O229" s="121"/>
      <c r="P229" s="119">
        <v>25</v>
      </c>
      <c r="Q229" s="119">
        <f>+P229+N229+L229</f>
        <v>44529.687291666669</v>
      </c>
      <c r="R229" s="159">
        <f>+H229-Q229</f>
        <v>145470.31270833334</v>
      </c>
    </row>
    <row r="230" spans="1:18" s="102" customFormat="1" ht="39.950000000000003" customHeight="1" x14ac:dyDescent="0.2">
      <c r="A230" s="360" t="s">
        <v>103</v>
      </c>
      <c r="B230" s="361"/>
      <c r="C230" s="187"/>
      <c r="D230" s="187"/>
      <c r="E230" s="187"/>
      <c r="F230" s="187"/>
      <c r="G230" s="103"/>
      <c r="H230" s="104">
        <f>SUM(H229:H229)</f>
        <v>190000</v>
      </c>
      <c r="I230" s="104">
        <f t="shared" ref="I230:R230" si="112">SUM(I229:I229)</f>
        <v>5453</v>
      </c>
      <c r="J230" s="104">
        <f t="shared" si="112"/>
        <v>5776</v>
      </c>
      <c r="K230" s="104">
        <f t="shared" si="112"/>
        <v>0</v>
      </c>
      <c r="L230" s="104">
        <f t="shared" si="112"/>
        <v>11229</v>
      </c>
      <c r="M230" s="104">
        <f t="shared" si="112"/>
        <v>178771</v>
      </c>
      <c r="N230" s="104">
        <f t="shared" si="112"/>
        <v>33275.687291666669</v>
      </c>
      <c r="O230" s="104">
        <f t="shared" si="112"/>
        <v>0</v>
      </c>
      <c r="P230" s="104">
        <f t="shared" si="112"/>
        <v>25</v>
      </c>
      <c r="Q230" s="104">
        <f t="shared" si="112"/>
        <v>44529.687291666669</v>
      </c>
      <c r="R230" s="104">
        <f t="shared" si="112"/>
        <v>145470.31270833334</v>
      </c>
    </row>
    <row r="231" spans="1:18" s="114" customFormat="1" ht="39.950000000000003" customHeight="1" thickBot="1" x14ac:dyDescent="0.25">
      <c r="A231" s="173"/>
      <c r="B231" s="173"/>
      <c r="C231" s="173"/>
      <c r="D231" s="173"/>
      <c r="E231" s="173"/>
      <c r="F231" s="173"/>
      <c r="G231" s="173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</row>
    <row r="232" spans="1:18" s="114" customFormat="1" ht="39.950000000000003" customHeight="1" thickBot="1" x14ac:dyDescent="0.25">
      <c r="A232" s="176" t="s">
        <v>326</v>
      </c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</row>
    <row r="233" spans="1:18" s="114" customFormat="1" ht="39.950000000000003" customHeight="1" x14ac:dyDescent="0.2">
      <c r="A233" s="180">
        <f>+A229+1</f>
        <v>105</v>
      </c>
      <c r="B233" s="66" t="s">
        <v>327</v>
      </c>
      <c r="C233" s="67" t="s">
        <v>346</v>
      </c>
      <c r="D233" s="66" t="s">
        <v>524</v>
      </c>
      <c r="E233" s="179" t="s">
        <v>183</v>
      </c>
      <c r="F233" s="168" t="s">
        <v>657</v>
      </c>
      <c r="G233" s="157" t="s">
        <v>658</v>
      </c>
      <c r="H233" s="121">
        <v>155000</v>
      </c>
      <c r="I233" s="121">
        <f>H233*2.87%</f>
        <v>4448.5</v>
      </c>
      <c r="J233" s="121">
        <f>+H233*3.04%</f>
        <v>4712</v>
      </c>
      <c r="K233" s="119">
        <v>0</v>
      </c>
      <c r="L233" s="119">
        <f>+J233+I233+K233</f>
        <v>9160.5</v>
      </c>
      <c r="M233" s="119">
        <f>+H233-L233</f>
        <v>145839.5</v>
      </c>
      <c r="N233" s="119">
        <f>+IF(M233*12&lt;=416220.01,0,IF(M233*12&lt;=624329.01,(((M233*12-416220.01)*0.15)/12),IF((M233*12&lt;=867123.01),(31216+0.2*(M233*12-624329.01))/12,((79776+0.25*(M233*12-867123.01))/12))))</f>
        <v>25042.812291666665</v>
      </c>
      <c r="O233" s="119"/>
      <c r="P233" s="159">
        <v>12946.19</v>
      </c>
      <c r="Q233" s="119">
        <f>+P233+N233+L233</f>
        <v>47149.502291666664</v>
      </c>
      <c r="R233" s="159">
        <f>+H233-Q233</f>
        <v>107850.49770833334</v>
      </c>
    </row>
    <row r="234" spans="1:18" s="114" customFormat="1" ht="39.950000000000003" customHeight="1" x14ac:dyDescent="0.2">
      <c r="A234" s="360" t="s">
        <v>103</v>
      </c>
      <c r="B234" s="361"/>
      <c r="C234" s="187"/>
      <c r="D234" s="187"/>
      <c r="E234" s="187"/>
      <c r="F234" s="187"/>
      <c r="G234" s="103"/>
      <c r="H234" s="104">
        <f>SUM(H233:H233)</f>
        <v>155000</v>
      </c>
      <c r="I234" s="104">
        <f t="shared" ref="I234:R234" si="113">SUM(I233:I233)</f>
        <v>4448.5</v>
      </c>
      <c r="J234" s="104">
        <f t="shared" si="113"/>
        <v>4712</v>
      </c>
      <c r="K234" s="104">
        <f t="shared" si="113"/>
        <v>0</v>
      </c>
      <c r="L234" s="104">
        <f t="shared" si="113"/>
        <v>9160.5</v>
      </c>
      <c r="M234" s="104">
        <f t="shared" si="113"/>
        <v>145839.5</v>
      </c>
      <c r="N234" s="104">
        <f t="shared" si="113"/>
        <v>25042.812291666665</v>
      </c>
      <c r="O234" s="104">
        <f t="shared" si="113"/>
        <v>0</v>
      </c>
      <c r="P234" s="104">
        <f t="shared" si="113"/>
        <v>12946.19</v>
      </c>
      <c r="Q234" s="104">
        <f t="shared" si="113"/>
        <v>47149.502291666664</v>
      </c>
      <c r="R234" s="104">
        <f t="shared" si="113"/>
        <v>107850.49770833334</v>
      </c>
    </row>
    <row r="235" spans="1:18" s="114" customFormat="1" ht="39.950000000000003" customHeight="1" thickBot="1" x14ac:dyDescent="0.25">
      <c r="A235" s="173"/>
      <c r="B235" s="173"/>
      <c r="C235" s="173"/>
      <c r="D235" s="173"/>
      <c r="E235" s="173"/>
      <c r="F235" s="173"/>
      <c r="G235" s="173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</row>
    <row r="236" spans="1:18" s="114" customFormat="1" ht="39.950000000000003" customHeight="1" thickBot="1" x14ac:dyDescent="0.25">
      <c r="A236" s="205" t="s">
        <v>587</v>
      </c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  <c r="P236" s="204"/>
      <c r="Q236" s="204"/>
      <c r="R236" s="204"/>
    </row>
    <row r="237" spans="1:18" s="114" customFormat="1" ht="39.950000000000003" customHeight="1" x14ac:dyDescent="0.2">
      <c r="A237" s="156">
        <f>+A233+1</f>
        <v>106</v>
      </c>
      <c r="B237" s="161" t="s">
        <v>588</v>
      </c>
      <c r="C237" s="133" t="s">
        <v>346</v>
      </c>
      <c r="D237" s="146" t="s">
        <v>589</v>
      </c>
      <c r="E237" s="157" t="s">
        <v>183</v>
      </c>
      <c r="F237" s="168" t="s">
        <v>657</v>
      </c>
      <c r="G237" s="157" t="s">
        <v>658</v>
      </c>
      <c r="H237" s="108">
        <v>100000</v>
      </c>
      <c r="I237" s="119">
        <f>H237*2.87%</f>
        <v>2870</v>
      </c>
      <c r="J237" s="119">
        <f>+H237*3.04%</f>
        <v>3040</v>
      </c>
      <c r="K237" s="119"/>
      <c r="L237" s="119">
        <f>+J237+I237+K237</f>
        <v>5910</v>
      </c>
      <c r="M237" s="119">
        <f>+H237-L237</f>
        <v>94090</v>
      </c>
      <c r="N237" s="119">
        <f>+IF(M237*12&lt;=416220.01,0,IF(M237*12&lt;=624329.01,(((M237*12-416220.01)*0.15)/12),IF((M237*12&lt;=867123.01),(31216+0.2*(M237*12-624329.01))/12,((79776+0.25*(M237*12-867123.01))/12))))</f>
        <v>12105.437291666667</v>
      </c>
      <c r="O237" s="119">
        <v>0</v>
      </c>
      <c r="P237" s="119">
        <v>9725</v>
      </c>
      <c r="Q237" s="119">
        <f>+P237+N237+L237</f>
        <v>27740.437291666669</v>
      </c>
      <c r="R237" s="164">
        <f>+H237-Q237</f>
        <v>72259.562708333338</v>
      </c>
    </row>
    <row r="238" spans="1:18" s="114" customFormat="1" ht="39.950000000000003" customHeight="1" thickBot="1" x14ac:dyDescent="0.25">
      <c r="A238" s="360" t="s">
        <v>103</v>
      </c>
      <c r="B238" s="361"/>
      <c r="C238" s="103"/>
      <c r="D238" s="103"/>
      <c r="E238" s="103"/>
      <c r="F238" s="103"/>
      <c r="G238" s="103"/>
      <c r="H238" s="104">
        <f>SUM(H237:H237)</f>
        <v>100000</v>
      </c>
      <c r="I238" s="104">
        <f t="shared" ref="I238:R238" si="114">SUM(I237:I237)</f>
        <v>2870</v>
      </c>
      <c r="J238" s="104">
        <f t="shared" si="114"/>
        <v>3040</v>
      </c>
      <c r="K238" s="104">
        <f t="shared" si="114"/>
        <v>0</v>
      </c>
      <c r="L238" s="104">
        <f t="shared" si="114"/>
        <v>5910</v>
      </c>
      <c r="M238" s="104">
        <f t="shared" si="114"/>
        <v>94090</v>
      </c>
      <c r="N238" s="104">
        <f t="shared" si="114"/>
        <v>12105.437291666667</v>
      </c>
      <c r="O238" s="104">
        <f t="shared" si="114"/>
        <v>0</v>
      </c>
      <c r="P238" s="104">
        <f t="shared" si="114"/>
        <v>9725</v>
      </c>
      <c r="Q238" s="104">
        <f t="shared" si="114"/>
        <v>27740.437291666669</v>
      </c>
      <c r="R238" s="104">
        <f t="shared" si="114"/>
        <v>72259.562708333338</v>
      </c>
    </row>
    <row r="239" spans="1:18" s="114" customFormat="1" ht="39.950000000000003" customHeight="1" thickBot="1" x14ac:dyDescent="0.25">
      <c r="A239" s="176" t="s">
        <v>365</v>
      </c>
      <c r="B239" s="177"/>
      <c r="C239" s="177"/>
      <c r="D239" s="177"/>
      <c r="E239" s="177"/>
      <c r="F239" s="177"/>
      <c r="G239" s="326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</row>
    <row r="240" spans="1:18" s="114" customFormat="1" ht="39.950000000000003" customHeight="1" x14ac:dyDescent="0.2">
      <c r="A240" s="160">
        <f>+A237+1</f>
        <v>107</v>
      </c>
      <c r="B240" s="161" t="s">
        <v>477</v>
      </c>
      <c r="C240" s="133" t="s">
        <v>346</v>
      </c>
      <c r="D240" s="146" t="s">
        <v>514</v>
      </c>
      <c r="E240" s="157" t="s">
        <v>183</v>
      </c>
      <c r="F240" s="168" t="s">
        <v>619</v>
      </c>
      <c r="G240" s="157" t="s">
        <v>618</v>
      </c>
      <c r="H240" s="100">
        <v>145000</v>
      </c>
      <c r="I240" s="121">
        <f>H240*2.87%</f>
        <v>4161.5</v>
      </c>
      <c r="J240" s="121">
        <f>+H240*3.04%</f>
        <v>4408</v>
      </c>
      <c r="K240" s="121"/>
      <c r="L240" s="119">
        <f>+J240+I240+K240</f>
        <v>8569.5</v>
      </c>
      <c r="M240" s="119">
        <f>+H240-L240</f>
        <v>136430.5</v>
      </c>
      <c r="N240" s="119">
        <f>+IF(M240*12&lt;=416220.01,0,IF(M240*12&lt;=624329.01,(((M240*12-416220.01)*0.15)/12),IF((M240*12&lt;=867123.01),(31216+0.2*(M240*12-624329.01))/12,((79776+0.25*(M240*12-867123.01))/12))))</f>
        <v>22690.562291666665</v>
      </c>
      <c r="O240" s="119"/>
      <c r="P240" s="159">
        <v>25</v>
      </c>
      <c r="Q240" s="119">
        <f>+P240+N240+L240</f>
        <v>31285.062291666665</v>
      </c>
      <c r="R240" s="159">
        <f>+H240-Q240</f>
        <v>113714.93770833334</v>
      </c>
    </row>
    <row r="241" spans="1:18" s="118" customFormat="1" ht="39.950000000000003" customHeight="1" x14ac:dyDescent="0.2">
      <c r="A241" s="160">
        <f>+A240+1</f>
        <v>108</v>
      </c>
      <c r="B241" s="161" t="s">
        <v>495</v>
      </c>
      <c r="C241" s="133" t="s">
        <v>347</v>
      </c>
      <c r="D241" s="146" t="s">
        <v>193</v>
      </c>
      <c r="E241" s="157" t="s">
        <v>183</v>
      </c>
      <c r="F241" s="168" t="s">
        <v>619</v>
      </c>
      <c r="G241" s="157" t="s">
        <v>618</v>
      </c>
      <c r="H241" s="100">
        <v>80000</v>
      </c>
      <c r="I241" s="121">
        <f>H241*2.87%</f>
        <v>2296</v>
      </c>
      <c r="J241" s="121">
        <f>+H241*3.04%</f>
        <v>2432</v>
      </c>
      <c r="K241" s="121"/>
      <c r="L241" s="119">
        <f>+J241+I241+K241</f>
        <v>4728</v>
      </c>
      <c r="M241" s="119">
        <f>+H241-L241</f>
        <v>75272</v>
      </c>
      <c r="N241" s="119">
        <f>+IF(M241*12&lt;=416220.01,0,IF(M241*12&lt;=624329.01,(((M241*12-416220.01)*0.15)/12),IF((M241*12&lt;=867123.01),(31216+0.2*(M241*12-624329.01))/12,((79776+0.25*(M241*12-867123.01))/12))))</f>
        <v>7400.9372916666662</v>
      </c>
      <c r="O241" s="119"/>
      <c r="P241" s="159">
        <v>1025</v>
      </c>
      <c r="Q241" s="119">
        <f>+P241+N241+L241</f>
        <v>13153.937291666665</v>
      </c>
      <c r="R241" s="159">
        <f>+H241-Q241</f>
        <v>66846.062708333338</v>
      </c>
    </row>
    <row r="242" spans="1:18" s="118" customFormat="1" ht="39.950000000000003" customHeight="1" x14ac:dyDescent="0.2">
      <c r="A242" s="160">
        <f>+A241+1</f>
        <v>109</v>
      </c>
      <c r="B242" s="161" t="s">
        <v>670</v>
      </c>
      <c r="C242" s="133" t="s">
        <v>346</v>
      </c>
      <c r="D242" s="146" t="s">
        <v>672</v>
      </c>
      <c r="E242" s="157" t="s">
        <v>183</v>
      </c>
      <c r="F242" s="157" t="s">
        <v>611</v>
      </c>
      <c r="G242" s="157" t="s">
        <v>671</v>
      </c>
      <c r="H242" s="100">
        <v>50000</v>
      </c>
      <c r="I242" s="121">
        <f>H242*2.87%</f>
        <v>1435</v>
      </c>
      <c r="J242" s="121">
        <f>+H242*3.04%</f>
        <v>1520</v>
      </c>
      <c r="K242" s="121"/>
      <c r="L242" s="119">
        <f>+J242+I242+K242</f>
        <v>2955</v>
      </c>
      <c r="M242" s="119">
        <f>+H242-L242</f>
        <v>47045</v>
      </c>
      <c r="N242" s="119">
        <v>1196.98</v>
      </c>
      <c r="O242" s="119"/>
      <c r="P242" s="159">
        <v>5025</v>
      </c>
      <c r="Q242" s="119">
        <f>+P242+N242+L242</f>
        <v>9176.98</v>
      </c>
      <c r="R242" s="159">
        <f>+H242-Q242</f>
        <v>40823.020000000004</v>
      </c>
    </row>
    <row r="243" spans="1:18" s="102" customFormat="1" ht="39.950000000000003" customHeight="1" thickBot="1" x14ac:dyDescent="0.25">
      <c r="A243" s="360" t="s">
        <v>103</v>
      </c>
      <c r="B243" s="361"/>
      <c r="C243" s="103"/>
      <c r="D243" s="103"/>
      <c r="E243" s="103"/>
      <c r="F243" s="103"/>
      <c r="G243" s="103"/>
      <c r="H243" s="104">
        <f>SUM(H240:H242)</f>
        <v>275000</v>
      </c>
      <c r="I243" s="104">
        <f t="shared" ref="I243:R243" si="115">SUM(I240:I242)</f>
        <v>7892.5</v>
      </c>
      <c r="J243" s="104">
        <f t="shared" si="115"/>
        <v>8360</v>
      </c>
      <c r="K243" s="104">
        <f t="shared" si="115"/>
        <v>0</v>
      </c>
      <c r="L243" s="104">
        <f t="shared" si="115"/>
        <v>16252.5</v>
      </c>
      <c r="M243" s="104">
        <f t="shared" si="115"/>
        <v>258747.5</v>
      </c>
      <c r="N243" s="104">
        <f t="shared" si="115"/>
        <v>31288.47958333333</v>
      </c>
      <c r="O243" s="104">
        <f t="shared" si="115"/>
        <v>0</v>
      </c>
      <c r="P243" s="104">
        <f t="shared" si="115"/>
        <v>6075</v>
      </c>
      <c r="Q243" s="104">
        <f t="shared" si="115"/>
        <v>53615.979583333334</v>
      </c>
      <c r="R243" s="104">
        <f t="shared" si="115"/>
        <v>221384.0204166667</v>
      </c>
    </row>
    <row r="244" spans="1:18" ht="39.950000000000003" customHeight="1" thickBot="1" x14ac:dyDescent="0.25">
      <c r="A244" s="205" t="s">
        <v>548</v>
      </c>
      <c r="B244" s="204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</row>
    <row r="245" spans="1:18" ht="39.950000000000003" customHeight="1" x14ac:dyDescent="0.2">
      <c r="A245" s="156">
        <f>+A242+1</f>
        <v>110</v>
      </c>
      <c r="B245" s="161" t="s">
        <v>312</v>
      </c>
      <c r="C245" s="133" t="s">
        <v>347</v>
      </c>
      <c r="D245" s="146" t="s">
        <v>649</v>
      </c>
      <c r="E245" s="157" t="s">
        <v>183</v>
      </c>
      <c r="F245" s="168" t="s">
        <v>580</v>
      </c>
      <c r="G245" s="157" t="s">
        <v>631</v>
      </c>
      <c r="H245" s="108">
        <v>145000</v>
      </c>
      <c r="I245" s="119">
        <f>H245*2.87%</f>
        <v>4161.5</v>
      </c>
      <c r="J245" s="119">
        <f>+H245*3.04%</f>
        <v>4408</v>
      </c>
      <c r="K245" s="119"/>
      <c r="L245" s="119">
        <f>+J245+I245+K245</f>
        <v>8569.5</v>
      </c>
      <c r="M245" s="119">
        <f>+H245-L245</f>
        <v>136430.5</v>
      </c>
      <c r="N245" s="119">
        <f>+IF(M245*12&lt;=416220.01,0,IF(M245*12&lt;=624329.01,(((M245*12-416220.01)*0.15)/12),IF((M245*12&lt;=867123.01),(31216+0.2*(M245*12-624329.01))/12,((79776+0.25*(M245*12-867123.01))/12))))</f>
        <v>22690.562291666665</v>
      </c>
      <c r="O245" s="119"/>
      <c r="P245" s="164">
        <v>14336.97</v>
      </c>
      <c r="Q245" s="119">
        <f>+P245+N245+L245</f>
        <v>45597.032291666663</v>
      </c>
      <c r="R245" s="164">
        <f>+H245-Q245</f>
        <v>99402.967708333337</v>
      </c>
    </row>
    <row r="246" spans="1:18" s="118" customFormat="1" ht="39.950000000000003" customHeight="1" x14ac:dyDescent="0.2">
      <c r="A246" s="160">
        <f>+A245+1</f>
        <v>111</v>
      </c>
      <c r="B246" s="161" t="s">
        <v>496</v>
      </c>
      <c r="C246" s="133" t="s">
        <v>347</v>
      </c>
      <c r="D246" s="146" t="s">
        <v>549</v>
      </c>
      <c r="E246" s="157" t="s">
        <v>183</v>
      </c>
      <c r="F246" s="168" t="s">
        <v>619</v>
      </c>
      <c r="G246" s="157" t="s">
        <v>618</v>
      </c>
      <c r="H246" s="100">
        <v>80000</v>
      </c>
      <c r="I246" s="121">
        <f>H246*2.87%</f>
        <v>2296</v>
      </c>
      <c r="J246" s="121">
        <f>+H246*3.04%</f>
        <v>2432</v>
      </c>
      <c r="K246" s="121">
        <v>1715.46</v>
      </c>
      <c r="L246" s="119">
        <f>+J246+I246+K246</f>
        <v>6443.46</v>
      </c>
      <c r="M246" s="119">
        <f>+H246-L246</f>
        <v>73556.539999999994</v>
      </c>
      <c r="N246" s="119">
        <f>+IF(M246*12&lt;=416220.01,0,IF(M246*12&lt;=624329.01,(((M246*12-416220.01)*0.15)/12),IF((M246*12&lt;=867123.01),(31216+0.2*(M246*12-624329.01))/12,((79776+0.25*(M246*12-867123.01))/12))))</f>
        <v>6972.0722916666664</v>
      </c>
      <c r="O246" s="119"/>
      <c r="P246" s="159">
        <v>225</v>
      </c>
      <c r="Q246" s="119">
        <f>+P246+N246+L246</f>
        <v>13640.532291666666</v>
      </c>
      <c r="R246" s="159">
        <f>+H246-Q246</f>
        <v>66359.467708333337</v>
      </c>
    </row>
    <row r="247" spans="1:18" ht="39.950000000000003" customHeight="1" x14ac:dyDescent="0.2">
      <c r="A247" s="360" t="s">
        <v>103</v>
      </c>
      <c r="B247" s="361"/>
      <c r="C247" s="103"/>
      <c r="D247" s="103"/>
      <c r="E247" s="103"/>
      <c r="F247" s="103"/>
      <c r="G247" s="103"/>
      <c r="H247" s="104">
        <f>SUM(H245:H246)</f>
        <v>225000</v>
      </c>
      <c r="I247" s="104">
        <f t="shared" ref="I247:R247" si="116">SUM(I245:I246)</f>
        <v>6457.5</v>
      </c>
      <c r="J247" s="104">
        <f t="shared" si="116"/>
        <v>6840</v>
      </c>
      <c r="K247" s="104">
        <f t="shared" si="116"/>
        <v>1715.46</v>
      </c>
      <c r="L247" s="104">
        <f t="shared" si="116"/>
        <v>15012.96</v>
      </c>
      <c r="M247" s="104">
        <f t="shared" si="116"/>
        <v>209987.03999999998</v>
      </c>
      <c r="N247" s="104">
        <f t="shared" si="116"/>
        <v>29662.634583333333</v>
      </c>
      <c r="O247" s="104">
        <f t="shared" si="116"/>
        <v>0</v>
      </c>
      <c r="P247" s="104">
        <f t="shared" si="116"/>
        <v>14561.97</v>
      </c>
      <c r="Q247" s="104">
        <f t="shared" si="116"/>
        <v>59237.564583333326</v>
      </c>
      <c r="R247" s="104">
        <f t="shared" si="116"/>
        <v>165762.43541666667</v>
      </c>
    </row>
    <row r="248" spans="1:18" ht="39.950000000000003" customHeight="1" thickBot="1" x14ac:dyDescent="0.25">
      <c r="A248" s="173"/>
      <c r="B248" s="173"/>
      <c r="C248" s="173"/>
      <c r="D248" s="173"/>
      <c r="E248" s="173"/>
      <c r="F248" s="173"/>
      <c r="G248" s="173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</row>
    <row r="249" spans="1:18" ht="39.950000000000003" customHeight="1" thickBot="1" x14ac:dyDescent="0.25">
      <c r="A249" s="297" t="s">
        <v>194</v>
      </c>
      <c r="B249" s="191"/>
      <c r="C249" s="191"/>
      <c r="D249" s="191"/>
      <c r="E249" s="191"/>
      <c r="F249" s="191"/>
      <c r="G249" s="191"/>
      <c r="H249" s="191"/>
      <c r="I249" s="191"/>
      <c r="J249" s="191"/>
      <c r="K249" s="177"/>
      <c r="L249" s="177"/>
      <c r="M249" s="177"/>
      <c r="N249" s="177"/>
      <c r="O249" s="177"/>
      <c r="P249" s="177"/>
      <c r="Q249" s="177"/>
      <c r="R249" s="177"/>
    </row>
    <row r="250" spans="1:18" s="118" customFormat="1" ht="39.950000000000003" customHeight="1" x14ac:dyDescent="0.2">
      <c r="A250" s="160">
        <f>+A246+1</f>
        <v>112</v>
      </c>
      <c r="B250" s="182" t="s">
        <v>561</v>
      </c>
      <c r="C250" s="135" t="s">
        <v>347</v>
      </c>
      <c r="D250" s="143" t="s">
        <v>562</v>
      </c>
      <c r="E250" s="179" t="s">
        <v>183</v>
      </c>
      <c r="F250" s="157" t="s">
        <v>599</v>
      </c>
      <c r="G250" s="157" t="s">
        <v>656</v>
      </c>
      <c r="H250" s="100">
        <v>50000</v>
      </c>
      <c r="I250" s="121">
        <f>H250*2.87%</f>
        <v>1435</v>
      </c>
      <c r="J250" s="121">
        <f>+H250*3.04%</f>
        <v>1520</v>
      </c>
      <c r="K250" s="119">
        <v>0</v>
      </c>
      <c r="L250" s="119">
        <f>+J250+I250+K250</f>
        <v>2955</v>
      </c>
      <c r="M250" s="119">
        <f>+H250-L250</f>
        <v>47045</v>
      </c>
      <c r="N250" s="119">
        <f>+IF(M250*12&lt;=416220.01,0,IF(M250*12&lt;=624329.01,(((M250*12-416220.01)*0.15)/12),IF((M250*12&lt;=867123.01),(31216+0.2*(M250*12-624329.01))/12,((79776+0.25*(M250*12-867123.01))/12))))</f>
        <v>1853.9998749999997</v>
      </c>
      <c r="O250" s="119"/>
      <c r="P250" s="159">
        <v>225</v>
      </c>
      <c r="Q250" s="119">
        <f>+P250+N250+L250</f>
        <v>5033.9998749999995</v>
      </c>
      <c r="R250" s="159">
        <f>+H250-Q250</f>
        <v>44966.000124999999</v>
      </c>
    </row>
    <row r="251" spans="1:18" s="118" customFormat="1" ht="39.950000000000003" customHeight="1" x14ac:dyDescent="0.2">
      <c r="A251" s="156">
        <f>+A250+1</f>
        <v>113</v>
      </c>
      <c r="B251" s="161" t="s">
        <v>332</v>
      </c>
      <c r="C251" s="133" t="s">
        <v>347</v>
      </c>
      <c r="D251" s="161" t="s">
        <v>556</v>
      </c>
      <c r="E251" s="157" t="s">
        <v>183</v>
      </c>
      <c r="F251" s="157" t="s">
        <v>611</v>
      </c>
      <c r="G251" s="157" t="s">
        <v>671</v>
      </c>
      <c r="H251" s="119">
        <v>60000</v>
      </c>
      <c r="I251" s="119">
        <f t="shared" ref="I251" si="117">H251*2.87%</f>
        <v>1722</v>
      </c>
      <c r="J251" s="121">
        <f t="shared" ref="J251" si="118">+H251*3.04%</f>
        <v>1824</v>
      </c>
      <c r="K251" s="121">
        <v>3430.92</v>
      </c>
      <c r="L251" s="119">
        <f>+J251+I251+K251</f>
        <v>6976.92</v>
      </c>
      <c r="M251" s="119">
        <f>+H251-L251</f>
        <v>53023.08</v>
      </c>
      <c r="N251" s="119">
        <f>+IF(M251*12&lt;=416220.01,0,IF(M251*12&lt;=624329.01,(((M251*12-416220.01)*0.15)/12),IF((M251*12&lt;=867123.01),(31216+0.2*(M251*12-624329.01))/12,((79776+0.25*(M251*12-867123.01))/12))))</f>
        <v>2800.4658333333323</v>
      </c>
      <c r="O251" s="119">
        <v>0</v>
      </c>
      <c r="P251" s="159">
        <v>225</v>
      </c>
      <c r="Q251" s="119">
        <f>+P251+N251+L251</f>
        <v>10002.385833333332</v>
      </c>
      <c r="R251" s="159">
        <f>+H251-Q251</f>
        <v>49997.614166666666</v>
      </c>
    </row>
    <row r="252" spans="1:18" ht="39.950000000000003" customHeight="1" x14ac:dyDescent="0.2">
      <c r="A252" s="360" t="s">
        <v>103</v>
      </c>
      <c r="B252" s="361"/>
      <c r="C252" s="103"/>
      <c r="D252" s="103"/>
      <c r="E252" s="103"/>
      <c r="F252" s="103"/>
      <c r="G252" s="103"/>
      <c r="H252" s="104">
        <f>+SUM(H250:H251)</f>
        <v>110000</v>
      </c>
      <c r="I252" s="104">
        <f t="shared" ref="I252:R252" si="119">+SUM(I250:I251)</f>
        <v>3157</v>
      </c>
      <c r="J252" s="104">
        <f t="shared" si="119"/>
        <v>3344</v>
      </c>
      <c r="K252" s="104">
        <f t="shared" si="119"/>
        <v>3430.92</v>
      </c>
      <c r="L252" s="104">
        <f t="shared" si="119"/>
        <v>9931.92</v>
      </c>
      <c r="M252" s="104">
        <f t="shared" si="119"/>
        <v>100068.08</v>
      </c>
      <c r="N252" s="104">
        <f t="shared" si="119"/>
        <v>4654.4657083333323</v>
      </c>
      <c r="O252" s="104">
        <f t="shared" si="119"/>
        <v>0</v>
      </c>
      <c r="P252" s="104">
        <f t="shared" si="119"/>
        <v>450</v>
      </c>
      <c r="Q252" s="104">
        <f t="shared" si="119"/>
        <v>15036.385708333331</v>
      </c>
      <c r="R252" s="104">
        <f t="shared" si="119"/>
        <v>94963.614291666658</v>
      </c>
    </row>
    <row r="253" spans="1:18" ht="39.950000000000003" customHeight="1" thickBot="1" x14ac:dyDescent="0.25">
      <c r="A253" s="173"/>
      <c r="B253" s="173"/>
      <c r="C253" s="189"/>
      <c r="D253" s="189"/>
      <c r="E253" s="189"/>
      <c r="F253" s="189"/>
      <c r="G253" s="189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</row>
    <row r="254" spans="1:18" ht="39.950000000000003" customHeight="1" thickBot="1" x14ac:dyDescent="0.25">
      <c r="A254" s="176" t="s">
        <v>563</v>
      </c>
      <c r="B254" s="177"/>
      <c r="C254" s="177"/>
      <c r="D254" s="177"/>
      <c r="E254" s="177"/>
      <c r="F254" s="177"/>
      <c r="G254" s="177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</row>
    <row r="255" spans="1:18" ht="39.950000000000003" customHeight="1" x14ac:dyDescent="0.2">
      <c r="A255" s="160">
        <f>+A251+1</f>
        <v>114</v>
      </c>
      <c r="B255" s="105" t="s">
        <v>564</v>
      </c>
      <c r="C255" s="134" t="s">
        <v>346</v>
      </c>
      <c r="D255" s="105" t="s">
        <v>565</v>
      </c>
      <c r="E255" s="179" t="s">
        <v>183</v>
      </c>
      <c r="F255" s="157" t="s">
        <v>599</v>
      </c>
      <c r="G255" s="157" t="s">
        <v>656</v>
      </c>
      <c r="H255" s="121">
        <v>145000</v>
      </c>
      <c r="I255" s="121">
        <f>H255*2.87%</f>
        <v>4161.5</v>
      </c>
      <c r="J255" s="121">
        <f>+H255*3.04%</f>
        <v>4408</v>
      </c>
      <c r="K255" s="121">
        <v>0</v>
      </c>
      <c r="L255" s="121">
        <f>+J255+I255+K255</f>
        <v>8569.5</v>
      </c>
      <c r="M255" s="119">
        <f>+H255-L255</f>
        <v>136430.5</v>
      </c>
      <c r="N255" s="119">
        <f>+IF(M255*12&lt;=416220.01,0,IF(M255*12&lt;=624329.01,(((M255*12-416220.01)*0.15)/12),IF((M255*12&lt;=867123.01),(31216+0.2*(M255*12-624329.01))/12,((79776+0.25*(M255*12-867123.01))/12))))</f>
        <v>22690.562291666665</v>
      </c>
      <c r="O255" s="119"/>
      <c r="P255" s="159">
        <v>25</v>
      </c>
      <c r="Q255" s="119">
        <f>+P255+N255+L255</f>
        <v>31285.062291666665</v>
      </c>
      <c r="R255" s="159">
        <f>+H255-Q255</f>
        <v>113714.93770833334</v>
      </c>
    </row>
    <row r="256" spans="1:18" s="118" customFormat="1" ht="39.950000000000003" customHeight="1" x14ac:dyDescent="0.2">
      <c r="A256" s="360" t="s">
        <v>103</v>
      </c>
      <c r="B256" s="361"/>
      <c r="C256" s="103"/>
      <c r="D256" s="103"/>
      <c r="E256" s="103"/>
      <c r="F256" s="103"/>
      <c r="G256" s="103"/>
      <c r="H256" s="104">
        <f t="shared" ref="H256:J256" si="120">SUM(H255:H255)</f>
        <v>145000</v>
      </c>
      <c r="I256" s="104">
        <f t="shared" si="120"/>
        <v>4161.5</v>
      </c>
      <c r="J256" s="104">
        <f t="shared" si="120"/>
        <v>4408</v>
      </c>
      <c r="K256" s="104">
        <f>SUM(K255:K255)</f>
        <v>0</v>
      </c>
      <c r="L256" s="104">
        <f t="shared" ref="L256:R256" si="121">SUM(L255:L255)</f>
        <v>8569.5</v>
      </c>
      <c r="M256" s="104">
        <f t="shared" si="121"/>
        <v>136430.5</v>
      </c>
      <c r="N256" s="104">
        <f t="shared" si="121"/>
        <v>22690.562291666665</v>
      </c>
      <c r="O256" s="104">
        <f t="shared" si="121"/>
        <v>0</v>
      </c>
      <c r="P256" s="104">
        <f t="shared" si="121"/>
        <v>25</v>
      </c>
      <c r="Q256" s="104">
        <f t="shared" si="121"/>
        <v>31285.062291666665</v>
      </c>
      <c r="R256" s="104">
        <f t="shared" si="121"/>
        <v>113714.93770833334</v>
      </c>
    </row>
    <row r="257" spans="1:18" ht="39.950000000000003" customHeight="1" thickBot="1" x14ac:dyDescent="0.25">
      <c r="A257" s="173"/>
      <c r="B257" s="173"/>
      <c r="C257" s="173"/>
      <c r="D257" s="173"/>
      <c r="E257" s="173"/>
      <c r="F257" s="173"/>
      <c r="G257" s="173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</row>
    <row r="258" spans="1:18" ht="39.950000000000003" customHeight="1" thickBot="1" x14ac:dyDescent="0.25">
      <c r="A258" s="176" t="s">
        <v>366</v>
      </c>
      <c r="B258" s="177"/>
      <c r="C258" s="177"/>
      <c r="D258" s="177"/>
      <c r="E258" s="177"/>
      <c r="F258" s="177"/>
      <c r="G258" s="177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</row>
    <row r="259" spans="1:18" ht="39.950000000000003" customHeight="1" x14ac:dyDescent="0.2">
      <c r="A259" s="160">
        <f>+A255+1</f>
        <v>115</v>
      </c>
      <c r="B259" s="105" t="s">
        <v>121</v>
      </c>
      <c r="C259" s="134" t="s">
        <v>347</v>
      </c>
      <c r="D259" s="105" t="s">
        <v>334</v>
      </c>
      <c r="E259" s="179" t="s">
        <v>183</v>
      </c>
      <c r="F259" s="158" t="s">
        <v>619</v>
      </c>
      <c r="G259" s="179" t="s">
        <v>618</v>
      </c>
      <c r="H259" s="121">
        <v>70000</v>
      </c>
      <c r="I259" s="121">
        <f>H259*2.87%</f>
        <v>2009</v>
      </c>
      <c r="J259" s="121">
        <f>+H259*3.04%</f>
        <v>2128</v>
      </c>
      <c r="K259" s="121">
        <v>0</v>
      </c>
      <c r="L259" s="121">
        <f>+J259+I259+K259</f>
        <v>4137</v>
      </c>
      <c r="M259" s="119">
        <f>+H259-L259</f>
        <v>65863</v>
      </c>
      <c r="N259" s="119">
        <f>+IF(M259*12&lt;=416220.01,0,IF(M259*12&lt;=624329.01,(((M259*12-416220.01)*0.15)/12),IF((M259*12&lt;=867123.01),(31216+0.2*(M259*12-624329.01))/12,((79776+0.25*(M259*12-867123.01))/12))))</f>
        <v>5368.4498333333331</v>
      </c>
      <c r="O259" s="119"/>
      <c r="P259" s="159">
        <v>225</v>
      </c>
      <c r="Q259" s="119">
        <f>+P259+N259+L259</f>
        <v>9730.4498333333322</v>
      </c>
      <c r="R259" s="159">
        <f>+H259-Q259</f>
        <v>60269.550166666668</v>
      </c>
    </row>
    <row r="260" spans="1:18" ht="39.950000000000003" customHeight="1" x14ac:dyDescent="0.2">
      <c r="A260" s="360" t="s">
        <v>103</v>
      </c>
      <c r="B260" s="361"/>
      <c r="C260" s="103"/>
      <c r="D260" s="103"/>
      <c r="E260" s="103"/>
      <c r="F260" s="103"/>
      <c r="G260" s="103"/>
      <c r="H260" s="104">
        <f t="shared" ref="H260:R260" si="122">SUM(H259:H259)</f>
        <v>70000</v>
      </c>
      <c r="I260" s="104">
        <f t="shared" si="122"/>
        <v>2009</v>
      </c>
      <c r="J260" s="104">
        <f t="shared" si="122"/>
        <v>2128</v>
      </c>
      <c r="K260" s="104">
        <f>SUM(K259:K259)</f>
        <v>0</v>
      </c>
      <c r="L260" s="104">
        <f t="shared" si="122"/>
        <v>4137</v>
      </c>
      <c r="M260" s="104">
        <f t="shared" si="122"/>
        <v>65863</v>
      </c>
      <c r="N260" s="104">
        <f t="shared" si="122"/>
        <v>5368.4498333333331</v>
      </c>
      <c r="O260" s="104">
        <f t="shared" si="122"/>
        <v>0</v>
      </c>
      <c r="P260" s="104">
        <f t="shared" si="122"/>
        <v>225</v>
      </c>
      <c r="Q260" s="104">
        <f t="shared" si="122"/>
        <v>9730.4498333333322</v>
      </c>
      <c r="R260" s="104">
        <f t="shared" si="122"/>
        <v>60269.550166666668</v>
      </c>
    </row>
    <row r="261" spans="1:18" ht="39.950000000000003" customHeight="1" thickBot="1" x14ac:dyDescent="0.25">
      <c r="A261" s="173"/>
      <c r="B261" s="173"/>
      <c r="C261" s="173"/>
      <c r="D261" s="173"/>
      <c r="E261" s="173"/>
      <c r="F261" s="173"/>
      <c r="G261" s="173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</row>
    <row r="262" spans="1:18" ht="39.950000000000003" customHeight="1" thickBot="1" x14ac:dyDescent="0.25">
      <c r="A262" s="176" t="s">
        <v>478</v>
      </c>
      <c r="B262" s="177"/>
      <c r="C262" s="177"/>
      <c r="D262" s="177"/>
      <c r="E262" s="177"/>
      <c r="F262" s="177"/>
      <c r="G262" s="177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</row>
    <row r="263" spans="1:18" ht="39.950000000000003" customHeight="1" x14ac:dyDescent="0.2">
      <c r="A263" s="160">
        <f>+A259+1</f>
        <v>116</v>
      </c>
      <c r="B263" s="105" t="s">
        <v>413</v>
      </c>
      <c r="C263" s="134" t="s">
        <v>347</v>
      </c>
      <c r="D263" s="105" t="s">
        <v>501</v>
      </c>
      <c r="E263" s="179" t="s">
        <v>183</v>
      </c>
      <c r="F263" s="157" t="s">
        <v>611</v>
      </c>
      <c r="G263" s="157" t="s">
        <v>671</v>
      </c>
      <c r="H263" s="121">
        <v>90000</v>
      </c>
      <c r="I263" s="121">
        <f>H263*2.87%</f>
        <v>2583</v>
      </c>
      <c r="J263" s="121">
        <f>+H263*3.04%</f>
        <v>2736</v>
      </c>
      <c r="K263" s="121"/>
      <c r="L263" s="119">
        <f>+J263+I263+K263</f>
        <v>5319</v>
      </c>
      <c r="M263" s="119">
        <f>+H263-L263</f>
        <v>84681</v>
      </c>
      <c r="N263" s="119">
        <f>+IF(M263*12&lt;=416220.01,0,IF(M263*12&lt;=624329.01,(((M263*12-416220.01)*0.15)/12),IF((M263*12&lt;=867123.01),(31216+0.2*(M263*12-624329.01))/12,((79776+0.25*(M263*12-867123.01))/12))))</f>
        <v>9753.1872916666671</v>
      </c>
      <c r="O263" s="119"/>
      <c r="P263" s="164">
        <v>15225</v>
      </c>
      <c r="Q263" s="119">
        <f>+P263+N263+L263</f>
        <v>30297.187291666669</v>
      </c>
      <c r="R263" s="159">
        <f>+H263-Q263</f>
        <v>59702.812708333331</v>
      </c>
    </row>
    <row r="264" spans="1:18" ht="39.950000000000003" customHeight="1" x14ac:dyDescent="0.2">
      <c r="A264" s="160">
        <f>+A263+1</f>
        <v>117</v>
      </c>
      <c r="B264" s="105" t="s">
        <v>505</v>
      </c>
      <c r="C264" s="134" t="s">
        <v>347</v>
      </c>
      <c r="D264" s="105" t="s">
        <v>506</v>
      </c>
      <c r="E264" s="179" t="s">
        <v>183</v>
      </c>
      <c r="F264" s="157" t="s">
        <v>657</v>
      </c>
      <c r="G264" s="157" t="s">
        <v>658</v>
      </c>
      <c r="H264" s="121">
        <v>38000</v>
      </c>
      <c r="I264" s="119">
        <f>H264*2.87%</f>
        <v>1090.5999999999999</v>
      </c>
      <c r="J264" s="119">
        <f>+H264*3.04%</f>
        <v>1155.2</v>
      </c>
      <c r="K264" s="119"/>
      <c r="L264" s="119">
        <f>+J264+I264+K264</f>
        <v>2245.8000000000002</v>
      </c>
      <c r="M264" s="119">
        <f>+H264-L264</f>
        <v>35754.199999999997</v>
      </c>
      <c r="N264" s="119">
        <v>0</v>
      </c>
      <c r="O264" s="119">
        <f t="shared" ref="O264" si="123">N264*2.87%</f>
        <v>0</v>
      </c>
      <c r="P264" s="121">
        <v>225</v>
      </c>
      <c r="Q264" s="119">
        <f>+P264+N264+L264</f>
        <v>2470.8000000000002</v>
      </c>
      <c r="R264" s="164">
        <f>+H264-Q264</f>
        <v>35529.199999999997</v>
      </c>
    </row>
    <row r="265" spans="1:18" ht="39.950000000000003" customHeight="1" x14ac:dyDescent="0.2">
      <c r="A265" s="360" t="s">
        <v>103</v>
      </c>
      <c r="B265" s="361"/>
      <c r="C265" s="103"/>
      <c r="D265" s="103"/>
      <c r="E265" s="103"/>
      <c r="F265" s="103"/>
      <c r="G265" s="103"/>
      <c r="H265" s="104">
        <f>SUM(H263:H264)</f>
        <v>128000</v>
      </c>
      <c r="I265" s="104">
        <f t="shared" ref="I265:R265" si="124">SUM(I263:I264)</f>
        <v>3673.6</v>
      </c>
      <c r="J265" s="104">
        <f t="shared" si="124"/>
        <v>3891.2</v>
      </c>
      <c r="K265" s="104">
        <f t="shared" si="124"/>
        <v>0</v>
      </c>
      <c r="L265" s="104">
        <f t="shared" si="124"/>
        <v>7564.8</v>
      </c>
      <c r="M265" s="104">
        <f t="shared" si="124"/>
        <v>120435.2</v>
      </c>
      <c r="N265" s="104">
        <f t="shared" si="124"/>
        <v>9753.1872916666671</v>
      </c>
      <c r="O265" s="104">
        <f t="shared" si="124"/>
        <v>0</v>
      </c>
      <c r="P265" s="104">
        <f t="shared" si="124"/>
        <v>15450</v>
      </c>
      <c r="Q265" s="104">
        <f t="shared" si="124"/>
        <v>32767.987291666668</v>
      </c>
      <c r="R265" s="104">
        <f t="shared" si="124"/>
        <v>95232.012708333321</v>
      </c>
    </row>
    <row r="266" spans="1:18" ht="39.950000000000003" customHeight="1" thickBot="1" x14ac:dyDescent="0.25">
      <c r="A266" s="173"/>
      <c r="B266" s="173"/>
      <c r="C266" s="173"/>
      <c r="D266" s="173"/>
      <c r="E266" s="173"/>
      <c r="F266" s="173"/>
      <c r="G266" s="173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</row>
    <row r="267" spans="1:18" ht="39.950000000000003" customHeight="1" thickBot="1" x14ac:dyDescent="0.25">
      <c r="A267" s="176" t="s">
        <v>175</v>
      </c>
      <c r="B267" s="177"/>
      <c r="C267" s="177"/>
      <c r="D267" s="177"/>
      <c r="E267" s="177"/>
      <c r="F267" s="177"/>
      <c r="G267" s="177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</row>
    <row r="268" spans="1:18" ht="39.950000000000003" customHeight="1" x14ac:dyDescent="0.2">
      <c r="A268" s="160">
        <f>+A264+1</f>
        <v>118</v>
      </c>
      <c r="B268" s="145" t="s">
        <v>315</v>
      </c>
      <c r="C268" s="106" t="s">
        <v>346</v>
      </c>
      <c r="D268" s="143" t="s">
        <v>518</v>
      </c>
      <c r="E268" s="179" t="s">
        <v>183</v>
      </c>
      <c r="F268" s="157" t="s">
        <v>599</v>
      </c>
      <c r="G268" s="157" t="s">
        <v>656</v>
      </c>
      <c r="H268" s="159">
        <v>100000</v>
      </c>
      <c r="I268" s="121">
        <f>H268*2.87%</f>
        <v>2870</v>
      </c>
      <c r="J268" s="121">
        <f>+H268*3.04%</f>
        <v>3040</v>
      </c>
      <c r="K268" s="121"/>
      <c r="L268" s="121">
        <f>+J268+I268+K268</f>
        <v>5910</v>
      </c>
      <c r="M268" s="121">
        <f>+H268-L268</f>
        <v>94090</v>
      </c>
      <c r="N268" s="119">
        <f>+IF(M268*12&lt;=416220.01,0,IF(M268*12&lt;=624329.01,(((M268*12-416220.01)*0.15)/12),IF((M268*12&lt;=867123.01),(31216+0.2*(M268*12-624329.01))/12,((79776+0.25*(M268*12-867123.01))/12))))</f>
        <v>12105.437291666667</v>
      </c>
      <c r="O268" s="121"/>
      <c r="P268" s="159">
        <v>1025</v>
      </c>
      <c r="Q268" s="121">
        <f>+P268+N268+L268</f>
        <v>19040.437291666669</v>
      </c>
      <c r="R268" s="159">
        <f>+H268-Q268</f>
        <v>80959.562708333338</v>
      </c>
    </row>
    <row r="269" spans="1:18" ht="39.950000000000003" customHeight="1" x14ac:dyDescent="0.2">
      <c r="A269" s="360" t="s">
        <v>103</v>
      </c>
      <c r="B269" s="361"/>
      <c r="C269" s="103"/>
      <c r="D269" s="103"/>
      <c r="E269" s="103"/>
      <c r="F269" s="103"/>
      <c r="G269" s="103"/>
      <c r="H269" s="104">
        <f>+H268</f>
        <v>100000</v>
      </c>
      <c r="I269" s="104">
        <f t="shared" ref="I269:Q269" si="125">+I268</f>
        <v>2870</v>
      </c>
      <c r="J269" s="104">
        <f t="shared" si="125"/>
        <v>3040</v>
      </c>
      <c r="K269" s="104">
        <f t="shared" si="125"/>
        <v>0</v>
      </c>
      <c r="L269" s="104">
        <f t="shared" si="125"/>
        <v>5910</v>
      </c>
      <c r="M269" s="104">
        <f t="shared" si="125"/>
        <v>94090</v>
      </c>
      <c r="N269" s="104">
        <f t="shared" si="125"/>
        <v>12105.437291666667</v>
      </c>
      <c r="O269" s="104">
        <f t="shared" si="125"/>
        <v>0</v>
      </c>
      <c r="P269" s="104">
        <f t="shared" si="125"/>
        <v>1025</v>
      </c>
      <c r="Q269" s="104">
        <f t="shared" si="125"/>
        <v>19040.437291666669</v>
      </c>
      <c r="R269" s="104">
        <f>+R268</f>
        <v>80959.562708333338</v>
      </c>
    </row>
    <row r="270" spans="1:18" ht="39.950000000000003" customHeight="1" thickBot="1" x14ac:dyDescent="0.25">
      <c r="D270" s="199"/>
      <c r="E270" s="199"/>
      <c r="F270" s="199"/>
      <c r="G270" s="199"/>
      <c r="I270" s="114"/>
      <c r="J270" s="114"/>
      <c r="K270" s="114"/>
      <c r="L270" s="114"/>
      <c r="M270" s="114"/>
      <c r="N270" s="114"/>
      <c r="O270" s="114"/>
      <c r="P270" s="114"/>
      <c r="Q270" s="114"/>
      <c r="R270" s="114"/>
    </row>
    <row r="271" spans="1:18" ht="39.950000000000003" customHeight="1" thickBot="1" x14ac:dyDescent="0.25">
      <c r="A271" s="176" t="s">
        <v>335</v>
      </c>
      <c r="B271" s="177"/>
      <c r="C271" s="177"/>
      <c r="D271" s="177"/>
      <c r="E271" s="206"/>
      <c r="F271" s="207"/>
      <c r="G271" s="207"/>
      <c r="H271" s="208">
        <f t="shared" ref="H271:R271" si="126">+H11+H20+H26+H34+H44+H52+H57+H61+H65+H73+H80+H86+H91+H95+H99+H106+H109+H112+H116+H119+H126+H142+H146+H152+H157+H162+H167+H171+H179+H183+H189+H194+H199+H208+H214+H221+H226+H230+H234+H238+H243+H247+H252+H256+H260+H265+H269+H137+H48+H69+H132</f>
        <v>11328000</v>
      </c>
      <c r="I271" s="208">
        <f t="shared" si="126"/>
        <v>325113.59999999998</v>
      </c>
      <c r="J271" s="208">
        <f t="shared" si="126"/>
        <v>344371.20000000001</v>
      </c>
      <c r="K271" s="208">
        <f t="shared" si="126"/>
        <v>58325.639999999985</v>
      </c>
      <c r="L271" s="208">
        <f t="shared" si="126"/>
        <v>727810.44000000006</v>
      </c>
      <c r="M271" s="208">
        <f t="shared" si="126"/>
        <v>10600189.559999999</v>
      </c>
      <c r="N271" s="208">
        <f t="shared" si="126"/>
        <v>1323170.1983333325</v>
      </c>
      <c r="O271" s="208">
        <f t="shared" si="126"/>
        <v>0</v>
      </c>
      <c r="P271" s="208">
        <f t="shared" si="126"/>
        <v>321127.68999999994</v>
      </c>
      <c r="Q271" s="208">
        <f t="shared" si="126"/>
        <v>2372108.3283333336</v>
      </c>
      <c r="R271" s="208">
        <f t="shared" si="126"/>
        <v>8955891.6716666669</v>
      </c>
    </row>
    <row r="272" spans="1:18" ht="39.950000000000003" customHeight="1" x14ac:dyDescent="0.2">
      <c r="H272" s="309"/>
      <c r="I272"/>
      <c r="K272" s="210"/>
      <c r="R272" s="332"/>
    </row>
    <row r="273" spans="2:18" ht="39.950000000000003" customHeight="1" x14ac:dyDescent="0.2">
      <c r="H273" s="308"/>
      <c r="I273"/>
      <c r="R273" s="210"/>
    </row>
    <row r="274" spans="2:18" ht="39.950000000000003" customHeight="1" thickBot="1" x14ac:dyDescent="0.3">
      <c r="B274" s="369" t="s">
        <v>90</v>
      </c>
      <c r="C274" s="369"/>
      <c r="D274" s="209"/>
      <c r="E274" s="209"/>
      <c r="F274" s="369" t="s">
        <v>550</v>
      </c>
      <c r="G274" s="369"/>
      <c r="H274" s="211"/>
    </row>
    <row r="275" spans="2:18" ht="39.950000000000003" customHeight="1" x14ac:dyDescent="0.25">
      <c r="B275" s="370" t="s">
        <v>558</v>
      </c>
      <c r="C275" s="370"/>
      <c r="D275" s="209"/>
      <c r="E275" s="209"/>
      <c r="F275" s="370" t="s">
        <v>392</v>
      </c>
      <c r="G275" s="370"/>
    </row>
    <row r="64880" spans="2:2" ht="39.950000000000003" customHeight="1" x14ac:dyDescent="0.2">
      <c r="B64880" s="148">
        <f>SUM(B7:B64879)</f>
        <v>0</v>
      </c>
    </row>
    <row r="64882" spans="2:2" ht="39.950000000000003" customHeight="1" x14ac:dyDescent="0.2">
      <c r="B64882" s="148">
        <f>SUM(B64880)</f>
        <v>0</v>
      </c>
    </row>
    <row r="1048208" spans="17:17" ht="39.950000000000003" customHeight="1" x14ac:dyDescent="0.2">
      <c r="Q1048208" s="126" t="e">
        <f>SUM(#REF!)</f>
        <v>#REF!</v>
      </c>
    </row>
  </sheetData>
  <mergeCells count="59">
    <mergeCell ref="A252:B252"/>
    <mergeCell ref="A256:B256"/>
    <mergeCell ref="B274:C274"/>
    <mergeCell ref="B275:C275"/>
    <mergeCell ref="F274:G274"/>
    <mergeCell ref="F275:G275"/>
    <mergeCell ref="A269:B269"/>
    <mergeCell ref="A260:B260"/>
    <mergeCell ref="A265:B265"/>
    <mergeCell ref="A142:B142"/>
    <mergeCell ref="A238:B238"/>
    <mergeCell ref="A221:B221"/>
    <mergeCell ref="A226:B226"/>
    <mergeCell ref="A183:B183"/>
    <mergeCell ref="A146:B146"/>
    <mergeCell ref="A106:B106"/>
    <mergeCell ref="A109:B109"/>
    <mergeCell ref="A116:B116"/>
    <mergeCell ref="A126:B126"/>
    <mergeCell ref="A137:B137"/>
    <mergeCell ref="A119:B119"/>
    <mergeCell ref="A112:B112"/>
    <mergeCell ref="A132:B132"/>
    <mergeCell ref="A247:B247"/>
    <mergeCell ref="A230:B230"/>
    <mergeCell ref="A234:B234"/>
    <mergeCell ref="A152:B152"/>
    <mergeCell ref="A157:B157"/>
    <mergeCell ref="A167:B167"/>
    <mergeCell ref="A162:B162"/>
    <mergeCell ref="A171:B171"/>
    <mergeCell ref="A214:B214"/>
    <mergeCell ref="A199:B199"/>
    <mergeCell ref="A243:B243"/>
    <mergeCell ref="A189:B189"/>
    <mergeCell ref="A194:B194"/>
    <mergeCell ref="A179:B179"/>
    <mergeCell ref="A208:B208"/>
    <mergeCell ref="A80:B80"/>
    <mergeCell ref="A86:B86"/>
    <mergeCell ref="A91:B91"/>
    <mergeCell ref="A99:B99"/>
    <mergeCell ref="A95:B95"/>
    <mergeCell ref="A11:B11"/>
    <mergeCell ref="A34:B34"/>
    <mergeCell ref="A2:R2"/>
    <mergeCell ref="A3:R3"/>
    <mergeCell ref="A4:R4"/>
    <mergeCell ref="A26:B26"/>
    <mergeCell ref="A20:B20"/>
    <mergeCell ref="I6:L6"/>
    <mergeCell ref="A44:B44"/>
    <mergeCell ref="A52:B52"/>
    <mergeCell ref="A57:B57"/>
    <mergeCell ref="A65:B65"/>
    <mergeCell ref="A73:B73"/>
    <mergeCell ref="A61:B61"/>
    <mergeCell ref="A48:B48"/>
    <mergeCell ref="A69:B69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5" max="17" man="1"/>
    <brk id="78" max="17" man="1"/>
    <brk id="102" max="17" man="1"/>
    <brk id="124" max="17" man="1"/>
    <brk id="147" max="17" man="1"/>
    <brk id="171" max="17" man="1"/>
    <brk id="194" max="17" man="1"/>
    <brk id="214" max="17" man="1"/>
    <brk id="238" max="17" man="1"/>
    <brk id="26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5"/>
  <sheetViews>
    <sheetView showGridLines="0" zoomScale="82" zoomScaleNormal="82" workbookViewId="0">
      <pane xSplit="3" ySplit="6" topLeftCell="D113" activePane="bottomRight" state="frozen"/>
      <selection pane="topRight" activeCell="C1" sqref="C1"/>
      <selection pane="bottomLeft" activeCell="A9" sqref="A9"/>
      <selection pane="bottomRight" activeCell="E36" sqref="E36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2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8.7109375" style="1" customWidth="1"/>
    <col min="14" max="14" width="17.28515625" style="1" customWidth="1"/>
    <col min="15" max="16384" width="11.42578125" style="1"/>
  </cols>
  <sheetData>
    <row r="1" spans="2:13" ht="20.100000000000001" customHeight="1" x14ac:dyDescent="0.35">
      <c r="B1" s="380" t="s">
        <v>336</v>
      </c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2:13" ht="20.100000000000001" customHeight="1" x14ac:dyDescent="0.35">
      <c r="B2" s="381" t="s">
        <v>352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</row>
    <row r="3" spans="2:13" ht="20.100000000000001" customHeight="1" x14ac:dyDescent="0.3">
      <c r="B3" s="382" t="s">
        <v>667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77"/>
    </row>
    <row r="4" spans="2:13" ht="20.100000000000001" customHeight="1" thickBot="1" x14ac:dyDescent="0.35">
      <c r="B4" s="382"/>
      <c r="C4" s="382"/>
      <c r="D4" s="6"/>
      <c r="E4" s="11"/>
      <c r="F4" s="88"/>
      <c r="G4" s="6"/>
    </row>
    <row r="5" spans="2:13" ht="20.100000000000001" customHeight="1" thickBot="1" x14ac:dyDescent="0.3">
      <c r="B5" s="15"/>
      <c r="C5" s="16"/>
      <c r="D5" s="15"/>
      <c r="E5" s="16"/>
      <c r="F5" s="89"/>
      <c r="G5" s="17"/>
      <c r="H5" s="363" t="s">
        <v>99</v>
      </c>
      <c r="I5" s="365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302</v>
      </c>
      <c r="D6" s="19" t="s">
        <v>348</v>
      </c>
      <c r="E6" s="19" t="s">
        <v>105</v>
      </c>
      <c r="F6" s="95" t="s">
        <v>93</v>
      </c>
      <c r="G6" s="19" t="s">
        <v>102</v>
      </c>
      <c r="H6" s="20" t="s">
        <v>1</v>
      </c>
      <c r="I6" s="20" t="s">
        <v>2</v>
      </c>
      <c r="J6" s="21" t="s">
        <v>94</v>
      </c>
      <c r="K6" s="21" t="s">
        <v>3</v>
      </c>
      <c r="L6" s="21" t="s">
        <v>95</v>
      </c>
    </row>
    <row r="7" spans="2:13" s="25" customFormat="1" ht="20.100000000000001" customHeight="1" thickBot="1" x14ac:dyDescent="0.3">
      <c r="B7" s="371" t="s">
        <v>152</v>
      </c>
      <c r="C7" s="372"/>
      <c r="D7" s="372"/>
      <c r="E7" s="372"/>
      <c r="F7" s="372"/>
      <c r="G7" s="372"/>
      <c r="H7" s="372"/>
      <c r="I7" s="372"/>
      <c r="J7" s="372"/>
      <c r="K7" s="372"/>
      <c r="L7" s="373"/>
    </row>
    <row r="8" spans="2:13" s="25" customFormat="1" ht="28.5" customHeight="1" x14ac:dyDescent="0.25">
      <c r="B8" s="22">
        <f>1</f>
        <v>1</v>
      </c>
      <c r="C8" s="54" t="s">
        <v>116</v>
      </c>
      <c r="D8" s="22" t="s">
        <v>347</v>
      </c>
      <c r="E8" s="55" t="s">
        <v>375</v>
      </c>
      <c r="F8" s="60" t="s">
        <v>100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  <c r="M8" s="78"/>
    </row>
    <row r="9" spans="2:13" s="25" customFormat="1" ht="20.100000000000001" customHeight="1" x14ac:dyDescent="0.25">
      <c r="B9" s="374" t="s">
        <v>103</v>
      </c>
      <c r="C9" s="375"/>
      <c r="D9" s="375"/>
      <c r="E9" s="375"/>
      <c r="F9" s="375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8"/>
    </row>
    <row r="10" spans="2:13" s="26" customFormat="1" ht="20.100000000000001" customHeight="1" thickBot="1" x14ac:dyDescent="0.3">
      <c r="B10" s="34"/>
      <c r="C10" s="34"/>
      <c r="D10" s="34"/>
      <c r="E10" s="34"/>
      <c r="F10" s="96"/>
      <c r="M10" s="24"/>
    </row>
    <row r="11" spans="2:13" s="41" customFormat="1" ht="20.100000000000001" customHeight="1" thickBot="1" x14ac:dyDescent="0.3">
      <c r="B11" s="371" t="s">
        <v>127</v>
      </c>
      <c r="C11" s="372"/>
      <c r="D11" s="372"/>
      <c r="E11" s="372"/>
      <c r="F11" s="372"/>
      <c r="G11" s="372"/>
      <c r="H11" s="372"/>
      <c r="I11" s="372"/>
      <c r="J11" s="372"/>
      <c r="K11" s="372"/>
      <c r="L11" s="373"/>
    </row>
    <row r="12" spans="2:13" s="25" customFormat="1" ht="27" customHeight="1" x14ac:dyDescent="0.25">
      <c r="B12" s="22">
        <f>+B8+1</f>
        <v>2</v>
      </c>
      <c r="C12" s="57" t="s">
        <v>36</v>
      </c>
      <c r="D12" s="58" t="s">
        <v>347</v>
      </c>
      <c r="E12" s="59" t="s">
        <v>371</v>
      </c>
      <c r="F12" s="60" t="s">
        <v>101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  <c r="M12" s="78"/>
    </row>
    <row r="13" spans="2:13" s="25" customFormat="1" ht="20.100000000000001" customHeight="1" x14ac:dyDescent="0.25">
      <c r="B13" s="374" t="s">
        <v>103</v>
      </c>
      <c r="C13" s="375"/>
      <c r="D13" s="375"/>
      <c r="E13" s="375"/>
      <c r="F13" s="376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6"/>
      <c r="G14" s="51"/>
      <c r="H14" s="51"/>
      <c r="I14" s="51"/>
      <c r="J14" s="51"/>
      <c r="K14" s="51"/>
      <c r="L14" s="51"/>
    </row>
    <row r="15" spans="2:13" s="41" customFormat="1" ht="20.100000000000001" customHeight="1" thickBot="1" x14ac:dyDescent="0.3">
      <c r="B15" s="371" t="s">
        <v>211</v>
      </c>
      <c r="C15" s="372"/>
      <c r="D15" s="372"/>
      <c r="E15" s="372"/>
      <c r="F15" s="372"/>
      <c r="G15" s="372"/>
      <c r="H15" s="372"/>
      <c r="I15" s="372"/>
      <c r="J15" s="372"/>
      <c r="K15" s="372"/>
      <c r="L15" s="373"/>
    </row>
    <row r="16" spans="2:13" s="25" customFormat="1" ht="27" customHeight="1" x14ac:dyDescent="0.25">
      <c r="B16" s="42">
        <f>+B12+1</f>
        <v>3</v>
      </c>
      <c r="C16" s="57" t="s">
        <v>44</v>
      </c>
      <c r="D16" s="58" t="s">
        <v>347</v>
      </c>
      <c r="E16" s="59" t="s">
        <v>154</v>
      </c>
      <c r="F16" s="60" t="s">
        <v>101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f>SUM(H16:J16)+204.32</f>
        <v>18842.877500000002</v>
      </c>
      <c r="L16" s="44">
        <f>+G16-K16</f>
        <v>44657.122499999998</v>
      </c>
      <c r="M16" s="86"/>
    </row>
    <row r="17" spans="2:12" s="25" customFormat="1" ht="20.100000000000001" customHeight="1" x14ac:dyDescent="0.25">
      <c r="B17" s="374" t="s">
        <v>103</v>
      </c>
      <c r="C17" s="375"/>
      <c r="D17" s="375"/>
      <c r="E17" s="375"/>
      <c r="F17" s="376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18842.877500000002</v>
      </c>
      <c r="L17" s="23">
        <f t="shared" si="2"/>
        <v>44657.122499999998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6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1" t="s">
        <v>486</v>
      </c>
      <c r="C19" s="372"/>
      <c r="D19" s="372"/>
      <c r="E19" s="372"/>
      <c r="F19" s="372"/>
      <c r="G19" s="372"/>
      <c r="H19" s="372"/>
      <c r="I19" s="372"/>
      <c r="J19" s="372"/>
      <c r="K19" s="372"/>
      <c r="L19" s="373"/>
    </row>
    <row r="20" spans="2:12" s="51" customFormat="1" ht="27.75" customHeight="1" x14ac:dyDescent="0.25">
      <c r="B20" s="42">
        <f>+B16+1</f>
        <v>4</v>
      </c>
      <c r="C20" s="57" t="s">
        <v>485</v>
      </c>
      <c r="D20" s="58" t="s">
        <v>347</v>
      </c>
      <c r="E20" s="59" t="s">
        <v>39</v>
      </c>
      <c r="F20" s="60" t="s">
        <v>101</v>
      </c>
      <c r="G20" s="53">
        <v>20000</v>
      </c>
      <c r="H20" s="43">
        <f>+G20*2.87%</f>
        <v>574</v>
      </c>
      <c r="I20" s="43">
        <f>+G20*3.04%</f>
        <v>608</v>
      </c>
      <c r="J20" s="53">
        <v>3777.43</v>
      </c>
      <c r="K20" s="43">
        <f>SUM(H20:J20)+204.32</f>
        <v>5163.75</v>
      </c>
      <c r="L20" s="44">
        <f>+G20-K20</f>
        <v>14836.25</v>
      </c>
    </row>
    <row r="21" spans="2:12" s="25" customFormat="1" ht="20.100000000000001" customHeight="1" thickBot="1" x14ac:dyDescent="0.3">
      <c r="B21" s="374" t="s">
        <v>103</v>
      </c>
      <c r="C21" s="375"/>
      <c r="D21" s="375"/>
      <c r="E21" s="375"/>
      <c r="F21" s="376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3777.43</v>
      </c>
      <c r="K21" s="23">
        <f t="shared" si="3"/>
        <v>5163.75</v>
      </c>
      <c r="L21" s="23">
        <f t="shared" si="3"/>
        <v>14836.25</v>
      </c>
    </row>
    <row r="22" spans="2:12" s="25" customFormat="1" ht="20.100000000000001" customHeight="1" thickBot="1" x14ac:dyDescent="0.3">
      <c r="B22" s="371" t="s">
        <v>131</v>
      </c>
      <c r="C22" s="372"/>
      <c r="D22" s="372"/>
      <c r="E22" s="372"/>
      <c r="F22" s="372"/>
      <c r="G22" s="372"/>
      <c r="H22" s="372"/>
      <c r="I22" s="372"/>
      <c r="J22" s="372"/>
      <c r="K22" s="372"/>
      <c r="L22" s="373"/>
    </row>
    <row r="23" spans="2:12" s="25" customFormat="1" ht="33.75" customHeight="1" x14ac:dyDescent="0.25">
      <c r="B23" s="58">
        <f>+B20+1</f>
        <v>5</v>
      </c>
      <c r="C23" s="25" t="s">
        <v>600</v>
      </c>
      <c r="D23" s="25" t="s">
        <v>347</v>
      </c>
      <c r="E23" s="324" t="s">
        <v>601</v>
      </c>
      <c r="F23" s="25" t="s">
        <v>101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f>SUM(H23:J23)+408.64</f>
        <v>10607.849999999999</v>
      </c>
      <c r="L23" s="44">
        <f>+G23-K23</f>
        <v>24392.15</v>
      </c>
    </row>
    <row r="24" spans="2:12" s="51" customFormat="1" ht="20.100000000000001" customHeight="1" x14ac:dyDescent="0.25">
      <c r="B24" s="374" t="s">
        <v>103</v>
      </c>
      <c r="C24" s="375"/>
      <c r="D24" s="375"/>
      <c r="E24" s="375"/>
      <c r="F24" s="376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10607.849999999999</v>
      </c>
      <c r="L24" s="23">
        <f t="shared" si="4"/>
        <v>24392.15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90"/>
      <c r="L25" s="24"/>
    </row>
    <row r="26" spans="2:12" s="25" customFormat="1" ht="20.100000000000001" customHeight="1" thickBot="1" x14ac:dyDescent="0.3">
      <c r="B26" s="377" t="s">
        <v>158</v>
      </c>
      <c r="C26" s="378"/>
      <c r="D26" s="378"/>
      <c r="E26" s="378"/>
      <c r="F26" s="378"/>
      <c r="G26" s="378"/>
      <c r="H26" s="378"/>
      <c r="I26" s="378"/>
      <c r="J26" s="378"/>
      <c r="K26" s="378"/>
      <c r="L26" s="379"/>
    </row>
    <row r="27" spans="2:12" s="25" customFormat="1" ht="30" customHeight="1" x14ac:dyDescent="0.25">
      <c r="B27" s="58">
        <f>+B23+1</f>
        <v>6</v>
      </c>
      <c r="C27" s="57" t="s">
        <v>602</v>
      </c>
      <c r="D27" s="58" t="s">
        <v>347</v>
      </c>
      <c r="E27" s="55" t="s">
        <v>215</v>
      </c>
      <c r="F27" s="60" t="s">
        <v>101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f>SUM(H27:J27)+408.64</f>
        <v>15317.06</v>
      </c>
      <c r="L27" s="44">
        <f>+G27-K27</f>
        <v>35682.94</v>
      </c>
    </row>
    <row r="28" spans="2:12" s="25" customFormat="1" ht="20.100000000000001" customHeight="1" x14ac:dyDescent="0.25">
      <c r="B28" s="374" t="s">
        <v>103</v>
      </c>
      <c r="C28" s="375"/>
      <c r="D28" s="375"/>
      <c r="E28" s="375"/>
      <c r="F28" s="376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15317.06</v>
      </c>
      <c r="L28" s="23">
        <f t="shared" si="5"/>
        <v>35682.94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6"/>
    </row>
    <row r="30" spans="2:12" s="25" customFormat="1" ht="20.100000000000001" customHeight="1" thickBot="1" x14ac:dyDescent="0.3">
      <c r="B30" s="377" t="s">
        <v>132</v>
      </c>
      <c r="C30" s="378"/>
      <c r="D30" s="378"/>
      <c r="E30" s="378"/>
      <c r="F30" s="378"/>
      <c r="G30" s="378"/>
      <c r="H30" s="378"/>
      <c r="I30" s="378"/>
      <c r="J30" s="378"/>
      <c r="K30" s="378"/>
      <c r="L30" s="379"/>
    </row>
    <row r="31" spans="2:12" s="52" customFormat="1" ht="34.5" customHeight="1" x14ac:dyDescent="0.25">
      <c r="B31" s="42">
        <f>+B27+1</f>
        <v>7</v>
      </c>
      <c r="C31" s="57" t="s">
        <v>49</v>
      </c>
      <c r="D31" s="58" t="s">
        <v>620</v>
      </c>
      <c r="E31" s="55" t="s">
        <v>635</v>
      </c>
      <c r="F31" s="60" t="s">
        <v>169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50</v>
      </c>
      <c r="D32" s="58" t="s">
        <v>347</v>
      </c>
      <c r="E32" s="55" t="s">
        <v>159</v>
      </c>
      <c r="F32" s="60" t="s">
        <v>101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4" t="s">
        <v>103</v>
      </c>
      <c r="C33" s="375"/>
      <c r="D33" s="375"/>
      <c r="E33" s="375"/>
      <c r="F33" s="376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90"/>
      <c r="L34" s="24"/>
    </row>
    <row r="35" spans="2:12" s="25" customFormat="1" ht="20.100000000000001" customHeight="1" thickBot="1" x14ac:dyDescent="0.3">
      <c r="B35" s="377" t="s">
        <v>133</v>
      </c>
      <c r="C35" s="378"/>
      <c r="D35" s="378"/>
      <c r="E35" s="378"/>
      <c r="F35" s="378"/>
      <c r="G35" s="378"/>
      <c r="H35" s="378"/>
      <c r="I35" s="378"/>
      <c r="J35" s="378"/>
      <c r="K35" s="378"/>
      <c r="L35" s="379"/>
    </row>
    <row r="36" spans="2:12" s="35" customFormat="1" ht="45.6" customHeight="1" x14ac:dyDescent="0.25">
      <c r="B36" s="46">
        <f>+B32+1</f>
        <v>9</v>
      </c>
      <c r="C36" s="72" t="s">
        <v>419</v>
      </c>
      <c r="D36" s="73" t="s">
        <v>347</v>
      </c>
      <c r="E36" s="55" t="s">
        <v>420</v>
      </c>
      <c r="F36" s="91" t="s">
        <v>100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f>SUM(H36:J36)+204.32</f>
        <v>19284.37</v>
      </c>
      <c r="L36" s="87">
        <f>+G36-K36</f>
        <v>45715.630000000005</v>
      </c>
    </row>
    <row r="37" spans="2:12" s="25" customFormat="1" ht="29.25" customHeight="1" x14ac:dyDescent="0.25">
      <c r="B37" s="46">
        <f>+B36+1</f>
        <v>10</v>
      </c>
      <c r="C37" s="54" t="s">
        <v>481</v>
      </c>
      <c r="D37" s="22" t="s">
        <v>346</v>
      </c>
      <c r="E37" s="55" t="s">
        <v>122</v>
      </c>
      <c r="F37" s="60" t="s">
        <v>100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4" t="s">
        <v>103</v>
      </c>
      <c r="C38" s="375"/>
      <c r="D38" s="375"/>
      <c r="E38" s="375"/>
      <c r="F38" s="376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29344.807291666664</v>
      </c>
      <c r="L38" s="23">
        <f t="shared" si="7"/>
        <v>80655.192708333343</v>
      </c>
    </row>
    <row r="39" spans="2:12" ht="20.100000000000001" customHeight="1" thickBot="1" x14ac:dyDescent="0.3">
      <c r="B39" s="30"/>
      <c r="C39" s="28"/>
      <c r="D39" s="30"/>
      <c r="E39" s="29"/>
      <c r="F39" s="90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77" t="s">
        <v>136</v>
      </c>
      <c r="C40" s="378"/>
      <c r="D40" s="378"/>
      <c r="E40" s="378"/>
      <c r="F40" s="378"/>
      <c r="G40" s="378"/>
      <c r="H40" s="378"/>
      <c r="I40" s="378"/>
      <c r="J40" s="378"/>
      <c r="K40" s="378"/>
      <c r="L40" s="379"/>
    </row>
    <row r="41" spans="2:12" ht="30.75" customHeight="1" x14ac:dyDescent="0.25">
      <c r="B41" s="58">
        <f>+B37+1</f>
        <v>11</v>
      </c>
      <c r="C41" s="57" t="s">
        <v>430</v>
      </c>
      <c r="D41" s="58" t="s">
        <v>347</v>
      </c>
      <c r="E41" s="59" t="s">
        <v>160</v>
      </c>
      <c r="F41" s="91" t="s">
        <v>100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74" t="s">
        <v>103</v>
      </c>
      <c r="C42" s="375"/>
      <c r="D42" s="375"/>
      <c r="E42" s="375"/>
      <c r="F42" s="376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92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77" t="s">
        <v>138</v>
      </c>
      <c r="C44" s="378"/>
      <c r="D44" s="378"/>
      <c r="E44" s="378"/>
      <c r="F44" s="378"/>
      <c r="G44" s="378"/>
      <c r="H44" s="378"/>
      <c r="I44" s="378"/>
      <c r="J44" s="378"/>
      <c r="K44" s="378"/>
      <c r="L44" s="379"/>
    </row>
    <row r="45" spans="2:12" s="25" customFormat="1" ht="27.75" customHeight="1" x14ac:dyDescent="0.25">
      <c r="B45" s="58">
        <f>+B41+1</f>
        <v>12</v>
      </c>
      <c r="C45" s="57" t="s">
        <v>53</v>
      </c>
      <c r="D45" s="58" t="s">
        <v>347</v>
      </c>
      <c r="E45" s="74" t="s">
        <v>161</v>
      </c>
      <c r="F45" s="60" t="s">
        <v>101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4" t="s">
        <v>103</v>
      </c>
      <c r="C46" s="375"/>
      <c r="D46" s="375"/>
      <c r="E46" s="375"/>
      <c r="F46" s="376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1" t="s">
        <v>603</v>
      </c>
      <c r="C48" s="372"/>
      <c r="D48" s="372"/>
      <c r="E48" s="372"/>
      <c r="F48" s="372"/>
      <c r="G48" s="372"/>
      <c r="H48" s="372"/>
      <c r="I48" s="372"/>
      <c r="J48" s="372"/>
      <c r="K48" s="372"/>
      <c r="L48" s="373"/>
    </row>
    <row r="49" spans="2:12" customFormat="1" ht="33" customHeight="1" x14ac:dyDescent="0.25">
      <c r="B49" s="22">
        <f>+B45+1</f>
        <v>13</v>
      </c>
      <c r="C49" s="54" t="s">
        <v>479</v>
      </c>
      <c r="D49" s="22" t="s">
        <v>347</v>
      </c>
      <c r="E49" s="55" t="s">
        <v>604</v>
      </c>
      <c r="F49" s="60" t="s">
        <v>480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4" t="s">
        <v>103</v>
      </c>
      <c r="C50" s="375"/>
      <c r="D50" s="375"/>
      <c r="E50" s="375"/>
      <c r="F50" s="376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77" t="s">
        <v>142</v>
      </c>
      <c r="C52" s="378"/>
      <c r="D52" s="378"/>
      <c r="E52" s="378"/>
      <c r="F52" s="378"/>
      <c r="G52" s="378"/>
      <c r="H52" s="378"/>
      <c r="I52" s="378"/>
      <c r="J52" s="378"/>
      <c r="K52" s="378"/>
      <c r="L52" s="379"/>
    </row>
    <row r="53" spans="2:12" s="25" customFormat="1" ht="30" customHeight="1" x14ac:dyDescent="0.25">
      <c r="B53" s="22">
        <f>+B49+1</f>
        <v>14</v>
      </c>
      <c r="C53" s="54" t="s">
        <v>386</v>
      </c>
      <c r="D53" s="22" t="s">
        <v>346</v>
      </c>
      <c r="E53" s="55" t="s">
        <v>387</v>
      </c>
      <c r="F53" s="60" t="s">
        <v>169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4" t="s">
        <v>103</v>
      </c>
      <c r="C54" s="375"/>
      <c r="D54" s="375"/>
      <c r="E54" s="375"/>
      <c r="F54" s="376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8"/>
      <c r="G55"/>
      <c r="H55"/>
      <c r="I55"/>
      <c r="J55"/>
      <c r="K55"/>
      <c r="L55"/>
    </row>
    <row r="56" spans="2:12" s="25" customFormat="1" ht="33" customHeight="1" thickBot="1" x14ac:dyDescent="0.3">
      <c r="B56" s="377" t="s">
        <v>143</v>
      </c>
      <c r="C56" s="378"/>
      <c r="D56" s="378"/>
      <c r="E56" s="378"/>
      <c r="F56" s="378"/>
      <c r="G56" s="378"/>
      <c r="H56" s="378"/>
      <c r="I56" s="378"/>
      <c r="J56" s="378"/>
      <c r="K56" s="378"/>
      <c r="L56" s="379"/>
    </row>
    <row r="57" spans="2:12" s="25" customFormat="1" ht="33" customHeight="1" x14ac:dyDescent="0.25">
      <c r="B57" s="22">
        <f>+B53+1</f>
        <v>15</v>
      </c>
      <c r="C57" s="54" t="s">
        <v>167</v>
      </c>
      <c r="D57" s="22" t="s">
        <v>346</v>
      </c>
      <c r="E57" s="55" t="s">
        <v>227</v>
      </c>
      <c r="F57" s="60" t="s">
        <v>101</v>
      </c>
      <c r="G57" s="48">
        <v>65000</v>
      </c>
      <c r="H57" s="43">
        <f>+G57*2.87%</f>
        <v>1865.5</v>
      </c>
      <c r="I57" s="43">
        <f>+G57*3.04%</f>
        <v>1976</v>
      </c>
      <c r="J57" s="48">
        <v>15238.55</v>
      </c>
      <c r="K57" s="43">
        <f>SUM(H57:J57)+204.32</f>
        <v>19284.37</v>
      </c>
      <c r="L57" s="44">
        <f>+G57-K57</f>
        <v>45715.630000000005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347</v>
      </c>
      <c r="E58" s="55" t="s">
        <v>122</v>
      </c>
      <c r="F58" s="60" t="s">
        <v>100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f>SUM(H58:J58)+204.32</f>
        <v>9303.91</v>
      </c>
      <c r="L58" s="44">
        <f>+G58-K58</f>
        <v>30696.09</v>
      </c>
    </row>
    <row r="59" spans="2:12" s="25" customFormat="1" ht="20.100000000000001" customHeight="1" thickBot="1" x14ac:dyDescent="0.3">
      <c r="B59" s="374" t="s">
        <v>103</v>
      </c>
      <c r="C59" s="375"/>
      <c r="D59" s="375"/>
      <c r="E59" s="375"/>
      <c r="F59" s="376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21974.14</v>
      </c>
      <c r="K59" s="23">
        <f t="shared" si="12"/>
        <v>28588.28</v>
      </c>
      <c r="L59" s="23">
        <f t="shared" si="12"/>
        <v>76411.72</v>
      </c>
    </row>
    <row r="60" spans="2:12" s="35" customFormat="1" ht="20.100000000000001" customHeight="1" thickBot="1" x14ac:dyDescent="0.3">
      <c r="B60" s="377" t="s">
        <v>421</v>
      </c>
      <c r="C60" s="378"/>
      <c r="D60" s="378"/>
      <c r="E60" s="378"/>
      <c r="F60" s="378"/>
      <c r="G60" s="378"/>
      <c r="H60" s="378"/>
      <c r="I60" s="378"/>
      <c r="J60" s="378"/>
      <c r="K60" s="378"/>
      <c r="L60" s="379"/>
    </row>
    <row r="61" spans="2:12" s="35" customFormat="1" ht="20.100000000000001" customHeight="1" x14ac:dyDescent="0.25">
      <c r="B61" s="22">
        <f>+B58+1</f>
        <v>17</v>
      </c>
      <c r="C61" s="54" t="s">
        <v>83</v>
      </c>
      <c r="D61" s="22" t="s">
        <v>347</v>
      </c>
      <c r="E61" s="55" t="s">
        <v>422</v>
      </c>
      <c r="F61" s="75" t="s">
        <v>169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4" t="s">
        <v>103</v>
      </c>
      <c r="C62" s="375"/>
      <c r="D62" s="375"/>
      <c r="E62" s="375"/>
      <c r="F62" s="376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77" t="s">
        <v>146</v>
      </c>
      <c r="C64" s="378"/>
      <c r="D64" s="378"/>
      <c r="E64" s="378"/>
      <c r="F64" s="378"/>
      <c r="G64" s="378"/>
      <c r="H64" s="378"/>
      <c r="I64" s="378"/>
      <c r="J64" s="378"/>
      <c r="K64" s="378"/>
      <c r="L64" s="379"/>
    </row>
    <row r="65" spans="2:12" s="31" customFormat="1" ht="20.100000000000001" customHeight="1" x14ac:dyDescent="0.25">
      <c r="B65" s="42">
        <f>B61+1</f>
        <v>18</v>
      </c>
      <c r="C65" s="57" t="s">
        <v>234</v>
      </c>
      <c r="D65" s="58" t="s">
        <v>346</v>
      </c>
      <c r="E65" s="59" t="s">
        <v>235</v>
      </c>
      <c r="F65" s="60" t="s">
        <v>101</v>
      </c>
      <c r="G65" s="53">
        <v>28500</v>
      </c>
      <c r="H65" s="48">
        <v>817.94999999999982</v>
      </c>
      <c r="I65" s="48">
        <v>866.40000000000009</v>
      </c>
      <c r="J65" s="48">
        <v>6652.83</v>
      </c>
      <c r="K65" s="43">
        <f>SUM(H65:J65)+204.32</f>
        <v>8541.5</v>
      </c>
      <c r="L65" s="44">
        <f>+G65-K65</f>
        <v>19958.5</v>
      </c>
    </row>
    <row r="66" spans="2:12" customFormat="1" ht="20.100000000000001" customHeight="1" x14ac:dyDescent="0.25">
      <c r="B66" s="374" t="s">
        <v>103</v>
      </c>
      <c r="C66" s="375"/>
      <c r="D66" s="375"/>
      <c r="E66" s="375"/>
      <c r="F66" s="376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6652.83</v>
      </c>
      <c r="K66" s="23">
        <f t="shared" si="14"/>
        <v>8541.5</v>
      </c>
      <c r="L66" s="23">
        <f t="shared" si="14"/>
        <v>19958.5</v>
      </c>
    </row>
    <row r="67" spans="2:12" customFormat="1" ht="20.100000000000001" customHeight="1" thickBot="1" x14ac:dyDescent="0.3">
      <c r="B67" s="34"/>
      <c r="C67" s="34"/>
      <c r="D67" s="34"/>
      <c r="E67" s="34"/>
      <c r="F67" s="96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1" t="s">
        <v>147</v>
      </c>
      <c r="C68" s="372"/>
      <c r="D68" s="372"/>
      <c r="E68" s="372"/>
      <c r="F68" s="372"/>
      <c r="G68" s="372"/>
      <c r="H68" s="372"/>
      <c r="I68" s="372"/>
      <c r="J68" s="372"/>
      <c r="K68" s="372"/>
      <c r="L68" s="373"/>
    </row>
    <row r="69" spans="2:12" s="31" customFormat="1" ht="33" customHeight="1" x14ac:dyDescent="0.25">
      <c r="B69" s="46">
        <f>+B65+1</f>
        <v>19</v>
      </c>
      <c r="C69" s="54" t="s">
        <v>59</v>
      </c>
      <c r="D69" s="22" t="s">
        <v>347</v>
      </c>
      <c r="E69" s="55" t="s">
        <v>172</v>
      </c>
      <c r="F69" s="60" t="s">
        <v>101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4" t="s">
        <v>103</v>
      </c>
      <c r="C70" s="375"/>
      <c r="D70" s="375"/>
      <c r="E70" s="375"/>
      <c r="F70" s="376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6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1" t="s">
        <v>73</v>
      </c>
      <c r="C72" s="372"/>
      <c r="D72" s="372"/>
      <c r="E72" s="372"/>
      <c r="F72" s="372"/>
      <c r="G72" s="372"/>
      <c r="H72" s="372"/>
      <c r="I72" s="372"/>
      <c r="J72" s="372"/>
      <c r="K72" s="372"/>
      <c r="L72" s="373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347</v>
      </c>
      <c r="E73" s="55" t="s">
        <v>412</v>
      </c>
      <c r="F73" s="60" t="s">
        <v>169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4" t="s">
        <v>103</v>
      </c>
      <c r="C74" s="375"/>
      <c r="D74" s="375"/>
      <c r="E74" s="375"/>
      <c r="F74" s="376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6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77" t="s">
        <v>423</v>
      </c>
      <c r="C76" s="378"/>
      <c r="D76" s="378"/>
      <c r="E76" s="378"/>
      <c r="F76" s="378"/>
      <c r="G76" s="378"/>
      <c r="H76" s="378"/>
      <c r="I76" s="378"/>
      <c r="J76" s="378"/>
      <c r="K76" s="378"/>
      <c r="L76" s="379"/>
    </row>
    <row r="77" spans="2:12" s="25" customFormat="1" ht="29.25" customHeight="1" x14ac:dyDescent="0.25">
      <c r="B77" s="22">
        <f>B73+1</f>
        <v>21</v>
      </c>
      <c r="C77" s="54" t="s">
        <v>424</v>
      </c>
      <c r="D77" s="22" t="s">
        <v>347</v>
      </c>
      <c r="E77" s="55" t="s">
        <v>425</v>
      </c>
      <c r="F77" s="60" t="s">
        <v>169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439</v>
      </c>
      <c r="D78" s="46" t="s">
        <v>347</v>
      </c>
      <c r="E78" s="50" t="s">
        <v>440</v>
      </c>
      <c r="F78" s="75" t="s">
        <v>101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f>SUM(H78:J78)+204.32</f>
        <v>7301.5599999999995</v>
      </c>
      <c r="L78" s="44">
        <f>+G78-K78</f>
        <v>22698.440000000002</v>
      </c>
    </row>
    <row r="79" spans="2:12" s="25" customFormat="1" ht="20.100000000000001" customHeight="1" x14ac:dyDescent="0.25">
      <c r="B79" s="374" t="s">
        <v>103</v>
      </c>
      <c r="C79" s="375"/>
      <c r="D79" s="375"/>
      <c r="E79" s="375"/>
      <c r="F79" s="376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35262.44</v>
      </c>
      <c r="L79" s="23">
        <f t="shared" si="17"/>
        <v>89737.56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6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77" t="s">
        <v>74</v>
      </c>
      <c r="C81" s="378"/>
      <c r="D81" s="378"/>
      <c r="E81" s="378"/>
      <c r="F81" s="378"/>
      <c r="G81" s="378"/>
      <c r="H81" s="378"/>
      <c r="I81" s="378"/>
      <c r="J81" s="378"/>
      <c r="K81" s="378"/>
      <c r="L81" s="379"/>
    </row>
    <row r="82" spans="2:12" s="25" customFormat="1" ht="30.75" customHeight="1" x14ac:dyDescent="0.25">
      <c r="B82" s="22">
        <f>+B78+1</f>
        <v>23</v>
      </c>
      <c r="C82" s="54" t="s">
        <v>390</v>
      </c>
      <c r="D82" s="22" t="s">
        <v>347</v>
      </c>
      <c r="E82" s="55" t="s">
        <v>391</v>
      </c>
      <c r="F82" s="60" t="s">
        <v>169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115</v>
      </c>
      <c r="D83" s="22" t="s">
        <v>347</v>
      </c>
      <c r="E83" s="55" t="s">
        <v>441</v>
      </c>
      <c r="F83" s="60" t="s">
        <v>100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103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6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86" t="s">
        <v>397</v>
      </c>
      <c r="C86" s="387"/>
      <c r="D86" s="387"/>
      <c r="E86" s="387"/>
      <c r="F86" s="387"/>
      <c r="G86" s="387"/>
      <c r="H86" s="387"/>
      <c r="I86" s="387"/>
      <c r="J86" s="387"/>
      <c r="K86" s="387"/>
      <c r="L86" s="388"/>
    </row>
    <row r="87" spans="2:12" s="25" customFormat="1" ht="33.75" customHeight="1" x14ac:dyDescent="0.25">
      <c r="B87" s="22">
        <f>+B83+1</f>
        <v>25</v>
      </c>
      <c r="C87" s="54" t="s">
        <v>396</v>
      </c>
      <c r="D87" s="22" t="s">
        <v>347</v>
      </c>
      <c r="E87" s="55" t="s">
        <v>557</v>
      </c>
      <c r="F87" s="60" t="s">
        <v>169</v>
      </c>
      <c r="G87" s="56">
        <v>35000</v>
      </c>
      <c r="H87" s="48">
        <v>1004.5</v>
      </c>
      <c r="I87" s="48">
        <v>1064</v>
      </c>
      <c r="J87" s="48">
        <v>6252.6124166666668</v>
      </c>
      <c r="K87" s="43">
        <f>SUM(H87:J87)</f>
        <v>8321.1124166666668</v>
      </c>
      <c r="L87" s="43">
        <f>+G87-K87</f>
        <v>26678.887583333333</v>
      </c>
    </row>
    <row r="88" spans="2:12" s="25" customFormat="1" ht="20.100000000000001" customHeight="1" x14ac:dyDescent="0.25">
      <c r="B88" s="374" t="s">
        <v>103</v>
      </c>
      <c r="C88" s="375"/>
      <c r="D88" s="375"/>
      <c r="E88" s="375"/>
      <c r="F88" s="376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6252.6124166666668</v>
      </c>
      <c r="K88" s="23">
        <f t="shared" si="19"/>
        <v>8321.1124166666668</v>
      </c>
      <c r="L88" s="23">
        <f t="shared" si="19"/>
        <v>26678.887583333333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6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83" t="s">
        <v>254</v>
      </c>
      <c r="C90" s="384"/>
      <c r="D90" s="384"/>
      <c r="E90" s="384"/>
      <c r="F90" s="384"/>
      <c r="G90" s="384"/>
      <c r="H90" s="384"/>
      <c r="I90" s="384"/>
      <c r="J90" s="384"/>
      <c r="K90" s="384"/>
      <c r="L90" s="385"/>
    </row>
    <row r="91" spans="2:12" s="35" customFormat="1" ht="31.5" customHeight="1" thickBot="1" x14ac:dyDescent="0.3">
      <c r="B91" s="34"/>
      <c r="C91" s="34"/>
      <c r="D91" s="34"/>
      <c r="E91" s="34"/>
      <c r="F91" s="96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83" t="s">
        <v>567</v>
      </c>
      <c r="C92" s="384"/>
      <c r="D92" s="384"/>
      <c r="E92" s="384"/>
      <c r="F92" s="384"/>
      <c r="G92" s="384"/>
      <c r="H92" s="384"/>
      <c r="I92" s="384"/>
      <c r="J92" s="384"/>
      <c r="K92" s="384"/>
      <c r="L92" s="385"/>
    </row>
    <row r="93" spans="2:12" s="25" customFormat="1" ht="36.75" customHeight="1" x14ac:dyDescent="0.25">
      <c r="B93" s="46">
        <f>+B87+1</f>
        <v>26</v>
      </c>
      <c r="C93" s="47" t="s">
        <v>63</v>
      </c>
      <c r="D93" s="46" t="s">
        <v>347</v>
      </c>
      <c r="E93" s="300" t="s">
        <v>566</v>
      </c>
      <c r="F93" s="75" t="s">
        <v>100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f>SUM(H93:J93)+204.32</f>
        <v>16341.119999999999</v>
      </c>
      <c r="L93" s="44">
        <f>+G93-K93</f>
        <v>38658.880000000005</v>
      </c>
    </row>
    <row r="94" spans="2:12" s="25" customFormat="1" ht="20.100000000000001" customHeight="1" x14ac:dyDescent="0.25">
      <c r="B94" s="374" t="s">
        <v>103</v>
      </c>
      <c r="C94" s="375"/>
      <c r="D94" s="375"/>
      <c r="E94" s="375"/>
      <c r="F94" s="376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16341.119999999999</v>
      </c>
      <c r="L94" s="23">
        <f t="shared" si="20"/>
        <v>38658.880000000005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6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83" t="s">
        <v>257</v>
      </c>
      <c r="C96" s="384"/>
      <c r="D96" s="384"/>
      <c r="E96" s="384"/>
      <c r="F96" s="384"/>
      <c r="G96" s="384"/>
      <c r="H96" s="384"/>
      <c r="I96" s="384"/>
      <c r="J96" s="384"/>
      <c r="K96" s="384"/>
      <c r="L96" s="385"/>
    </row>
    <row r="97" spans="2:12" s="25" customFormat="1" ht="28.5" customHeight="1" x14ac:dyDescent="0.25">
      <c r="B97" s="46">
        <f>+B93+1</f>
        <v>27</v>
      </c>
      <c r="C97" s="47" t="s">
        <v>500</v>
      </c>
      <c r="D97" s="46" t="s">
        <v>347</v>
      </c>
      <c r="E97" s="300" t="s">
        <v>510</v>
      </c>
      <c r="F97" s="75" t="s">
        <v>101</v>
      </c>
      <c r="G97" s="48">
        <v>45000</v>
      </c>
      <c r="H97" s="43">
        <f>+G97*2.87%</f>
        <v>1291.5</v>
      </c>
      <c r="I97" s="43">
        <f>+G97*3.04%</f>
        <v>1368</v>
      </c>
      <c r="J97" s="43">
        <v>10585.124999999998</v>
      </c>
      <c r="K97" s="43">
        <f>SUM(H97:J97)</f>
        <v>13244.624999999998</v>
      </c>
      <c r="L97" s="44">
        <f>+G97-K97</f>
        <v>31755.375</v>
      </c>
    </row>
    <row r="98" spans="2:12" s="25" customFormat="1" ht="20.100000000000001" customHeight="1" x14ac:dyDescent="0.25">
      <c r="B98" s="374" t="s">
        <v>103</v>
      </c>
      <c r="C98" s="375"/>
      <c r="D98" s="375"/>
      <c r="E98" s="375"/>
      <c r="F98" s="376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10585.124999999998</v>
      </c>
      <c r="K98" s="23">
        <f t="shared" si="21"/>
        <v>13244.624999999998</v>
      </c>
      <c r="L98" s="23">
        <f t="shared" si="21"/>
        <v>31755.375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6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83" t="s">
        <v>150</v>
      </c>
      <c r="C100" s="384"/>
      <c r="D100" s="384"/>
      <c r="E100" s="384"/>
      <c r="F100" s="384"/>
      <c r="G100" s="384"/>
      <c r="H100" s="384"/>
      <c r="I100" s="384"/>
      <c r="J100" s="384"/>
      <c r="K100" s="384"/>
      <c r="L100" s="385"/>
    </row>
    <row r="101" spans="2:12" s="25" customFormat="1" ht="27.75" customHeight="1" x14ac:dyDescent="0.25">
      <c r="B101" s="22">
        <f>+B97+1</f>
        <v>28</v>
      </c>
      <c r="C101" s="54" t="s">
        <v>388</v>
      </c>
      <c r="D101" s="22" t="s">
        <v>346</v>
      </c>
      <c r="E101" s="60" t="s">
        <v>389</v>
      </c>
      <c r="F101" s="60" t="s">
        <v>169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74" t="s">
        <v>103</v>
      </c>
      <c r="C102" s="375"/>
      <c r="D102" s="375"/>
      <c r="E102" s="375"/>
      <c r="F102" s="376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6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71" t="s">
        <v>265</v>
      </c>
      <c r="C104" s="372"/>
      <c r="D104" s="372"/>
      <c r="E104" s="372"/>
      <c r="F104" s="372"/>
      <c r="G104" s="372"/>
      <c r="H104" s="372"/>
      <c r="I104" s="372"/>
      <c r="J104" s="372"/>
      <c r="K104" s="372"/>
      <c r="L104" s="373"/>
    </row>
    <row r="105" spans="2:12" s="25" customFormat="1" ht="33" customHeight="1" x14ac:dyDescent="0.25">
      <c r="B105" s="46">
        <f>+B101+1</f>
        <v>29</v>
      </c>
      <c r="C105" s="54" t="s">
        <v>124</v>
      </c>
      <c r="D105" s="22" t="s">
        <v>346</v>
      </c>
      <c r="E105" s="54" t="s">
        <v>350</v>
      </c>
      <c r="F105" s="60" t="s">
        <v>100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5368.4498333333331</v>
      </c>
      <c r="K105" s="53">
        <f>SUM(H105:J105)</f>
        <v>7436.9498333333331</v>
      </c>
      <c r="L105" s="44">
        <f>+G105-K105</f>
        <v>27563.050166666668</v>
      </c>
    </row>
    <row r="106" spans="2:12" s="25" customFormat="1" ht="20.100000000000001" customHeight="1" x14ac:dyDescent="0.25">
      <c r="B106" s="374" t="s">
        <v>103</v>
      </c>
      <c r="C106" s="375"/>
      <c r="D106" s="375"/>
      <c r="E106" s="375"/>
      <c r="F106" s="376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6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71" t="s">
        <v>13</v>
      </c>
      <c r="C108" s="372"/>
      <c r="D108" s="372"/>
      <c r="E108" s="372"/>
      <c r="F108" s="372"/>
      <c r="G108" s="372"/>
      <c r="H108" s="372"/>
      <c r="I108" s="372"/>
      <c r="J108" s="372"/>
      <c r="K108" s="372"/>
      <c r="L108" s="373"/>
    </row>
    <row r="109" spans="2:12" s="25" customFormat="1" ht="20.100000000000001" customHeight="1" x14ac:dyDescent="0.25">
      <c r="B109" s="46">
        <f>+B105+1</f>
        <v>30</v>
      </c>
      <c r="C109" s="54" t="s">
        <v>659</v>
      </c>
      <c r="D109" s="22" t="s">
        <v>347</v>
      </c>
      <c r="E109" s="54" t="s">
        <v>660</v>
      </c>
      <c r="F109" s="60" t="s">
        <v>100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1199.6500000000001</v>
      </c>
      <c r="K109" s="53">
        <f>SUM(H109:J109)</f>
        <v>1702</v>
      </c>
      <c r="L109" s="44">
        <f>+G109-K109</f>
        <v>6798</v>
      </c>
    </row>
    <row r="110" spans="2:12" s="25" customFormat="1" ht="20.100000000000001" customHeight="1" x14ac:dyDescent="0.25">
      <c r="B110" s="374" t="s">
        <v>103</v>
      </c>
      <c r="C110" s="375"/>
      <c r="D110" s="375"/>
      <c r="E110" s="375"/>
      <c r="F110" s="376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1199.6500000000001</v>
      </c>
      <c r="K110" s="23">
        <f t="shared" si="24"/>
        <v>1702</v>
      </c>
      <c r="L110" s="23">
        <f t="shared" si="24"/>
        <v>6798</v>
      </c>
    </row>
    <row r="111" spans="2:12" s="25" customFormat="1" ht="20.100000000000001" customHeight="1" x14ac:dyDescent="0.25">
      <c r="B111" s="34"/>
      <c r="C111" s="34"/>
      <c r="D111" s="34"/>
      <c r="E111" s="34"/>
      <c r="F111" s="96"/>
      <c r="G111" s="26"/>
      <c r="H111" s="26"/>
      <c r="I111" s="26"/>
      <c r="J111" s="26"/>
      <c r="K111" s="26"/>
      <c r="L111" s="26"/>
    </row>
    <row r="112" spans="2:12" s="25" customFormat="1" ht="20.100000000000001" customHeight="1" thickBot="1" x14ac:dyDescent="0.3">
      <c r="B112" s="34"/>
      <c r="C112" s="34"/>
      <c r="D112" s="34"/>
      <c r="E112" s="34"/>
      <c r="F112" s="96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71" t="s">
        <v>178</v>
      </c>
      <c r="C113" s="372"/>
      <c r="D113" s="372"/>
      <c r="E113" s="372"/>
      <c r="F113" s="372"/>
      <c r="G113" s="372"/>
      <c r="H113" s="372"/>
      <c r="I113" s="372"/>
      <c r="J113" s="372"/>
      <c r="K113" s="372"/>
      <c r="L113" s="373"/>
    </row>
    <row r="114" spans="2:12" s="25" customFormat="1" ht="31.5" customHeight="1" x14ac:dyDescent="0.25">
      <c r="B114" s="42">
        <f>+B109+1</f>
        <v>31</v>
      </c>
      <c r="C114" s="57" t="s">
        <v>67</v>
      </c>
      <c r="D114" s="58" t="s">
        <v>346</v>
      </c>
      <c r="E114" s="65" t="s">
        <v>520</v>
      </c>
      <c r="F114" s="65" t="s">
        <v>100</v>
      </c>
      <c r="G114" s="53">
        <v>40000</v>
      </c>
      <c r="H114" s="71">
        <v>1148</v>
      </c>
      <c r="I114" s="71">
        <v>1216</v>
      </c>
      <c r="J114" s="43">
        <v>8481.84</v>
      </c>
      <c r="K114" s="53">
        <f>SUM(H114:J114)+204.32</f>
        <v>11050.16</v>
      </c>
      <c r="L114" s="44">
        <f>+G114-K114</f>
        <v>28949.84</v>
      </c>
    </row>
    <row r="115" spans="2:12" s="35" customFormat="1" ht="22.5" customHeight="1" x14ac:dyDescent="0.25">
      <c r="B115" s="46">
        <f>+B114+1</f>
        <v>32</v>
      </c>
      <c r="C115" s="54" t="s">
        <v>271</v>
      </c>
      <c r="D115" s="22" t="s">
        <v>347</v>
      </c>
      <c r="E115" s="54" t="s">
        <v>351</v>
      </c>
      <c r="F115" s="60" t="s">
        <v>100</v>
      </c>
      <c r="G115" s="56">
        <v>30800</v>
      </c>
      <c r="H115" s="43">
        <f>+G115*2.87%</f>
        <v>883.96</v>
      </c>
      <c r="I115" s="43">
        <f>+G115*3.04%</f>
        <v>936.32</v>
      </c>
      <c r="J115" s="43">
        <v>1854</v>
      </c>
      <c r="K115" s="53">
        <f>SUM(H115:J115)</f>
        <v>3674.28</v>
      </c>
      <c r="L115" s="44">
        <f>+G115-K115</f>
        <v>27125.72</v>
      </c>
    </row>
    <row r="116" spans="2:12" s="25" customFormat="1" ht="20.100000000000001" customHeight="1" x14ac:dyDescent="0.25">
      <c r="B116" s="374" t="s">
        <v>103</v>
      </c>
      <c r="C116" s="375"/>
      <c r="D116" s="375"/>
      <c r="E116" s="375"/>
      <c r="F116" s="376"/>
      <c r="G116" s="23">
        <f>SUM(G114:G115)</f>
        <v>70800</v>
      </c>
      <c r="H116" s="23">
        <f t="shared" ref="H116:I116" si="25">SUM(H114:H115)</f>
        <v>2031.96</v>
      </c>
      <c r="I116" s="23">
        <f t="shared" si="25"/>
        <v>2152.3200000000002</v>
      </c>
      <c r="J116" s="23">
        <f>SUM(J114:J115)</f>
        <v>10335.84</v>
      </c>
      <c r="K116" s="23">
        <f t="shared" ref="K116:L116" si="26">SUM(K114:K115)</f>
        <v>14724.44</v>
      </c>
      <c r="L116" s="23">
        <f t="shared" si="26"/>
        <v>56075.56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6"/>
      <c r="G117" s="26"/>
      <c r="H117" s="26"/>
      <c r="I117" s="26"/>
      <c r="J117" s="26"/>
      <c r="K117" s="26"/>
      <c r="L117" s="26"/>
    </row>
    <row r="118" spans="2:12" s="45" customFormat="1" ht="27.75" customHeight="1" thickBot="1" x14ac:dyDescent="0.3">
      <c r="B118" s="386" t="s">
        <v>177</v>
      </c>
      <c r="C118" s="387"/>
      <c r="D118" s="387"/>
      <c r="E118" s="387"/>
      <c r="F118" s="387"/>
      <c r="G118" s="387"/>
      <c r="H118" s="387"/>
      <c r="I118" s="387"/>
      <c r="J118" s="387"/>
      <c r="K118" s="387"/>
      <c r="L118" s="388"/>
    </row>
    <row r="119" spans="2:12" s="25" customFormat="1" ht="22.5" customHeight="1" x14ac:dyDescent="0.25">
      <c r="B119" s="46">
        <f>+B115+1</f>
        <v>33</v>
      </c>
      <c r="C119" s="54" t="s">
        <v>438</v>
      </c>
      <c r="D119" s="22" t="s">
        <v>346</v>
      </c>
      <c r="E119" s="54" t="s">
        <v>502</v>
      </c>
      <c r="F119" s="60" t="s">
        <v>101</v>
      </c>
      <c r="G119" s="56">
        <v>25000</v>
      </c>
      <c r="H119" s="43">
        <f>+G119*2.87%</f>
        <v>717.5</v>
      </c>
      <c r="I119" s="43">
        <f>+G119*3.04%</f>
        <v>760</v>
      </c>
      <c r="J119" s="48">
        <v>3858.29</v>
      </c>
      <c r="K119" s="53">
        <f>SUM(H119:J119)+204.32</f>
        <v>5540.11</v>
      </c>
      <c r="L119" s="44">
        <f>+G119-K119</f>
        <v>19459.89</v>
      </c>
    </row>
    <row r="120" spans="2:12" s="25" customFormat="1" ht="20.100000000000001" customHeight="1" x14ac:dyDescent="0.25">
      <c r="B120" s="374" t="s">
        <v>103</v>
      </c>
      <c r="C120" s="375"/>
      <c r="D120" s="375"/>
      <c r="E120" s="375"/>
      <c r="F120" s="376"/>
      <c r="G120" s="23">
        <f t="shared" ref="G120:L120" si="27">SUM(G119:G119)</f>
        <v>25000</v>
      </c>
      <c r="H120" s="23">
        <f t="shared" si="27"/>
        <v>717.5</v>
      </c>
      <c r="I120" s="23">
        <f t="shared" si="27"/>
        <v>760</v>
      </c>
      <c r="J120" s="23">
        <f t="shared" si="27"/>
        <v>3858.29</v>
      </c>
      <c r="K120" s="23">
        <f t="shared" si="27"/>
        <v>5540.11</v>
      </c>
      <c r="L120" s="23">
        <f t="shared" si="27"/>
        <v>19459.89</v>
      </c>
    </row>
    <row r="121" spans="2:12" s="45" customFormat="1" ht="20.100000000000001" customHeight="1" thickBot="1" x14ac:dyDescent="0.3">
      <c r="B121" s="34"/>
      <c r="C121" s="34"/>
      <c r="D121" s="34"/>
      <c r="E121" s="34"/>
      <c r="F121" s="96"/>
      <c r="G121" s="26"/>
      <c r="H121" s="26"/>
      <c r="I121" s="26"/>
      <c r="J121" s="26"/>
      <c r="K121" s="26"/>
      <c r="L121" s="26"/>
    </row>
    <row r="122" spans="2:12" s="45" customFormat="1" ht="20.100000000000001" customHeight="1" thickBot="1" x14ac:dyDescent="0.3">
      <c r="B122" s="371" t="s">
        <v>151</v>
      </c>
      <c r="C122" s="372"/>
      <c r="D122" s="372"/>
      <c r="E122" s="372"/>
      <c r="F122" s="372"/>
      <c r="G122" s="372"/>
      <c r="H122" s="372"/>
      <c r="I122" s="372"/>
      <c r="J122" s="372"/>
      <c r="K122" s="372"/>
      <c r="L122" s="373"/>
    </row>
    <row r="123" spans="2:12" s="25" customFormat="1" ht="20.100000000000001" customHeight="1" x14ac:dyDescent="0.25">
      <c r="B123" s="46">
        <f>+B119+1</f>
        <v>34</v>
      </c>
      <c r="C123" s="54" t="s">
        <v>35</v>
      </c>
      <c r="D123" s="22" t="s">
        <v>347</v>
      </c>
      <c r="E123" s="54" t="s">
        <v>293</v>
      </c>
      <c r="F123" s="60" t="s">
        <v>101</v>
      </c>
      <c r="G123" s="56">
        <v>12500</v>
      </c>
      <c r="H123" s="43">
        <f>+G123*2.87%</f>
        <v>358.75</v>
      </c>
      <c r="I123" s="43">
        <f>+G123*3.04%</f>
        <v>380</v>
      </c>
      <c r="J123" s="48">
        <v>1213.2</v>
      </c>
      <c r="K123" s="53">
        <f>SUM(H123:J123)+204.32</f>
        <v>2156.27</v>
      </c>
      <c r="L123" s="44">
        <f>+G123-K123</f>
        <v>10343.73</v>
      </c>
    </row>
    <row r="124" spans="2:12" s="25" customFormat="1" ht="20.100000000000001" customHeight="1" x14ac:dyDescent="0.25">
      <c r="B124" s="374" t="s">
        <v>103</v>
      </c>
      <c r="C124" s="375"/>
      <c r="D124" s="375"/>
      <c r="E124" s="375"/>
      <c r="F124" s="376"/>
      <c r="G124" s="23">
        <f>+G123</f>
        <v>12500</v>
      </c>
      <c r="H124" s="23">
        <f t="shared" ref="H124:L124" si="28">+H123</f>
        <v>358.75</v>
      </c>
      <c r="I124" s="23">
        <f t="shared" si="28"/>
        <v>380</v>
      </c>
      <c r="J124" s="23">
        <f t="shared" si="28"/>
        <v>1213.2</v>
      </c>
      <c r="K124" s="23">
        <f t="shared" si="28"/>
        <v>2156.27</v>
      </c>
      <c r="L124" s="23">
        <f t="shared" si="28"/>
        <v>10343.73</v>
      </c>
    </row>
    <row r="125" spans="2:12" s="25" customFormat="1" ht="20.100000000000001" customHeight="1" thickBot="1" x14ac:dyDescent="0.3">
      <c r="B125" s="27"/>
      <c r="C125" s="32"/>
      <c r="D125" s="62"/>
      <c r="E125" s="32"/>
      <c r="F125" s="40"/>
      <c r="G125" s="33"/>
    </row>
    <row r="126" spans="2:12" ht="25.5" customHeight="1" thickBot="1" x14ac:dyDescent="0.3">
      <c r="B126" s="36"/>
      <c r="C126" s="37" t="s">
        <v>353</v>
      </c>
      <c r="D126" s="63"/>
      <c r="E126" s="38"/>
      <c r="F126" s="93"/>
      <c r="G126" s="39">
        <f t="shared" ref="G126:L126" si="29">+G9+G13+G17+G21+G24+G28+G33+G38+G42+G46+G50+G54+G59+G62+G66+G70+G74+G79+G84+G88+G94+G98+G102+G106+G116+G120+G124+G110</f>
        <v>1510550</v>
      </c>
      <c r="H126" s="39">
        <f t="shared" si="29"/>
        <v>43352.784999999996</v>
      </c>
      <c r="I126" s="39">
        <f t="shared" si="29"/>
        <v>45920.72</v>
      </c>
      <c r="J126" s="39">
        <f t="shared" si="29"/>
        <v>327389.34579166665</v>
      </c>
      <c r="K126" s="39">
        <f t="shared" si="29"/>
        <v>419727.65079166659</v>
      </c>
      <c r="L126" s="39">
        <f t="shared" si="29"/>
        <v>1090822.3492083331</v>
      </c>
    </row>
    <row r="127" spans="2:12" ht="20.100000000000001" customHeight="1" x14ac:dyDescent="0.25">
      <c r="B127" s="14"/>
      <c r="C127" s="13"/>
      <c r="D127" s="14"/>
      <c r="E127" s="13"/>
      <c r="F127" s="94"/>
      <c r="G127" s="7"/>
      <c r="H127" s="8"/>
      <c r="I127" s="8"/>
      <c r="J127" s="8"/>
      <c r="K127" s="8"/>
      <c r="L127" s="83"/>
    </row>
    <row r="128" spans="2:12" ht="20.100000000000001" customHeight="1" x14ac:dyDescent="0.25">
      <c r="B128" s="14"/>
      <c r="C128" s="13"/>
      <c r="D128" s="14"/>
      <c r="E128" s="13"/>
      <c r="F128" s="94"/>
      <c r="G128" s="7"/>
      <c r="H128" s="8"/>
      <c r="I128" s="8"/>
      <c r="J128" s="8"/>
      <c r="K128" s="8"/>
      <c r="L128" s="8"/>
    </row>
    <row r="129" spans="3:12" ht="20.100000000000001" customHeight="1" thickBot="1" x14ac:dyDescent="0.3">
      <c r="C129" s="369" t="s">
        <v>90</v>
      </c>
      <c r="D129" s="369"/>
      <c r="E129" s="1"/>
      <c r="F129" s="369" t="s">
        <v>550</v>
      </c>
      <c r="G129" s="369"/>
    </row>
    <row r="130" spans="3:12" ht="38.25" customHeight="1" x14ac:dyDescent="0.25">
      <c r="C130" s="370" t="s">
        <v>558</v>
      </c>
      <c r="D130" s="370"/>
      <c r="E130" s="209"/>
      <c r="F130" s="358" t="s">
        <v>392</v>
      </c>
      <c r="G130" s="358"/>
      <c r="H130" s="329"/>
      <c r="L130" s="4"/>
    </row>
    <row r="131" spans="3:12" ht="20.100000000000001" customHeight="1" x14ac:dyDescent="0.25">
      <c r="C131" s="389"/>
      <c r="D131" s="389"/>
      <c r="E131" s="209"/>
      <c r="F131" s="389"/>
      <c r="G131" s="389"/>
    </row>
    <row r="132" spans="3:12" ht="20.100000000000001" customHeight="1" x14ac:dyDescent="0.25">
      <c r="C132" s="10"/>
      <c r="D132" s="64"/>
      <c r="E132" s="9"/>
      <c r="F132" s="97"/>
      <c r="G132" s="97"/>
    </row>
    <row r="16650" spans="3:3" ht="20.100000000000001" customHeight="1" x14ac:dyDescent="0.2">
      <c r="C16650" s="12">
        <f>SUM(C6:C16649)</f>
        <v>0</v>
      </c>
    </row>
    <row r="16652" spans="3:3" ht="20.100000000000001" customHeight="1" x14ac:dyDescent="0.2">
      <c r="C16652" s="12">
        <f>SUM(C16650)</f>
        <v>0</v>
      </c>
    </row>
    <row r="999975" spans="11:11" ht="20.100000000000001" customHeight="1" x14ac:dyDescent="0.2">
      <c r="K999975" s="5" t="e">
        <f>SUM(#REF!)</f>
        <v>#REF!</v>
      </c>
    </row>
  </sheetData>
  <mergeCells count="67">
    <mergeCell ref="F131:G131"/>
    <mergeCell ref="C131:D131"/>
    <mergeCell ref="B118:L118"/>
    <mergeCell ref="B120:F120"/>
    <mergeCell ref="B116:F116"/>
    <mergeCell ref="B122:L122"/>
    <mergeCell ref="B124:F124"/>
    <mergeCell ref="C129:D129"/>
    <mergeCell ref="F129:G129"/>
    <mergeCell ref="C130:D130"/>
    <mergeCell ref="F130:G130"/>
    <mergeCell ref="B113:L113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4" manualBreakCount="4">
    <brk id="38" min="1" max="11" man="1"/>
    <brk id="70" min="1" max="11" man="1"/>
    <brk id="99" min="1" max="11" man="1"/>
    <brk id="137" min="1" max="11" man="1"/>
  </rowBreaks>
  <ignoredErrors>
    <ignoredError sqref="K41 K82 K69 K53 K77 K8 K32 K8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877146"/>
  <sheetViews>
    <sheetView showGridLines="0" view="pageBreakPreview" topLeftCell="A13" zoomScale="90" zoomScaleNormal="70" zoomScaleSheetLayoutView="90" workbookViewId="0">
      <selection activeCell="C24" sqref="C24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43.85546875" style="116" customWidth="1"/>
    <col min="3" max="3" width="8.85546875" style="116" customWidth="1"/>
    <col min="4" max="4" width="47.85546875" style="116" customWidth="1"/>
    <col min="5" max="5" width="54.140625" style="116" customWidth="1"/>
    <col min="6" max="6" width="18.5703125" style="129" customWidth="1"/>
    <col min="7" max="8" width="15" style="116" customWidth="1"/>
    <col min="9" max="9" width="14.140625" style="116" customWidth="1"/>
    <col min="10" max="10" width="15" style="116" customWidth="1"/>
    <col min="11" max="11" width="18.140625" style="116" customWidth="1"/>
    <col min="12" max="12" width="18.28515625" style="116" bestFit="1" customWidth="1"/>
    <col min="13" max="13" width="14.85546875" style="116" customWidth="1"/>
    <col min="14" max="14" width="18.7109375" style="116" customWidth="1"/>
    <col min="15" max="15" width="17.7109375" style="127" customWidth="1"/>
    <col min="16" max="16384" width="11.42578125" style="116"/>
  </cols>
  <sheetData>
    <row r="1" spans="1:16" ht="20.100000000000001" customHeight="1" x14ac:dyDescent="0.2">
      <c r="A1" s="348" t="s">
        <v>336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</row>
    <row r="2" spans="1:16" ht="20.100000000000001" customHeight="1" x14ac:dyDescent="0.2">
      <c r="A2" s="349" t="s">
        <v>337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</row>
    <row r="3" spans="1:16" ht="20.100000000000001" customHeight="1" x14ac:dyDescent="0.2">
      <c r="A3" s="350" t="s">
        <v>667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128"/>
    </row>
    <row r="4" spans="1:16" ht="20.100000000000001" customHeight="1" thickBo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8"/>
    </row>
    <row r="5" spans="1:16" ht="20.100000000000001" customHeight="1" thickBot="1" x14ac:dyDescent="0.25">
      <c r="A5" s="129"/>
      <c r="B5" s="115"/>
      <c r="C5" s="115"/>
      <c r="D5" s="115"/>
      <c r="F5" s="130"/>
      <c r="G5" s="390" t="s">
        <v>99</v>
      </c>
      <c r="H5" s="391"/>
      <c r="I5" s="99"/>
      <c r="J5" s="99"/>
      <c r="K5" s="129"/>
      <c r="L5" s="129"/>
      <c r="M5" s="129"/>
      <c r="N5" s="129"/>
      <c r="O5" s="131"/>
    </row>
    <row r="6" spans="1:16" s="129" customFormat="1" ht="42" customHeight="1" x14ac:dyDescent="0.2">
      <c r="A6" s="307" t="s">
        <v>0</v>
      </c>
      <c r="B6" s="307" t="s">
        <v>302</v>
      </c>
      <c r="C6" s="307" t="s">
        <v>348</v>
      </c>
      <c r="D6" s="307" t="s">
        <v>104</v>
      </c>
      <c r="E6" s="307" t="s">
        <v>105</v>
      </c>
      <c r="F6" s="307" t="s">
        <v>102</v>
      </c>
      <c r="G6" s="307" t="s">
        <v>1</v>
      </c>
      <c r="H6" s="307" t="s">
        <v>2</v>
      </c>
      <c r="I6" s="307" t="s">
        <v>457</v>
      </c>
      <c r="J6" s="307" t="s">
        <v>454</v>
      </c>
      <c r="K6" s="307" t="s">
        <v>455</v>
      </c>
      <c r="L6" s="307" t="s">
        <v>94</v>
      </c>
      <c r="M6" s="307" t="s">
        <v>96</v>
      </c>
      <c r="N6" s="307" t="s">
        <v>3</v>
      </c>
      <c r="O6" s="307" t="s">
        <v>95</v>
      </c>
    </row>
    <row r="7" spans="1:16" s="129" customFormat="1" ht="35.1" customHeight="1" x14ac:dyDescent="0.2">
      <c r="A7" s="310">
        <v>1</v>
      </c>
      <c r="B7" s="316" t="s">
        <v>206</v>
      </c>
      <c r="C7" s="156" t="s">
        <v>347</v>
      </c>
      <c r="D7" s="157" t="s">
        <v>128</v>
      </c>
      <c r="E7" s="157" t="s">
        <v>153</v>
      </c>
      <c r="F7" s="317">
        <v>155000</v>
      </c>
      <c r="G7" s="133">
        <f t="shared" ref="G7:G12" si="0">F7*2.87%</f>
        <v>4448.5</v>
      </c>
      <c r="H7" s="133">
        <f t="shared" ref="H7:H12" si="1">+F7*3.04%</f>
        <v>4712</v>
      </c>
      <c r="I7" s="317"/>
      <c r="J7" s="133">
        <f>+G7+H7+I7</f>
        <v>9160.5</v>
      </c>
      <c r="K7" s="133">
        <f>+F7-J7</f>
        <v>145839.5</v>
      </c>
      <c r="L7" s="133">
        <f>+IF(K7*12&lt;=416220.01,0,IF(K7*12&lt;=624329.01,(((K7*12-416220.01)*0.15)/12),IF((K7*12&lt;=867123.01),(31216+0.2*(K7*12-624329.01))/12,((79776+0.25*(K7*12-867123.01))/12))))</f>
        <v>25042.812291666665</v>
      </c>
      <c r="M7" s="133">
        <v>10350.540000000001</v>
      </c>
      <c r="N7" s="133">
        <f>+M7+L7+J7</f>
        <v>44553.85229166667</v>
      </c>
      <c r="O7" s="318">
        <f>+F7-N7</f>
        <v>110446.14770833333</v>
      </c>
    </row>
    <row r="8" spans="1:16" s="127" customFormat="1" ht="35.1" customHeight="1" x14ac:dyDescent="0.2">
      <c r="A8" s="310">
        <v>2</v>
      </c>
      <c r="B8" s="304" t="s">
        <v>220</v>
      </c>
      <c r="C8" s="111" t="s">
        <v>347</v>
      </c>
      <c r="D8" s="110" t="s">
        <v>591</v>
      </c>
      <c r="E8" s="110" t="s">
        <v>573</v>
      </c>
      <c r="F8" s="319">
        <v>155000</v>
      </c>
      <c r="G8" s="133">
        <f t="shared" si="0"/>
        <v>4448.5</v>
      </c>
      <c r="H8" s="133">
        <f t="shared" si="1"/>
        <v>4712</v>
      </c>
      <c r="I8" s="317">
        <v>1715.46</v>
      </c>
      <c r="J8" s="133">
        <f t="shared" ref="J8:J20" si="2">+G8+H8+I8</f>
        <v>10875.96</v>
      </c>
      <c r="K8" s="133">
        <f t="shared" ref="K8:K10" si="3">+F8-J8</f>
        <v>144124.04</v>
      </c>
      <c r="L8" s="133">
        <f t="shared" ref="L8:L20" si="4">+IF(K8*12&lt;=416220.01,0,IF(K8*12&lt;=624329.01,(((K8*12-416220.01)*0.15)/12),IF((K8*12&lt;=867123.01),(31216+0.2*(K8*12-624329.01))/12,((79776+0.25*(K8*12-867123.01))/12))))</f>
        <v>24613.947291666667</v>
      </c>
      <c r="M8" s="133">
        <v>25</v>
      </c>
      <c r="N8" s="133">
        <f t="shared" ref="N8:N20" si="5">+M8+L8+J8</f>
        <v>35514.907291666663</v>
      </c>
      <c r="O8" s="318">
        <f t="shared" ref="O8:O20" si="6">+F8-N8</f>
        <v>119485.09270833334</v>
      </c>
    </row>
    <row r="9" spans="1:16" s="131" customFormat="1" ht="35.1" customHeight="1" x14ac:dyDescent="0.2">
      <c r="A9" s="310">
        <v>3</v>
      </c>
      <c r="B9" s="304" t="s">
        <v>214</v>
      </c>
      <c r="C9" s="111" t="s">
        <v>347</v>
      </c>
      <c r="D9" s="110" t="s">
        <v>399</v>
      </c>
      <c r="E9" s="110" t="s">
        <v>215</v>
      </c>
      <c r="F9" s="319">
        <v>155000</v>
      </c>
      <c r="G9" s="133">
        <f t="shared" si="0"/>
        <v>4448.5</v>
      </c>
      <c r="H9" s="133">
        <f t="shared" si="1"/>
        <v>4712</v>
      </c>
      <c r="I9" s="319"/>
      <c r="J9" s="133">
        <f t="shared" si="2"/>
        <v>9160.5</v>
      </c>
      <c r="K9" s="133">
        <f t="shared" si="3"/>
        <v>145839.5</v>
      </c>
      <c r="L9" s="133">
        <f t="shared" si="4"/>
        <v>25042.812291666665</v>
      </c>
      <c r="M9" s="139">
        <v>25</v>
      </c>
      <c r="N9" s="133">
        <f t="shared" si="5"/>
        <v>34228.312291666662</v>
      </c>
      <c r="O9" s="318">
        <f t="shared" si="6"/>
        <v>120771.68770833334</v>
      </c>
    </row>
    <row r="10" spans="1:16" s="131" customFormat="1" ht="35.1" customHeight="1" x14ac:dyDescent="0.2">
      <c r="A10" s="310">
        <v>4</v>
      </c>
      <c r="B10" s="304" t="s">
        <v>48</v>
      </c>
      <c r="C10" s="111" t="s">
        <v>346</v>
      </c>
      <c r="D10" s="110" t="s">
        <v>399</v>
      </c>
      <c r="E10" s="110" t="s">
        <v>605</v>
      </c>
      <c r="F10" s="319">
        <v>110000</v>
      </c>
      <c r="G10" s="133">
        <f t="shared" si="0"/>
        <v>3157</v>
      </c>
      <c r="H10" s="133">
        <f t="shared" si="1"/>
        <v>3344</v>
      </c>
      <c r="I10" s="319"/>
      <c r="J10" s="133">
        <f t="shared" si="2"/>
        <v>6501</v>
      </c>
      <c r="K10" s="133">
        <f t="shared" si="3"/>
        <v>103499</v>
      </c>
      <c r="L10" s="133">
        <f t="shared" si="4"/>
        <v>14457.687291666667</v>
      </c>
      <c r="M10" s="139">
        <f>10125+100</f>
        <v>10225</v>
      </c>
      <c r="N10" s="133">
        <f t="shared" si="5"/>
        <v>31183.687291666669</v>
      </c>
      <c r="O10" s="318">
        <f t="shared" si="6"/>
        <v>78816.312708333338</v>
      </c>
    </row>
    <row r="11" spans="1:16" s="131" customFormat="1" ht="35.1" customHeight="1" x14ac:dyDescent="0.2">
      <c r="A11" s="310">
        <v>5</v>
      </c>
      <c r="B11" s="304" t="s">
        <v>213</v>
      </c>
      <c r="C11" s="111" t="s">
        <v>347</v>
      </c>
      <c r="D11" s="110" t="s">
        <v>130</v>
      </c>
      <c r="E11" s="110" t="s">
        <v>605</v>
      </c>
      <c r="F11" s="319">
        <v>100000</v>
      </c>
      <c r="G11" s="139">
        <f t="shared" si="0"/>
        <v>2870</v>
      </c>
      <c r="H11" s="139">
        <f t="shared" si="1"/>
        <v>3040</v>
      </c>
      <c r="I11" s="319"/>
      <c r="J11" s="133">
        <f t="shared" si="2"/>
        <v>5910</v>
      </c>
      <c r="K11" s="139">
        <f>+F11-J11</f>
        <v>94090</v>
      </c>
      <c r="L11" s="133">
        <f t="shared" si="4"/>
        <v>12105.437291666667</v>
      </c>
      <c r="M11" s="139">
        <f>10436.33+100</f>
        <v>10536.33</v>
      </c>
      <c r="N11" s="133">
        <f t="shared" si="5"/>
        <v>28551.767291666667</v>
      </c>
      <c r="O11" s="318">
        <f t="shared" si="6"/>
        <v>71448.232708333337</v>
      </c>
    </row>
    <row r="12" spans="1:16" ht="35.1" customHeight="1" x14ac:dyDescent="0.2">
      <c r="A12" s="310">
        <v>6</v>
      </c>
      <c r="B12" s="304" t="s">
        <v>198</v>
      </c>
      <c r="C12" s="111" t="s">
        <v>346</v>
      </c>
      <c r="D12" s="112" t="s">
        <v>263</v>
      </c>
      <c r="E12" s="112" t="s">
        <v>12</v>
      </c>
      <c r="F12" s="139">
        <v>70000</v>
      </c>
      <c r="G12" s="139">
        <f t="shared" si="0"/>
        <v>2009</v>
      </c>
      <c r="H12" s="139">
        <f t="shared" si="1"/>
        <v>2128</v>
      </c>
      <c r="I12" s="139">
        <v>1715.46</v>
      </c>
      <c r="J12" s="133">
        <f>+G12+H12+I12</f>
        <v>5852.46</v>
      </c>
      <c r="K12" s="139">
        <f>+F12-J12</f>
        <v>64147.54</v>
      </c>
      <c r="L12" s="133">
        <f>+IF(K12*12&lt;=416220.01,0,IF(K12*12&lt;=624329.01,(((K12*12-416220.01)*0.15)/12),IF((K12*12&lt;=867123.01),(31216+0.2*(K12*12-624329.01))/12,((79776+0.25*(K12*12-867123.01))/12))))</f>
        <v>5025.3578333333326</v>
      </c>
      <c r="M12" s="139">
        <v>16572.77</v>
      </c>
      <c r="N12" s="133">
        <f>+M12+L12+J12</f>
        <v>27450.587833333331</v>
      </c>
      <c r="O12" s="318">
        <f>+F12-N12</f>
        <v>42549.412166666669</v>
      </c>
    </row>
    <row r="13" spans="1:16" s="137" customFormat="1" ht="35.1" customHeight="1" x14ac:dyDescent="0.2">
      <c r="A13" s="310">
        <v>7</v>
      </c>
      <c r="B13" s="304" t="s">
        <v>10</v>
      </c>
      <c r="C13" s="111" t="s">
        <v>346</v>
      </c>
      <c r="D13" s="110" t="s">
        <v>263</v>
      </c>
      <c r="E13" s="110" t="s">
        <v>261</v>
      </c>
      <c r="F13" s="319">
        <v>68000</v>
      </c>
      <c r="G13" s="139">
        <f t="shared" ref="G13" si="7">F13*2.87%</f>
        <v>1951.6</v>
      </c>
      <c r="H13" s="139">
        <f t="shared" ref="H13" si="8">+F13*3.04%</f>
        <v>2067.1999999999998</v>
      </c>
      <c r="I13" s="319"/>
      <c r="J13" s="133">
        <f t="shared" si="2"/>
        <v>4018.7999999999997</v>
      </c>
      <c r="K13" s="139">
        <f t="shared" ref="K13:K19" si="9">+F13-J13</f>
        <v>63981.2</v>
      </c>
      <c r="L13" s="133">
        <f t="shared" si="4"/>
        <v>4992.0898333333316</v>
      </c>
      <c r="M13" s="139">
        <v>15321.23</v>
      </c>
      <c r="N13" s="133">
        <f t="shared" si="5"/>
        <v>24332.11983333333</v>
      </c>
      <c r="O13" s="318">
        <f t="shared" si="6"/>
        <v>43667.88016666667</v>
      </c>
    </row>
    <row r="14" spans="1:16" s="152" customFormat="1" ht="42.75" customHeight="1" x14ac:dyDescent="0.2">
      <c r="A14" s="310">
        <v>9</v>
      </c>
      <c r="B14" s="304" t="s">
        <v>57</v>
      </c>
      <c r="C14" s="111" t="s">
        <v>347</v>
      </c>
      <c r="D14" s="110" t="s">
        <v>664</v>
      </c>
      <c r="E14" s="110" t="s">
        <v>54</v>
      </c>
      <c r="F14" s="139">
        <v>60000</v>
      </c>
      <c r="G14" s="139">
        <f>F14*2.87%</f>
        <v>1722</v>
      </c>
      <c r="H14" s="139">
        <f>+F14*3.04%</f>
        <v>1824</v>
      </c>
      <c r="I14" s="139">
        <v>3430.92</v>
      </c>
      <c r="J14" s="139">
        <f>+G14+H14+I14</f>
        <v>6976.92</v>
      </c>
      <c r="K14" s="139">
        <f>+F14-J14</f>
        <v>53023.08</v>
      </c>
      <c r="L14" s="139">
        <v>2800.47</v>
      </c>
      <c r="M14" s="139">
        <v>1025</v>
      </c>
      <c r="N14" s="139">
        <f>+M14+L14+J14</f>
        <v>10802.39</v>
      </c>
      <c r="O14" s="139">
        <f>+F14-N14</f>
        <v>49197.61</v>
      </c>
      <c r="P14" s="87"/>
    </row>
    <row r="15" spans="1:16" ht="35.1" customHeight="1" x14ac:dyDescent="0.2">
      <c r="A15" s="310">
        <v>10</v>
      </c>
      <c r="B15" s="316" t="s">
        <v>342</v>
      </c>
      <c r="C15" s="156" t="s">
        <v>346</v>
      </c>
      <c r="D15" s="320" t="s">
        <v>354</v>
      </c>
      <c r="E15" s="157" t="s">
        <v>343</v>
      </c>
      <c r="F15" s="133">
        <v>44000</v>
      </c>
      <c r="G15" s="133">
        <f t="shared" ref="G15" si="10">F15*2.87%</f>
        <v>1262.8</v>
      </c>
      <c r="H15" s="133">
        <f t="shared" ref="H15" si="11">+F15*3.04%</f>
        <v>1337.6</v>
      </c>
      <c r="I15" s="133"/>
      <c r="J15" s="133">
        <f t="shared" si="2"/>
        <v>2600.3999999999996</v>
      </c>
      <c r="K15" s="133">
        <f t="shared" si="9"/>
        <v>41399.599999999999</v>
      </c>
      <c r="L15" s="133">
        <f t="shared" si="4"/>
        <v>1007.1898749999992</v>
      </c>
      <c r="M15" s="321">
        <v>25</v>
      </c>
      <c r="N15" s="133">
        <f t="shared" si="5"/>
        <v>3632.5898749999988</v>
      </c>
      <c r="O15" s="318">
        <f t="shared" si="6"/>
        <v>40367.410125000002</v>
      </c>
    </row>
    <row r="16" spans="1:16" ht="35.1" customHeight="1" x14ac:dyDescent="0.2">
      <c r="A16" s="310">
        <v>11</v>
      </c>
      <c r="B16" s="304" t="s">
        <v>16</v>
      </c>
      <c r="C16" s="111" t="s">
        <v>347</v>
      </c>
      <c r="D16" s="110" t="s">
        <v>151</v>
      </c>
      <c r="E16" s="322" t="s">
        <v>506</v>
      </c>
      <c r="F16" s="305">
        <v>41500</v>
      </c>
      <c r="G16" s="306">
        <f t="shared" ref="G16:G19" si="12">F16*2.87%</f>
        <v>1191.05</v>
      </c>
      <c r="H16" s="306">
        <f t="shared" ref="H16:H19" si="13">+F16*3.04%</f>
        <v>1261.5999999999999</v>
      </c>
      <c r="I16" s="305"/>
      <c r="J16" s="133">
        <f t="shared" si="2"/>
        <v>2452.6499999999996</v>
      </c>
      <c r="K16" s="306">
        <f t="shared" si="9"/>
        <v>39047.35</v>
      </c>
      <c r="L16" s="133">
        <v>0</v>
      </c>
      <c r="M16" s="139">
        <f>11533.65+100</f>
        <v>11633.65</v>
      </c>
      <c r="N16" s="133">
        <f t="shared" si="5"/>
        <v>14086.3</v>
      </c>
      <c r="O16" s="318">
        <f t="shared" si="6"/>
        <v>27413.7</v>
      </c>
    </row>
    <row r="17" spans="1:15" ht="35.1" customHeight="1" x14ac:dyDescent="0.2">
      <c r="A17" s="310">
        <v>12</v>
      </c>
      <c r="B17" s="304" t="s">
        <v>34</v>
      </c>
      <c r="C17" s="111" t="s">
        <v>346</v>
      </c>
      <c r="D17" s="110" t="s">
        <v>151</v>
      </c>
      <c r="E17" s="322" t="s">
        <v>80</v>
      </c>
      <c r="F17" s="305">
        <v>36000</v>
      </c>
      <c r="G17" s="306">
        <f t="shared" si="12"/>
        <v>1033.2</v>
      </c>
      <c r="H17" s="306">
        <f t="shared" si="13"/>
        <v>1094.4000000000001</v>
      </c>
      <c r="I17" s="305"/>
      <c r="J17" s="133">
        <f t="shared" si="2"/>
        <v>2127.6000000000004</v>
      </c>
      <c r="K17" s="306">
        <f t="shared" si="9"/>
        <v>33872.400000000001</v>
      </c>
      <c r="L17" s="133">
        <f t="shared" si="4"/>
        <v>0</v>
      </c>
      <c r="M17" s="139">
        <v>25</v>
      </c>
      <c r="N17" s="133">
        <f t="shared" si="5"/>
        <v>2152.6000000000004</v>
      </c>
      <c r="O17" s="318">
        <f t="shared" si="6"/>
        <v>33847.4</v>
      </c>
    </row>
    <row r="18" spans="1:15" ht="35.1" customHeight="1" x14ac:dyDescent="0.2">
      <c r="A18" s="310">
        <v>13</v>
      </c>
      <c r="B18" s="304" t="s">
        <v>30</v>
      </c>
      <c r="C18" s="111" t="s">
        <v>346</v>
      </c>
      <c r="D18" s="112" t="s">
        <v>277</v>
      </c>
      <c r="E18" s="112" t="s">
        <v>28</v>
      </c>
      <c r="F18" s="305">
        <v>35000</v>
      </c>
      <c r="G18" s="306">
        <f t="shared" si="12"/>
        <v>1004.5</v>
      </c>
      <c r="H18" s="306">
        <f t="shared" si="13"/>
        <v>1064</v>
      </c>
      <c r="I18" s="305">
        <v>1715.46</v>
      </c>
      <c r="J18" s="133">
        <f t="shared" si="2"/>
        <v>3783.96</v>
      </c>
      <c r="K18" s="306">
        <f t="shared" si="9"/>
        <v>31216.04</v>
      </c>
      <c r="L18" s="133">
        <f t="shared" si="4"/>
        <v>0</v>
      </c>
      <c r="M18" s="139">
        <v>265</v>
      </c>
      <c r="N18" s="133">
        <f t="shared" si="5"/>
        <v>4048.96</v>
      </c>
      <c r="O18" s="318">
        <f t="shared" si="6"/>
        <v>30951.040000000001</v>
      </c>
    </row>
    <row r="19" spans="1:15" ht="35.1" customHeight="1" x14ac:dyDescent="0.2">
      <c r="A19" s="310">
        <v>14</v>
      </c>
      <c r="B19" s="304" t="s">
        <v>283</v>
      </c>
      <c r="C19" s="111" t="s">
        <v>346</v>
      </c>
      <c r="D19" s="112" t="s">
        <v>277</v>
      </c>
      <c r="E19" s="112" t="s">
        <v>28</v>
      </c>
      <c r="F19" s="305">
        <v>35000</v>
      </c>
      <c r="G19" s="306">
        <f t="shared" si="12"/>
        <v>1004.5</v>
      </c>
      <c r="H19" s="306">
        <f t="shared" si="13"/>
        <v>1064</v>
      </c>
      <c r="I19" s="305"/>
      <c r="J19" s="133">
        <f t="shared" si="2"/>
        <v>2068.5</v>
      </c>
      <c r="K19" s="306">
        <f t="shared" si="9"/>
        <v>32931.5</v>
      </c>
      <c r="L19" s="133">
        <f t="shared" si="4"/>
        <v>0</v>
      </c>
      <c r="M19" s="139">
        <v>225</v>
      </c>
      <c r="N19" s="133">
        <f t="shared" si="5"/>
        <v>2293.5</v>
      </c>
      <c r="O19" s="318">
        <f t="shared" si="6"/>
        <v>32706.5</v>
      </c>
    </row>
    <row r="20" spans="1:15" ht="35.1" customHeight="1" thickBot="1" x14ac:dyDescent="0.25">
      <c r="A20" s="310">
        <v>15</v>
      </c>
      <c r="B20" s="304" t="s">
        <v>284</v>
      </c>
      <c r="C20" s="111" t="s">
        <v>346</v>
      </c>
      <c r="D20" s="112" t="s">
        <v>277</v>
      </c>
      <c r="E20" s="112" t="s">
        <v>28</v>
      </c>
      <c r="F20" s="139">
        <v>26565</v>
      </c>
      <c r="G20" s="139">
        <f t="shared" ref="G20" si="14">F20*2.87%</f>
        <v>762.41549999999995</v>
      </c>
      <c r="H20" s="139">
        <f t="shared" ref="H20" si="15">+F20*3.04%</f>
        <v>807.57600000000002</v>
      </c>
      <c r="I20" s="139"/>
      <c r="J20" s="133">
        <f t="shared" si="2"/>
        <v>1569.9915000000001</v>
      </c>
      <c r="K20" s="139">
        <f t="shared" ref="K20" si="16">+F20-J20</f>
        <v>24995.0085</v>
      </c>
      <c r="L20" s="133">
        <f t="shared" si="4"/>
        <v>0</v>
      </c>
      <c r="M20" s="139">
        <v>12211.23</v>
      </c>
      <c r="N20" s="133">
        <f t="shared" si="5"/>
        <v>13781.2215</v>
      </c>
      <c r="O20" s="318">
        <f t="shared" si="6"/>
        <v>12783.7785</v>
      </c>
    </row>
    <row r="21" spans="1:15" ht="39.950000000000003" customHeight="1" thickBot="1" x14ac:dyDescent="0.25">
      <c r="A21" s="140"/>
      <c r="B21" s="140"/>
      <c r="C21" s="122"/>
      <c r="D21" s="122"/>
      <c r="E21" s="342" t="s">
        <v>338</v>
      </c>
      <c r="F21" s="311">
        <f t="shared" ref="F21:O21" si="17">SUM(F7:F20)</f>
        <v>1091065</v>
      </c>
      <c r="G21" s="311">
        <f t="shared" si="17"/>
        <v>31313.565499999997</v>
      </c>
      <c r="H21" s="311">
        <f t="shared" si="17"/>
        <v>33168.375999999997</v>
      </c>
      <c r="I21" s="311">
        <f t="shared" si="17"/>
        <v>8577.2999999999993</v>
      </c>
      <c r="J21" s="311">
        <f t="shared" si="17"/>
        <v>73059.241500000018</v>
      </c>
      <c r="K21" s="311">
        <f t="shared" si="17"/>
        <v>1018005.7585</v>
      </c>
      <c r="L21" s="311">
        <f t="shared" si="17"/>
        <v>115087.80399999997</v>
      </c>
      <c r="M21" s="311">
        <f t="shared" si="17"/>
        <v>88465.749999999985</v>
      </c>
      <c r="N21" s="311">
        <f t="shared" si="17"/>
        <v>276612.79549999995</v>
      </c>
      <c r="O21" s="311">
        <f t="shared" si="17"/>
        <v>814452.20450000011</v>
      </c>
    </row>
    <row r="22" spans="1:15" ht="39.950000000000003" customHeight="1" thickBot="1" x14ac:dyDescent="0.3">
      <c r="B22" s="369" t="s">
        <v>90</v>
      </c>
      <c r="C22" s="369"/>
      <c r="D22" s="124"/>
      <c r="E22" s="213" t="s">
        <v>550</v>
      </c>
      <c r="F22" s="10"/>
      <c r="H22" s="125"/>
      <c r="I22" s="125"/>
      <c r="J22" s="125"/>
      <c r="O22" s="344">
        <v>814452.21</v>
      </c>
    </row>
    <row r="23" spans="1:15" ht="39.950000000000003" customHeight="1" x14ac:dyDescent="0.25">
      <c r="B23" s="370" t="s">
        <v>615</v>
      </c>
      <c r="C23" s="370"/>
      <c r="D23" s="124"/>
      <c r="E23" s="323" t="s">
        <v>614</v>
      </c>
      <c r="F23" s="64"/>
      <c r="H23" s="125"/>
      <c r="I23" s="125"/>
      <c r="J23" s="125"/>
      <c r="O23" s="344">
        <f>+O21-O22</f>
        <v>-5.4999998537823558E-3</v>
      </c>
    </row>
    <row r="24" spans="1:15" ht="39.950000000000003" customHeight="1" x14ac:dyDescent="0.25">
      <c r="B24" s="333"/>
      <c r="C24" s="333"/>
      <c r="D24" s="124"/>
      <c r="E24" s="334"/>
      <c r="F24" s="64"/>
      <c r="H24" s="125"/>
      <c r="I24" s="125"/>
      <c r="J24" s="125"/>
      <c r="O24" s="136"/>
    </row>
    <row r="25" spans="1:15" ht="39.950000000000003" customHeight="1" x14ac:dyDescent="0.25">
      <c r="B25" s="389"/>
      <c r="C25" s="389"/>
      <c r="E25" s="64"/>
      <c r="F25" s="64"/>
      <c r="O25" s="136"/>
    </row>
    <row r="26" spans="1:15" ht="39.950000000000003" customHeight="1" x14ac:dyDescent="0.2">
      <c r="O26" s="136"/>
    </row>
    <row r="27" spans="1:15" ht="39.950000000000003" customHeight="1" x14ac:dyDescent="0.2">
      <c r="O27" s="136"/>
    </row>
    <row r="28" spans="1:15" ht="39.950000000000003" customHeight="1" x14ac:dyDescent="0.2">
      <c r="O28" s="136"/>
    </row>
    <row r="33" spans="2:2" ht="39.950000000000003" customHeight="1" x14ac:dyDescent="0.2">
      <c r="B33" s="116" t="s">
        <v>519</v>
      </c>
    </row>
    <row r="877146" spans="13:13" ht="39.950000000000003" customHeight="1" x14ac:dyDescent="0.2">
      <c r="M877146" s="141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7">
    <mergeCell ref="B23:C23"/>
    <mergeCell ref="B25:C25"/>
    <mergeCell ref="G5:H5"/>
    <mergeCell ref="A1:N1"/>
    <mergeCell ref="A2:N2"/>
    <mergeCell ref="A3:N3"/>
    <mergeCell ref="B22:C22"/>
  </mergeCells>
  <pageMargins left="0.17" right="0.17" top="0.17" bottom="0.17" header="0.17" footer="0.17"/>
  <pageSetup paperSize="5" scale="54" fitToHeight="0" orientation="landscape" r:id="rId1"/>
  <rowBreaks count="1" manualBreakCount="1">
    <brk id="50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59"/>
  <sheetViews>
    <sheetView showGridLines="0" view="pageBreakPreview" zoomScale="70" zoomScaleNormal="70" zoomScaleSheetLayoutView="70" workbookViewId="0">
      <selection activeCell="A4" sqref="A4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16" ht="26.25" customHeight="1" x14ac:dyDescent="0.2">
      <c r="A1" s="348" t="s">
        <v>336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</row>
    <row r="2" spans="1:16" ht="26.25" customHeight="1" x14ac:dyDescent="0.2">
      <c r="A2" s="349" t="s">
        <v>637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</row>
    <row r="3" spans="1:16" ht="21.75" customHeight="1" x14ac:dyDescent="0.2">
      <c r="A3" s="350" t="s">
        <v>667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</row>
    <row r="4" spans="1:16" ht="35.1" customHeight="1" thickBot="1" x14ac:dyDescent="0.25">
      <c r="A4" s="142"/>
      <c r="B4" s="142"/>
      <c r="C4" s="109"/>
      <c r="D4" s="147"/>
      <c r="E4" s="147"/>
      <c r="F4" s="109"/>
    </row>
    <row r="5" spans="1:16" ht="35.1" customHeight="1" thickBot="1" x14ac:dyDescent="0.25">
      <c r="A5" s="214" t="s">
        <v>447</v>
      </c>
      <c r="B5" s="215"/>
      <c r="C5" s="214"/>
      <c r="D5" s="215"/>
      <c r="E5" s="215"/>
      <c r="F5" s="216"/>
      <c r="G5" s="353" t="s">
        <v>99</v>
      </c>
      <c r="H5" s="354"/>
      <c r="I5" s="354"/>
      <c r="J5" s="355"/>
      <c r="K5" s="98"/>
      <c r="L5" s="153"/>
      <c r="M5" s="153"/>
      <c r="N5" s="153"/>
      <c r="O5" s="153"/>
      <c r="P5" s="153"/>
    </row>
    <row r="6" spans="1:16" s="217" customFormat="1" ht="35.1" customHeight="1" thickBot="1" x14ac:dyDescent="0.25">
      <c r="A6" s="19" t="s">
        <v>0</v>
      </c>
      <c r="B6" s="19" t="s">
        <v>302</v>
      </c>
      <c r="C6" s="19" t="s">
        <v>348</v>
      </c>
      <c r="D6" s="19" t="s">
        <v>362</v>
      </c>
      <c r="E6" s="19" t="s">
        <v>93</v>
      </c>
      <c r="F6" s="79" t="s">
        <v>102</v>
      </c>
      <c r="G6" s="80" t="s">
        <v>1</v>
      </c>
      <c r="H6" s="81" t="s">
        <v>2</v>
      </c>
      <c r="I6" s="84" t="s">
        <v>453</v>
      </c>
      <c r="J6" s="85" t="s">
        <v>454</v>
      </c>
      <c r="K6" s="82" t="s">
        <v>455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16" s="152" customFormat="1" ht="35.1" customHeight="1" thickBot="1" x14ac:dyDescent="0.25">
      <c r="A7" s="239" t="s">
        <v>128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</row>
    <row r="8" spans="1:16" s="153" customFormat="1" ht="46.5" customHeight="1" x14ac:dyDescent="0.2">
      <c r="A8" s="223">
        <v>1</v>
      </c>
      <c r="B8" s="224" t="s">
        <v>647</v>
      </c>
      <c r="C8" s="223" t="s">
        <v>347</v>
      </c>
      <c r="D8" s="230" t="s">
        <v>612</v>
      </c>
      <c r="E8" s="72" t="s">
        <v>638</v>
      </c>
      <c r="F8" s="225">
        <v>80000</v>
      </c>
      <c r="G8" s="226">
        <f>F8*2.87%</f>
        <v>2296</v>
      </c>
      <c r="H8" s="226">
        <f>+F8*3.04%</f>
        <v>2432</v>
      </c>
      <c r="I8" s="226">
        <v>0</v>
      </c>
      <c r="J8" s="225">
        <f>+G8+H8+I8</f>
        <v>4728</v>
      </c>
      <c r="K8" s="225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5"/>
      <c r="N8" s="231">
        <v>1125</v>
      </c>
      <c r="O8" s="225">
        <f>+N8+I8+H8+G8+L8</f>
        <v>13253.937291666665</v>
      </c>
      <c r="P8" s="227">
        <f>+F8-O8</f>
        <v>66746.062708333338</v>
      </c>
    </row>
    <row r="9" spans="1:16" s="251" customFormat="1" ht="35.1" customHeight="1" x14ac:dyDescent="0.2">
      <c r="A9" s="233" t="s">
        <v>103</v>
      </c>
      <c r="B9" s="234"/>
      <c r="C9" s="234"/>
      <c r="D9" s="234"/>
      <c r="E9" s="250"/>
      <c r="F9" s="235">
        <f t="shared" ref="F9:L9" si="1">SUM(F8:F8)</f>
        <v>80000</v>
      </c>
      <c r="G9" s="235">
        <f t="shared" si="1"/>
        <v>2296</v>
      </c>
      <c r="H9" s="235">
        <f t="shared" si="1"/>
        <v>2432</v>
      </c>
      <c r="I9" s="235">
        <f t="shared" si="1"/>
        <v>0</v>
      </c>
      <c r="J9" s="235">
        <f t="shared" si="1"/>
        <v>4728</v>
      </c>
      <c r="K9" s="235">
        <f t="shared" si="1"/>
        <v>75272</v>
      </c>
      <c r="L9" s="235">
        <f t="shared" si="1"/>
        <v>7400.9372916666662</v>
      </c>
      <c r="M9" s="235"/>
      <c r="N9" s="235">
        <f>SUM(N8:N8)</f>
        <v>1125</v>
      </c>
      <c r="O9" s="235">
        <f>SUM(O8:O8)</f>
        <v>13253.937291666665</v>
      </c>
      <c r="P9" s="235">
        <f>SUM(P8:P8)</f>
        <v>66746.062708333338</v>
      </c>
    </row>
    <row r="10" spans="1:16" s="253" customFormat="1" ht="35.1" customHeight="1" thickBot="1" x14ac:dyDescent="0.25">
      <c r="A10" s="212"/>
      <c r="B10" s="151"/>
      <c r="C10" s="212"/>
      <c r="D10" s="151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16" s="228" customFormat="1" ht="35.1" customHeight="1" thickBot="1" x14ac:dyDescent="0.25">
      <c r="A11" s="356" t="s">
        <v>133</v>
      </c>
      <c r="B11" s="357"/>
      <c r="C11" s="357"/>
      <c r="D11" s="3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</row>
    <row r="12" spans="1:16" s="253" customFormat="1" ht="35.1" customHeight="1" x14ac:dyDescent="0.2">
      <c r="A12" s="245">
        <f>+A8+1</f>
        <v>2</v>
      </c>
      <c r="B12" s="335" t="s">
        <v>639</v>
      </c>
      <c r="C12" s="73" t="s">
        <v>347</v>
      </c>
      <c r="D12" s="243" t="s">
        <v>612</v>
      </c>
      <c r="E12" s="72" t="s">
        <v>638</v>
      </c>
      <c r="F12" s="226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7">
        <v>125</v>
      </c>
      <c r="O12" s="225">
        <f>+N12+I12+H12+G12+L12</f>
        <v>12253.937291666665</v>
      </c>
      <c r="P12" s="87">
        <f>+F12-O12</f>
        <v>67746.062708333338</v>
      </c>
    </row>
    <row r="13" spans="1:16" s="152" customFormat="1" ht="35.1" customHeight="1" x14ac:dyDescent="0.2">
      <c r="A13" s="233" t="s">
        <v>103</v>
      </c>
      <c r="B13" s="234"/>
      <c r="C13" s="234"/>
      <c r="D13" s="234"/>
      <c r="E13" s="250"/>
      <c r="F13" s="235">
        <f t="shared" ref="F13:L13" si="2">SUM(F12:F12)</f>
        <v>80000</v>
      </c>
      <c r="G13" s="235">
        <f t="shared" si="2"/>
        <v>2296</v>
      </c>
      <c r="H13" s="235">
        <f t="shared" si="2"/>
        <v>2432</v>
      </c>
      <c r="I13" s="235">
        <f t="shared" si="2"/>
        <v>0</v>
      </c>
      <c r="J13" s="235">
        <f t="shared" si="2"/>
        <v>4728</v>
      </c>
      <c r="K13" s="235">
        <f t="shared" si="2"/>
        <v>75272</v>
      </c>
      <c r="L13" s="235">
        <f t="shared" si="2"/>
        <v>7400.9372916666662</v>
      </c>
      <c r="M13" s="235"/>
      <c r="N13" s="235">
        <f>SUM(N12:N12)</f>
        <v>125</v>
      </c>
      <c r="O13" s="235">
        <f>SUM(O12:O12)</f>
        <v>12253.937291666665</v>
      </c>
      <c r="P13" s="235">
        <f>SUM(P12:P12)</f>
        <v>67746.062708333338</v>
      </c>
    </row>
    <row r="14" spans="1:16" s="152" customFormat="1" ht="35.1" customHeight="1" thickBot="1" x14ac:dyDescent="0.25">
      <c r="A14" s="228"/>
      <c r="B14" s="228"/>
      <c r="C14" s="254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</row>
    <row r="15" spans="1:16" s="263" customFormat="1" ht="35.1" customHeight="1" thickBot="1" x14ac:dyDescent="0.25">
      <c r="A15" s="346" t="s">
        <v>140</v>
      </c>
      <c r="B15" s="347"/>
      <c r="C15" s="347"/>
      <c r="D15" s="347"/>
      <c r="E15" s="34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</row>
    <row r="16" spans="1:16" s="229" customFormat="1" ht="35.1" customHeight="1" x14ac:dyDescent="0.2">
      <c r="A16" s="223">
        <f>+A12+1</f>
        <v>3</v>
      </c>
      <c r="B16" s="224" t="s">
        <v>640</v>
      </c>
      <c r="C16" s="223" t="s">
        <v>346</v>
      </c>
      <c r="D16" s="232" t="s">
        <v>612</v>
      </c>
      <c r="E16" s="72" t="s">
        <v>638</v>
      </c>
      <c r="F16" s="225">
        <v>80000</v>
      </c>
      <c r="G16" s="68">
        <f>F16*2.87%</f>
        <v>2296</v>
      </c>
      <c r="H16" s="226">
        <f>+F16*3.04%</f>
        <v>2432</v>
      </c>
      <c r="I16" s="226"/>
      <c r="J16" s="225">
        <f>+G16+H16+I16</f>
        <v>4728</v>
      </c>
      <c r="K16" s="225">
        <f>+F16-J16</f>
        <v>75272</v>
      </c>
      <c r="L16" s="225">
        <f>+IF(K16*12&lt;=416220.01,0,IF(K16*12&lt;=624329.01,(((K16*12-416220.01)*0.15)/12),IF((K16*12&lt;=867123.01),(31216+0.2*(K16*12-624329.01))/12,((79776+0.25*(K16*12-867123.01))/12))))-M16</f>
        <v>7400.9372916666662</v>
      </c>
      <c r="M16" s="225"/>
      <c r="N16" s="231">
        <v>2745.5</v>
      </c>
      <c r="O16" s="225">
        <f>+N16+I16+H16+G16+L16</f>
        <v>14874.437291666665</v>
      </c>
      <c r="P16" s="227">
        <f>+F16-O16</f>
        <v>65125.562708333338</v>
      </c>
    </row>
    <row r="17" spans="1:16" s="229" customFormat="1" ht="35.1" customHeight="1" x14ac:dyDescent="0.2">
      <c r="A17" s="73"/>
      <c r="B17" s="268"/>
      <c r="C17" s="269"/>
      <c r="D17" s="233" t="s">
        <v>103</v>
      </c>
      <c r="E17" s="250"/>
      <c r="F17" s="235">
        <f t="shared" ref="F17:P17" si="3">SUM(F16:F16)</f>
        <v>80000</v>
      </c>
      <c r="G17" s="235">
        <f t="shared" si="3"/>
        <v>2296</v>
      </c>
      <c r="H17" s="235">
        <f t="shared" si="3"/>
        <v>2432</v>
      </c>
      <c r="I17" s="235">
        <f t="shared" si="3"/>
        <v>0</v>
      </c>
      <c r="J17" s="235">
        <f t="shared" si="3"/>
        <v>4728</v>
      </c>
      <c r="K17" s="235">
        <f t="shared" si="3"/>
        <v>75272</v>
      </c>
      <c r="L17" s="235">
        <f t="shared" si="3"/>
        <v>7400.9372916666662</v>
      </c>
      <c r="M17" s="235">
        <f t="shared" si="3"/>
        <v>0</v>
      </c>
      <c r="N17" s="235">
        <f t="shared" si="3"/>
        <v>2745.5</v>
      </c>
      <c r="O17" s="235">
        <f t="shared" si="3"/>
        <v>14874.437291666665</v>
      </c>
      <c r="P17" s="235">
        <f t="shared" si="3"/>
        <v>65125.562708333338</v>
      </c>
    </row>
    <row r="18" spans="1:16" s="229" customFormat="1" ht="35.1" customHeight="1" thickBot="1" x14ac:dyDescent="0.25">
      <c r="A18" s="212"/>
      <c r="B18" s="151"/>
      <c r="C18" s="212"/>
      <c r="D18" s="238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</row>
    <row r="19" spans="1:16" s="152" customFormat="1" ht="35.1" customHeight="1" thickBot="1" x14ac:dyDescent="0.25">
      <c r="A19" s="288"/>
      <c r="B19" s="289" t="s">
        <v>636</v>
      </c>
      <c r="C19" s="290"/>
      <c r="D19" s="291"/>
      <c r="E19" s="292"/>
      <c r="F19" s="293">
        <f t="shared" ref="F19:P19" si="4">+F17+F13+F9</f>
        <v>240000</v>
      </c>
      <c r="G19" s="293">
        <f t="shared" si="4"/>
        <v>6888</v>
      </c>
      <c r="H19" s="293">
        <f t="shared" si="4"/>
        <v>7296</v>
      </c>
      <c r="I19" s="293">
        <f t="shared" si="4"/>
        <v>0</v>
      </c>
      <c r="J19" s="293">
        <f t="shared" si="4"/>
        <v>14184</v>
      </c>
      <c r="K19" s="293">
        <f t="shared" si="4"/>
        <v>225816</v>
      </c>
      <c r="L19" s="293">
        <f t="shared" si="4"/>
        <v>22202.811874999999</v>
      </c>
      <c r="M19" s="293">
        <f t="shared" si="4"/>
        <v>0</v>
      </c>
      <c r="N19" s="293">
        <f t="shared" si="4"/>
        <v>3995.5</v>
      </c>
      <c r="O19" s="293">
        <f t="shared" si="4"/>
        <v>40382.311874999999</v>
      </c>
      <c r="P19" s="293">
        <f t="shared" si="4"/>
        <v>199617.68812500002</v>
      </c>
    </row>
    <row r="20" spans="1:16" s="152" customFormat="1" ht="35.1" customHeight="1" x14ac:dyDescent="0.2">
      <c r="A20" s="288"/>
      <c r="B20" s="298"/>
      <c r="C20" s="299"/>
      <c r="D20" s="298"/>
      <c r="E20" s="298"/>
      <c r="G20" s="153"/>
      <c r="H20" s="153"/>
      <c r="I20" s="153"/>
      <c r="J20" s="153"/>
      <c r="K20" s="294"/>
      <c r="L20" s="153"/>
      <c r="M20" s="153"/>
      <c r="N20" s="153"/>
      <c r="O20" s="153"/>
      <c r="P20" s="153"/>
    </row>
    <row r="21" spans="1:16" s="152" customFormat="1" ht="35.1" customHeight="1" x14ac:dyDescent="0.2">
      <c r="A21" s="212"/>
      <c r="B21" s="151"/>
      <c r="C21" s="212"/>
      <c r="D21" s="151"/>
      <c r="E21" s="151"/>
      <c r="G21" s="153"/>
      <c r="H21" s="153"/>
      <c r="I21" s="153"/>
      <c r="J21" s="153"/>
      <c r="K21" s="153"/>
      <c r="L21" s="153"/>
      <c r="M21" s="153"/>
      <c r="N21" s="153"/>
      <c r="O21" s="153"/>
      <c r="P21" s="294"/>
    </row>
    <row r="22" spans="1:16" s="152" customFormat="1" ht="35.1" customHeight="1" thickBot="1" x14ac:dyDescent="0.25">
      <c r="A22" s="212"/>
      <c r="B22" s="359" t="s">
        <v>90</v>
      </c>
      <c r="C22" s="359"/>
      <c r="D22" s="123"/>
      <c r="E22" s="359" t="s">
        <v>550</v>
      </c>
      <c r="F22" s="359"/>
      <c r="G22" s="153"/>
      <c r="H22" s="153"/>
      <c r="I22" s="153"/>
      <c r="J22" s="153"/>
      <c r="K22" s="301"/>
      <c r="L22" s="153"/>
      <c r="M22" s="153"/>
      <c r="N22" s="153"/>
      <c r="O22" s="153"/>
      <c r="P22" s="153"/>
    </row>
    <row r="23" spans="1:16" s="152" customFormat="1" ht="35.1" customHeight="1" x14ac:dyDescent="0.2">
      <c r="A23" s="212"/>
      <c r="B23" s="358" t="s">
        <v>558</v>
      </c>
      <c r="C23" s="358"/>
      <c r="D23" s="123"/>
      <c r="E23" s="358" t="s">
        <v>392</v>
      </c>
      <c r="F23" s="358"/>
      <c r="G23" s="153"/>
      <c r="H23" s="153"/>
      <c r="I23" s="153"/>
      <c r="J23" s="153"/>
      <c r="K23" s="301"/>
      <c r="L23" s="153"/>
      <c r="M23" s="153"/>
      <c r="N23" s="153"/>
      <c r="O23" s="153"/>
      <c r="P23" s="153"/>
    </row>
    <row r="24" spans="1:16" s="152" customFormat="1" ht="35.1" customHeight="1" x14ac:dyDescent="0.2">
      <c r="A24" s="212"/>
      <c r="B24" s="151"/>
      <c r="C24" s="212"/>
      <c r="D24" s="151"/>
      <c r="E24" s="151"/>
      <c r="G24" s="153"/>
      <c r="H24" s="153"/>
      <c r="I24" s="153"/>
      <c r="J24" s="153"/>
      <c r="K24" s="301"/>
      <c r="L24" s="153"/>
      <c r="M24" s="153"/>
      <c r="N24" s="153"/>
      <c r="O24" s="153"/>
      <c r="P24" s="153"/>
    </row>
    <row r="25" spans="1:16" s="229" customFormat="1" ht="35.1" customHeight="1" x14ac:dyDescent="0.2">
      <c r="A25" s="212"/>
      <c r="B25" s="151"/>
      <c r="C25" s="212"/>
      <c r="D25" s="151"/>
      <c r="E25" s="151"/>
      <c r="F25" s="152"/>
      <c r="G25" s="153"/>
      <c r="H25" s="153"/>
      <c r="I25" s="153"/>
      <c r="J25" s="153"/>
      <c r="K25" s="301"/>
      <c r="L25" s="153"/>
      <c r="M25" s="153"/>
      <c r="N25" s="153"/>
      <c r="O25" s="153"/>
      <c r="P25" s="153"/>
    </row>
    <row r="26" spans="1:16" s="152" customFormat="1" ht="35.1" customHeight="1" x14ac:dyDescent="0.2">
      <c r="A26" s="212"/>
      <c r="B26" s="151"/>
      <c r="C26" s="212"/>
      <c r="D26" s="151"/>
      <c r="E26" s="151"/>
      <c r="G26" s="153"/>
      <c r="H26" s="153"/>
      <c r="I26" s="153"/>
      <c r="J26" s="153"/>
      <c r="K26" s="301"/>
      <c r="L26" s="153"/>
      <c r="M26" s="153"/>
      <c r="N26" s="153"/>
      <c r="O26" s="153"/>
      <c r="P26" s="153"/>
    </row>
    <row r="27" spans="1:16" s="152" customFormat="1" ht="35.1" customHeight="1" x14ac:dyDescent="0.2">
      <c r="A27" s="212"/>
      <c r="B27" s="151"/>
      <c r="C27" s="212"/>
      <c r="D27" s="151"/>
      <c r="E27" s="151"/>
      <c r="G27" s="153"/>
      <c r="H27" s="153"/>
      <c r="I27" s="153"/>
      <c r="J27" s="153"/>
      <c r="K27" s="301"/>
      <c r="L27" s="153"/>
      <c r="M27" s="153"/>
      <c r="N27" s="153"/>
      <c r="O27" s="153"/>
      <c r="P27" s="153"/>
    </row>
    <row r="28" spans="1:16" s="152" customFormat="1" ht="35.1" customHeight="1" x14ac:dyDescent="0.2">
      <c r="A28" s="212"/>
      <c r="B28" s="151"/>
      <c r="C28" s="212"/>
      <c r="D28" s="151"/>
      <c r="E28" s="151"/>
      <c r="G28" s="153"/>
      <c r="H28" s="153"/>
      <c r="I28" s="153"/>
      <c r="J28" s="153"/>
      <c r="K28" s="301"/>
      <c r="L28" s="153"/>
      <c r="M28" s="153"/>
      <c r="N28" s="153"/>
      <c r="O28" s="153"/>
      <c r="P28" s="153"/>
    </row>
    <row r="29" spans="1:16" s="152" customFormat="1" ht="35.1" customHeight="1" x14ac:dyDescent="0.2">
      <c r="A29" s="212"/>
      <c r="B29" s="151"/>
      <c r="C29" s="212"/>
      <c r="D29" s="151"/>
      <c r="E29" s="151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6" s="228" customFormat="1" ht="35.1" customHeight="1" x14ac:dyDescent="0.2">
      <c r="A30" s="212"/>
      <c r="B30" s="151"/>
      <c r="C30" s="212"/>
      <c r="D30" s="151"/>
      <c r="E30" s="151"/>
      <c r="F30" s="152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228" customFormat="1" ht="35.1" customHeight="1" x14ac:dyDescent="0.2">
      <c r="A31" s="212"/>
      <c r="B31" s="151"/>
      <c r="C31" s="212"/>
      <c r="D31" s="151"/>
      <c r="E31" s="151"/>
      <c r="F31" s="152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16534" spans="2:2" ht="35.1" customHeight="1" x14ac:dyDescent="0.2">
      <c r="B16534" s="148">
        <f>SUM(B6:B16533)</f>
        <v>0</v>
      </c>
    </row>
    <row r="16536" spans="2:2" s="116" customFormat="1" ht="35.1" customHeight="1" x14ac:dyDescent="0.2">
      <c r="B16536" s="148">
        <f>SUM(B16534)</f>
        <v>0</v>
      </c>
    </row>
    <row r="999859" spans="15:15" ht="35.1" customHeight="1" x14ac:dyDescent="0.2">
      <c r="O999859" s="126" t="e">
        <f>SUM(#REF!)</f>
        <v>#REF!</v>
      </c>
    </row>
  </sheetData>
  <mergeCells count="10">
    <mergeCell ref="A11:D11"/>
    <mergeCell ref="A1:P1"/>
    <mergeCell ref="A2:P2"/>
    <mergeCell ref="A3:P3"/>
    <mergeCell ref="G5:J5"/>
    <mergeCell ref="B22:C22"/>
    <mergeCell ref="E22:F22"/>
    <mergeCell ref="B23:C23"/>
    <mergeCell ref="E23:F23"/>
    <mergeCell ref="A15:E1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1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61bbc24155191cc2a9191a4d46fcd1ed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67b1514dbb7622ecc168377d48039bb1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bb6b0d22-0a16-4c1a-9b76-95dfb845d415"/>
    <ds:schemaRef ds:uri="http://purl.org/dc/terms/"/>
    <ds:schemaRef ds:uri="http://schemas.openxmlformats.org/package/2006/metadata/core-properties"/>
    <ds:schemaRef ds:uri="http://purl.org/dc/elements/1.1/"/>
    <ds:schemaRef ds:uri="d39205a1-5442-419a-b1e5-b39410ee3123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4407EE-A395-4AF1-B25B-360EFDD5CF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2025-12-10T14:30:32Z</cp:lastPrinted>
  <dcterms:created xsi:type="dcterms:W3CDTF">2019-01-11T19:06:47Z</dcterms:created>
  <dcterms:modified xsi:type="dcterms:W3CDTF">2025-12-10T18:39:48Z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