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1C3E3ADC-2752-4515-95B8-0E8C8C2B156C}" xr6:coauthVersionLast="47" xr6:coauthVersionMax="47" xr10:uidLastSave="{00000000-0000-0000-0000-000000000000}"/>
  <bookViews>
    <workbookView xWindow="-120" yWindow="-120" windowWidth="29040" windowHeight="15720" tabRatio="603" activeTab="3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'!$A$1:$P$361</definedName>
    <definedName name="_xlnm.Print_Area" localSheetId="1">'PERSONAL TEMPORAL'!$A$1:$R$278</definedName>
    <definedName name="_xlnm.Print_Area" localSheetId="2">'SUPLENCIA FIJOS'!$B$1:$L$137</definedName>
    <definedName name="_xlnm.Print_Area" localSheetId="3">'TRAMITE PENSION '!$A$1:$O$30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1" i="4" l="1"/>
  <c r="N263" i="13"/>
  <c r="A232" i="13"/>
  <c r="A155" i="13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A336" i="4"/>
  <c r="N103" i="4"/>
  <c r="J102" i="4"/>
  <c r="K102" i="4" s="1"/>
  <c r="L102" i="4" s="1"/>
  <c r="O102" i="4" s="1"/>
  <c r="G102" i="4"/>
  <c r="F103" i="4"/>
  <c r="H102" i="4"/>
  <c r="I79" i="4"/>
  <c r="M79" i="4"/>
  <c r="N79" i="4"/>
  <c r="F79" i="4"/>
  <c r="H78" i="4"/>
  <c r="G78" i="4"/>
  <c r="J78" i="4" s="1"/>
  <c r="K78" i="4" s="1"/>
  <c r="L78" i="4" s="1"/>
  <c r="I41" i="4"/>
  <c r="M41" i="4"/>
  <c r="N41" i="4"/>
  <c r="F41" i="4"/>
  <c r="H40" i="4"/>
  <c r="G40" i="4"/>
  <c r="J40" i="4" s="1"/>
  <c r="K40" i="4" s="1"/>
  <c r="L40" i="4" s="1"/>
  <c r="I14" i="14"/>
  <c r="K250" i="13"/>
  <c r="K211" i="13"/>
  <c r="K204" i="13"/>
  <c r="K140" i="13"/>
  <c r="K64" i="13"/>
  <c r="P44" i="13"/>
  <c r="K30" i="13"/>
  <c r="I314" i="4"/>
  <c r="I251" i="4"/>
  <c r="I139" i="4"/>
  <c r="I127" i="4"/>
  <c r="I82" i="4"/>
  <c r="I67" i="4"/>
  <c r="I65" i="4"/>
  <c r="I59" i="4"/>
  <c r="P102" i="4" l="1"/>
  <c r="O78" i="4"/>
  <c r="P78" i="4" s="1"/>
  <c r="O40" i="4"/>
  <c r="P40" i="4" s="1"/>
  <c r="H44" i="13"/>
  <c r="H198" i="13" l="1"/>
  <c r="K198" i="13"/>
  <c r="O198" i="13"/>
  <c r="P198" i="13"/>
  <c r="K251" i="13"/>
  <c r="O251" i="13"/>
  <c r="P251" i="13"/>
  <c r="H251" i="13"/>
  <c r="K242" i="13"/>
  <c r="O242" i="13"/>
  <c r="P242" i="13"/>
  <c r="H242" i="13"/>
  <c r="I241" i="13"/>
  <c r="J241" i="13"/>
  <c r="L241" i="13" s="1"/>
  <c r="P220" i="13"/>
  <c r="K220" i="13"/>
  <c r="O220" i="13"/>
  <c r="H220" i="13"/>
  <c r="P205" i="13"/>
  <c r="P204" i="13"/>
  <c r="P201" i="13"/>
  <c r="I197" i="13"/>
  <c r="J197" i="13"/>
  <c r="P103" i="13"/>
  <c r="P94" i="13"/>
  <c r="P83" i="13"/>
  <c r="P55" i="13"/>
  <c r="P51" i="13"/>
  <c r="I43" i="13"/>
  <c r="J43" i="13"/>
  <c r="K44" i="13"/>
  <c r="O44" i="13"/>
  <c r="P17" i="13"/>
  <c r="L197" i="13" l="1"/>
  <c r="M197" i="13" s="1"/>
  <c r="N197" i="13" s="1"/>
  <c r="Q197" i="13" s="1"/>
  <c r="R197" i="13" s="1"/>
  <c r="M241" i="13"/>
  <c r="N241" i="13" s="1"/>
  <c r="Q241" i="13" s="1"/>
  <c r="R241" i="13" s="1"/>
  <c r="L43" i="13"/>
  <c r="M43" i="13" s="1"/>
  <c r="N43" i="13" l="1"/>
  <c r="Q43" i="13" l="1"/>
  <c r="R43" i="13" s="1"/>
  <c r="L43" i="4" l="1"/>
  <c r="I311" i="4"/>
  <c r="M311" i="4"/>
  <c r="N311" i="4"/>
  <c r="F311" i="4"/>
  <c r="M277" i="4"/>
  <c r="G88" i="16" l="1"/>
  <c r="A223" i="13"/>
  <c r="A12" i="4"/>
  <c r="A14" i="4"/>
  <c r="A15" i="4" s="1"/>
  <c r="A16" i="4" s="1"/>
  <c r="A17" i="4" s="1"/>
  <c r="F18" i="4"/>
  <c r="J110" i="16" l="1"/>
  <c r="G110" i="16"/>
  <c r="I109" i="16"/>
  <c r="I110" i="16" s="1"/>
  <c r="H109" i="16"/>
  <c r="H110" i="16" s="1"/>
  <c r="I21" i="14"/>
  <c r="M21" i="14"/>
  <c r="F21" i="14"/>
  <c r="K207" i="13"/>
  <c r="O207" i="13"/>
  <c r="P207" i="13"/>
  <c r="H207" i="13"/>
  <c r="I206" i="13"/>
  <c r="J206" i="13"/>
  <c r="P132" i="13"/>
  <c r="O132" i="13"/>
  <c r="K132" i="13"/>
  <c r="H132" i="13"/>
  <c r="J131" i="13"/>
  <c r="I131" i="13"/>
  <c r="J130" i="13"/>
  <c r="I130" i="13"/>
  <c r="I10" i="13"/>
  <c r="J10" i="13"/>
  <c r="G309" i="4"/>
  <c r="H309" i="4"/>
  <c r="H207" i="4"/>
  <c r="G207" i="4"/>
  <c r="I209" i="4"/>
  <c r="M209" i="4"/>
  <c r="N209" i="4"/>
  <c r="F209" i="4"/>
  <c r="H14" i="14"/>
  <c r="G14" i="14"/>
  <c r="J14" i="14" s="1"/>
  <c r="K14" i="14" s="1"/>
  <c r="L14" i="14" s="1"/>
  <c r="L206" i="13" l="1"/>
  <c r="M206" i="13" s="1"/>
  <c r="N206" i="13" s="1"/>
  <c r="Q206" i="13" s="1"/>
  <c r="R206" i="13" s="1"/>
  <c r="N14" i="14"/>
  <c r="O14" i="14" s="1"/>
  <c r="K109" i="16"/>
  <c r="L109" i="16" s="1"/>
  <c r="L110" i="16" s="1"/>
  <c r="I132" i="13"/>
  <c r="L131" i="13"/>
  <c r="M131" i="13" s="1"/>
  <c r="N131" i="13" s="1"/>
  <c r="Q131" i="13" s="1"/>
  <c r="R131" i="13" s="1"/>
  <c r="J132" i="13"/>
  <c r="L130" i="13"/>
  <c r="M130" i="13" s="1"/>
  <c r="N130" i="13" s="1"/>
  <c r="Q130" i="13" s="1"/>
  <c r="R130" i="13" s="1"/>
  <c r="J207" i="4"/>
  <c r="K207" i="4" s="1"/>
  <c r="J309" i="4"/>
  <c r="O207" i="4" l="1"/>
  <c r="P207" i="4" s="1"/>
  <c r="L207" i="4"/>
  <c r="K110" i="16"/>
  <c r="L132" i="13"/>
  <c r="M132" i="13"/>
  <c r="K309" i="4"/>
  <c r="L309" i="4" s="1"/>
  <c r="N132" i="13" l="1"/>
  <c r="Q132" i="13" l="1"/>
  <c r="R132" i="13"/>
  <c r="O309" i="4"/>
  <c r="P309" i="4" s="1"/>
  <c r="I73" i="16" l="1"/>
  <c r="H73" i="16"/>
  <c r="K86" i="13"/>
  <c r="O86" i="13"/>
  <c r="P86" i="13"/>
  <c r="H86" i="13"/>
  <c r="K52" i="13"/>
  <c r="O52" i="13"/>
  <c r="P52" i="13"/>
  <c r="H52" i="13"/>
  <c r="K80" i="13"/>
  <c r="O80" i="13"/>
  <c r="P80" i="13"/>
  <c r="H80" i="13"/>
  <c r="I277" i="4"/>
  <c r="N277" i="4"/>
  <c r="F277" i="4"/>
  <c r="G276" i="4"/>
  <c r="H276" i="4"/>
  <c r="I18" i="4"/>
  <c r="M18" i="4"/>
  <c r="N18" i="4"/>
  <c r="G16" i="4"/>
  <c r="H17" i="4"/>
  <c r="H16" i="4"/>
  <c r="G17" i="4"/>
  <c r="J16" i="4" l="1"/>
  <c r="K16" i="4" s="1"/>
  <c r="L16" i="4" s="1"/>
  <c r="J17" i="4"/>
  <c r="K17" i="4" s="1"/>
  <c r="L17" i="4" s="1"/>
  <c r="K73" i="16"/>
  <c r="J276" i="4"/>
  <c r="O17" i="4" l="1"/>
  <c r="P17" i="4" s="1"/>
  <c r="O16" i="4"/>
  <c r="P16" i="4" s="1"/>
  <c r="K276" i="4"/>
  <c r="L276" i="4" s="1"/>
  <c r="O276" i="4" s="1"/>
  <c r="P276" i="4" l="1"/>
  <c r="I84" i="13" l="1"/>
  <c r="J84" i="13"/>
  <c r="I85" i="13"/>
  <c r="J85" i="13"/>
  <c r="I42" i="13"/>
  <c r="J42" i="13"/>
  <c r="I41" i="13"/>
  <c r="J41" i="13"/>
  <c r="G308" i="4"/>
  <c r="H308" i="4"/>
  <c r="G307" i="4"/>
  <c r="H307" i="4"/>
  <c r="G275" i="4"/>
  <c r="H275" i="4"/>
  <c r="L42" i="13" l="1"/>
  <c r="M42" i="13" s="1"/>
  <c r="N42" i="13" s="1"/>
  <c r="Q42" i="13" s="1"/>
  <c r="R42" i="13" s="1"/>
  <c r="L41" i="13"/>
  <c r="J308" i="4"/>
  <c r="J307" i="4"/>
  <c r="J275" i="4"/>
  <c r="M41" i="13" l="1"/>
  <c r="K308" i="4"/>
  <c r="L308" i="4" s="1"/>
  <c r="K307" i="4"/>
  <c r="L307" i="4" s="1"/>
  <c r="K275" i="4"/>
  <c r="L275" i="4" s="1"/>
  <c r="O275" i="4" s="1"/>
  <c r="N41" i="13" l="1"/>
  <c r="Q41" i="13" s="1"/>
  <c r="R41" i="13" s="1"/>
  <c r="O308" i="4"/>
  <c r="P308" i="4" s="1"/>
  <c r="O307" i="4"/>
  <c r="P307" i="4" s="1"/>
  <c r="P275" i="4"/>
  <c r="G12" i="14" l="1"/>
  <c r="H12" i="14"/>
  <c r="I88" i="16"/>
  <c r="H88" i="16"/>
  <c r="J88" i="16"/>
  <c r="I31" i="16"/>
  <c r="I33" i="16" s="1"/>
  <c r="H31" i="16"/>
  <c r="H33" i="16" s="1"/>
  <c r="K32" i="16"/>
  <c r="G33" i="16"/>
  <c r="J33" i="16"/>
  <c r="P225" i="13"/>
  <c r="O225" i="13"/>
  <c r="K225" i="13"/>
  <c r="H225" i="13"/>
  <c r="J217" i="13"/>
  <c r="I217" i="13"/>
  <c r="J196" i="13"/>
  <c r="J198" i="13" s="1"/>
  <c r="I196" i="13"/>
  <c r="I198" i="13" s="1"/>
  <c r="I250" i="13"/>
  <c r="K137" i="13"/>
  <c r="O137" i="13"/>
  <c r="P137" i="13"/>
  <c r="H137" i="13"/>
  <c r="K106" i="13"/>
  <c r="O106" i="13"/>
  <c r="P106" i="13"/>
  <c r="H106" i="13"/>
  <c r="J105" i="13"/>
  <c r="I105" i="13"/>
  <c r="P73" i="13"/>
  <c r="H73" i="13"/>
  <c r="K73" i="13"/>
  <c r="O73" i="13"/>
  <c r="L217" i="13" l="1"/>
  <c r="J12" i="14"/>
  <c r="K31" i="16"/>
  <c r="L31" i="16" s="1"/>
  <c r="L105" i="13"/>
  <c r="M105" i="13" s="1"/>
  <c r="N105" i="13" s="1"/>
  <c r="Q105" i="13" s="1"/>
  <c r="R105" i="13" s="1"/>
  <c r="L196" i="13"/>
  <c r="L198" i="13" s="1"/>
  <c r="F140" i="4"/>
  <c r="N115" i="4"/>
  <c r="I115" i="4"/>
  <c r="M115" i="4"/>
  <c r="F115" i="4"/>
  <c r="H114" i="4"/>
  <c r="G114" i="4"/>
  <c r="M217" i="13" l="1"/>
  <c r="N217" i="13" s="1"/>
  <c r="K12" i="14"/>
  <c r="L12" i="14" s="1"/>
  <c r="K33" i="16"/>
  <c r="M196" i="13"/>
  <c r="M198" i="13" s="1"/>
  <c r="J114" i="4"/>
  <c r="K114" i="4" s="1"/>
  <c r="L114" i="4" s="1"/>
  <c r="O114" i="4" s="1"/>
  <c r="P114" i="4" s="1"/>
  <c r="Q217" i="13" l="1"/>
  <c r="N12" i="14"/>
  <c r="O12" i="14" s="1"/>
  <c r="N196" i="13"/>
  <c r="N198" i="13" s="1"/>
  <c r="R217" i="13" l="1"/>
  <c r="Q196" i="13"/>
  <c r="Q198" i="13" s="1"/>
  <c r="R196" i="13" l="1"/>
  <c r="R198" i="13" s="1"/>
  <c r="K156" i="13" l="1"/>
  <c r="O156" i="13"/>
  <c r="P156" i="13"/>
  <c r="H156" i="13"/>
  <c r="I155" i="13"/>
  <c r="J155" i="13"/>
  <c r="K112" i="13"/>
  <c r="O112" i="13"/>
  <c r="P112" i="13"/>
  <c r="H112" i="13"/>
  <c r="K95" i="13"/>
  <c r="O95" i="13"/>
  <c r="P95" i="13"/>
  <c r="H95" i="13"/>
  <c r="K65" i="13"/>
  <c r="O65" i="13"/>
  <c r="P65" i="13"/>
  <c r="H65" i="13"/>
  <c r="P69" i="13"/>
  <c r="O69" i="13"/>
  <c r="K69" i="13"/>
  <c r="H69" i="13"/>
  <c r="J68" i="13"/>
  <c r="I68" i="13"/>
  <c r="J94" i="13"/>
  <c r="I94" i="13"/>
  <c r="I192" i="13"/>
  <c r="I140" i="4"/>
  <c r="M140" i="4"/>
  <c r="N140" i="4"/>
  <c r="I133" i="4"/>
  <c r="M133" i="4"/>
  <c r="N133" i="4"/>
  <c r="F133" i="4"/>
  <c r="I128" i="4"/>
  <c r="M128" i="4"/>
  <c r="N128" i="4"/>
  <c r="F128" i="4"/>
  <c r="F121" i="4"/>
  <c r="I103" i="4"/>
  <c r="M103" i="4"/>
  <c r="F85" i="4"/>
  <c r="I68" i="4"/>
  <c r="M68" i="4"/>
  <c r="N68" i="4"/>
  <c r="F68" i="4"/>
  <c r="I48" i="4"/>
  <c r="M48" i="4"/>
  <c r="N48" i="4"/>
  <c r="F48" i="4"/>
  <c r="N149" i="4"/>
  <c r="I149" i="4"/>
  <c r="F149" i="4"/>
  <c r="L33" i="4"/>
  <c r="G34" i="4"/>
  <c r="H34" i="4"/>
  <c r="I34" i="4"/>
  <c r="J34" i="4"/>
  <c r="K34" i="4"/>
  <c r="M34" i="4"/>
  <c r="N34" i="4"/>
  <c r="F34" i="4"/>
  <c r="L155" i="13" l="1"/>
  <c r="M155" i="13" s="1"/>
  <c r="N155" i="13" s="1"/>
  <c r="Q155" i="13" s="1"/>
  <c r="R155" i="13" s="1"/>
  <c r="L34" i="4"/>
  <c r="O33" i="4"/>
  <c r="P33" i="4" s="1"/>
  <c r="P34" i="4" s="1"/>
  <c r="L68" i="13"/>
  <c r="I69" i="13"/>
  <c r="J69" i="13"/>
  <c r="L94" i="13"/>
  <c r="M68" i="13" l="1"/>
  <c r="N68" i="13" s="1"/>
  <c r="Q68" i="13" s="1"/>
  <c r="R68" i="13" s="1"/>
  <c r="R69" i="13" s="1"/>
  <c r="M94" i="13"/>
  <c r="L69" i="13"/>
  <c r="M69" i="13" l="1"/>
  <c r="N94" i="13"/>
  <c r="N95" i="13" s="1"/>
  <c r="N69" i="13" l="1"/>
  <c r="Q94" i="13"/>
  <c r="Q69" i="13" l="1"/>
  <c r="R94" i="13"/>
  <c r="H48" i="13" l="1"/>
  <c r="H34" i="13"/>
  <c r="H26" i="13"/>
  <c r="H20" i="13"/>
  <c r="H178" i="13"/>
  <c r="H170" i="13"/>
  <c r="K170" i="13"/>
  <c r="O170" i="13"/>
  <c r="P170" i="13"/>
  <c r="K91" i="13"/>
  <c r="O91" i="13"/>
  <c r="P91" i="13"/>
  <c r="H91" i="13"/>
  <c r="I79" i="13"/>
  <c r="J79" i="13"/>
  <c r="K57" i="13"/>
  <c r="O57" i="13"/>
  <c r="P57" i="13"/>
  <c r="H57" i="13"/>
  <c r="I56" i="13"/>
  <c r="J56" i="13"/>
  <c r="P48" i="13"/>
  <c r="O48" i="13"/>
  <c r="K48" i="13"/>
  <c r="J47" i="13"/>
  <c r="J48" i="13" s="1"/>
  <c r="I47" i="13"/>
  <c r="I48" i="13" s="1"/>
  <c r="G306" i="4"/>
  <c r="H306" i="4"/>
  <c r="G274" i="4"/>
  <c r="H274" i="4"/>
  <c r="G273" i="4"/>
  <c r="H273" i="4"/>
  <c r="H187" i="4"/>
  <c r="G187" i="4"/>
  <c r="I85" i="4"/>
  <c r="M85" i="4"/>
  <c r="N85" i="4"/>
  <c r="F26" i="4"/>
  <c r="J187" i="4" l="1"/>
  <c r="K187" i="4" s="1"/>
  <c r="L187" i="4" s="1"/>
  <c r="O187" i="4" s="1"/>
  <c r="L56" i="13"/>
  <c r="M56" i="13" s="1"/>
  <c r="L79" i="13"/>
  <c r="M79" i="13" s="1"/>
  <c r="L47" i="13"/>
  <c r="J306" i="4"/>
  <c r="J274" i="4"/>
  <c r="J273" i="4"/>
  <c r="J42" i="16"/>
  <c r="G42" i="16"/>
  <c r="J38" i="16"/>
  <c r="G38" i="16"/>
  <c r="I27" i="16"/>
  <c r="I23" i="16"/>
  <c r="I24" i="16" s="1"/>
  <c r="H23" i="16"/>
  <c r="H24" i="16" s="1"/>
  <c r="G24" i="16"/>
  <c r="G84" i="16"/>
  <c r="H27" i="16"/>
  <c r="J24" i="16"/>
  <c r="J13" i="16"/>
  <c r="G13" i="16"/>
  <c r="J55" i="13"/>
  <c r="I55" i="13"/>
  <c r="P20" i="13"/>
  <c r="I19" i="13"/>
  <c r="J19" i="13"/>
  <c r="H17" i="14"/>
  <c r="G17" i="14"/>
  <c r="M47" i="13" l="1"/>
  <c r="N47" i="13" s="1"/>
  <c r="N48" i="13" s="1"/>
  <c r="J17" i="14"/>
  <c r="K17" i="14" s="1"/>
  <c r="L17" i="14" s="1"/>
  <c r="N56" i="13"/>
  <c r="Q56" i="13" s="1"/>
  <c r="R56" i="13" s="1"/>
  <c r="P187" i="4"/>
  <c r="L48" i="13"/>
  <c r="K306" i="4"/>
  <c r="L306" i="4" s="1"/>
  <c r="K274" i="4"/>
  <c r="L274" i="4" s="1"/>
  <c r="O274" i="4" s="1"/>
  <c r="K273" i="4"/>
  <c r="L273" i="4" s="1"/>
  <c r="O273" i="4" s="1"/>
  <c r="K24" i="16"/>
  <c r="L55" i="13"/>
  <c r="L19" i="13"/>
  <c r="F285" i="4"/>
  <c r="H282" i="4"/>
  <c r="G282" i="4"/>
  <c r="H305" i="4"/>
  <c r="G305" i="4"/>
  <c r="G272" i="4"/>
  <c r="H272" i="4"/>
  <c r="G271" i="4"/>
  <c r="H271" i="4"/>
  <c r="G270" i="4"/>
  <c r="H270" i="4"/>
  <c r="H13" i="14"/>
  <c r="G13" i="14"/>
  <c r="H101" i="4"/>
  <c r="G101" i="4"/>
  <c r="H22" i="4"/>
  <c r="G22" i="4"/>
  <c r="O43" i="4"/>
  <c r="P43" i="4" s="1"/>
  <c r="O34" i="4"/>
  <c r="H10" i="14"/>
  <c r="G10" i="14"/>
  <c r="H9" i="14"/>
  <c r="G9" i="14"/>
  <c r="H11" i="14"/>
  <c r="G11" i="14"/>
  <c r="I62" i="4"/>
  <c r="M62" i="4"/>
  <c r="N62" i="4"/>
  <c r="F62" i="4"/>
  <c r="H59" i="4"/>
  <c r="G59" i="4"/>
  <c r="G8" i="14"/>
  <c r="H8" i="14"/>
  <c r="H7" i="14"/>
  <c r="G7" i="14"/>
  <c r="H65" i="4"/>
  <c r="G65" i="4"/>
  <c r="K246" i="13"/>
  <c r="O246" i="13"/>
  <c r="P246" i="13"/>
  <c r="H246" i="13"/>
  <c r="P237" i="13"/>
  <c r="O237" i="13"/>
  <c r="K237" i="13"/>
  <c r="H237" i="13"/>
  <c r="J236" i="13"/>
  <c r="J237" i="13" s="1"/>
  <c r="I236" i="13"/>
  <c r="I237" i="13" s="1"/>
  <c r="H166" i="13"/>
  <c r="J244" i="13"/>
  <c r="I244" i="13"/>
  <c r="I320" i="4"/>
  <c r="M320" i="4"/>
  <c r="N320" i="4"/>
  <c r="F320" i="4"/>
  <c r="G19" i="14"/>
  <c r="H19" i="14"/>
  <c r="G18" i="14"/>
  <c r="H18" i="14"/>
  <c r="A10" i="4"/>
  <c r="H318" i="4"/>
  <c r="G318" i="4"/>
  <c r="H15" i="4"/>
  <c r="G15" i="4"/>
  <c r="N17" i="14" l="1"/>
  <c r="O17" i="14" s="1"/>
  <c r="M48" i="13"/>
  <c r="Q47" i="13"/>
  <c r="L23" i="16"/>
  <c r="L24" i="16" s="1"/>
  <c r="M55" i="13"/>
  <c r="J7" i="14"/>
  <c r="J19" i="14"/>
  <c r="K19" i="14" s="1"/>
  <c r="L19" i="14" s="1"/>
  <c r="J9" i="14"/>
  <c r="J13" i="14"/>
  <c r="J18" i="14"/>
  <c r="K18" i="14" s="1"/>
  <c r="L18" i="14" s="1"/>
  <c r="J8" i="14"/>
  <c r="K8" i="14" s="1"/>
  <c r="L8" i="14" s="1"/>
  <c r="J11" i="14"/>
  <c r="K11" i="14" s="1"/>
  <c r="L11" i="14" s="1"/>
  <c r="J10" i="14"/>
  <c r="K10" i="14" s="1"/>
  <c r="L10" i="14" s="1"/>
  <c r="M19" i="13"/>
  <c r="J305" i="4"/>
  <c r="K305" i="4" s="1"/>
  <c r="L305" i="4" s="1"/>
  <c r="J22" i="4"/>
  <c r="J282" i="4"/>
  <c r="K282" i="4" s="1"/>
  <c r="J271" i="4"/>
  <c r="K271" i="4" s="1"/>
  <c r="L271" i="4" s="1"/>
  <c r="O271" i="4" s="1"/>
  <c r="J272" i="4"/>
  <c r="J270" i="4"/>
  <c r="J101" i="4"/>
  <c r="K101" i="4" s="1"/>
  <c r="L101" i="4" s="1"/>
  <c r="J65" i="4"/>
  <c r="J59" i="4"/>
  <c r="L244" i="13"/>
  <c r="L236" i="13"/>
  <c r="J15" i="4"/>
  <c r="K15" i="4" s="1"/>
  <c r="L15" i="4" s="1"/>
  <c r="O15" i="4" s="1"/>
  <c r="J318" i="4"/>
  <c r="N11" i="14" l="1"/>
  <c r="O11" i="14" s="1"/>
  <c r="N18" i="14"/>
  <c r="O18" i="14" s="1"/>
  <c r="N19" i="14"/>
  <c r="O19" i="14" s="1"/>
  <c r="N19" i="13"/>
  <c r="Q19" i="13" s="1"/>
  <c r="R19" i="13" s="1"/>
  <c r="P15" i="4"/>
  <c r="Q48" i="13"/>
  <c r="R47" i="13"/>
  <c r="R48" i="13" s="1"/>
  <c r="N8" i="14"/>
  <c r="O8" i="14" s="1"/>
  <c r="N10" i="14"/>
  <c r="O10" i="14" s="1"/>
  <c r="K13" i="14"/>
  <c r="L13" i="14" s="1"/>
  <c r="O305" i="4"/>
  <c r="P305" i="4" s="1"/>
  <c r="L282" i="4"/>
  <c r="O282" i="4" s="1"/>
  <c r="P282" i="4" s="1"/>
  <c r="O101" i="4"/>
  <c r="P101" i="4" s="1"/>
  <c r="K65" i="4"/>
  <c r="O306" i="4"/>
  <c r="N55" i="13"/>
  <c r="P273" i="4"/>
  <c r="P274" i="4"/>
  <c r="K9" i="14"/>
  <c r="L9" i="14" s="1"/>
  <c r="K7" i="14"/>
  <c r="L7" i="14" s="1"/>
  <c r="K272" i="4"/>
  <c r="L272" i="4" s="1"/>
  <c r="O272" i="4" s="1"/>
  <c r="P271" i="4"/>
  <c r="K270" i="4"/>
  <c r="L270" i="4" s="1"/>
  <c r="O270" i="4" s="1"/>
  <c r="K59" i="4"/>
  <c r="L59" i="4" s="1"/>
  <c r="K318" i="4"/>
  <c r="L237" i="13"/>
  <c r="M236" i="13"/>
  <c r="N236" i="13" s="1"/>
  <c r="M244" i="13"/>
  <c r="N244" i="13" s="1"/>
  <c r="N9" i="14" l="1"/>
  <c r="O9" i="14" s="1"/>
  <c r="N13" i="14"/>
  <c r="O13" i="14" s="1"/>
  <c r="P306" i="4"/>
  <c r="L65" i="4"/>
  <c r="Q55" i="13"/>
  <c r="N57" i="13"/>
  <c r="M237" i="13"/>
  <c r="P272" i="4"/>
  <c r="P270" i="4"/>
  <c r="L318" i="4"/>
  <c r="N237" i="13"/>
  <c r="Q236" i="13"/>
  <c r="Q237" i="13" s="1"/>
  <c r="N7" i="14" l="1"/>
  <c r="O65" i="4"/>
  <c r="R55" i="13"/>
  <c r="O59" i="4"/>
  <c r="O318" i="4"/>
  <c r="Q244" i="13"/>
  <c r="R236" i="13"/>
  <c r="R237" i="13" s="1"/>
  <c r="P65" i="4" l="1"/>
  <c r="O7" i="14"/>
  <c r="P59" i="4"/>
  <c r="P318" i="4"/>
  <c r="R244" i="13"/>
  <c r="K161" i="13" l="1"/>
  <c r="O161" i="13"/>
  <c r="P161" i="13"/>
  <c r="H161" i="13"/>
  <c r="K152" i="13"/>
  <c r="O152" i="13"/>
  <c r="P152" i="13"/>
  <c r="H152" i="13"/>
  <c r="K146" i="13"/>
  <c r="H146" i="13"/>
  <c r="K142" i="13"/>
  <c r="O142" i="13"/>
  <c r="P142" i="13"/>
  <c r="H142" i="13"/>
  <c r="K34" i="13"/>
  <c r="O34" i="13"/>
  <c r="P34" i="13"/>
  <c r="I349" i="4" l="1"/>
  <c r="M349" i="4"/>
  <c r="N349" i="4"/>
  <c r="F349" i="4"/>
  <c r="I285" i="4"/>
  <c r="M285" i="4"/>
  <c r="N285" i="4"/>
  <c r="I180" i="4"/>
  <c r="M180" i="4"/>
  <c r="N180" i="4"/>
  <c r="F180" i="4"/>
  <c r="I173" i="4"/>
  <c r="M173" i="4"/>
  <c r="N173" i="4"/>
  <c r="F173" i="4"/>
  <c r="I91" i="4"/>
  <c r="M91" i="4"/>
  <c r="N91" i="4"/>
  <c r="F91" i="4"/>
  <c r="K166" i="13"/>
  <c r="O166" i="13"/>
  <c r="P166" i="13"/>
  <c r="I165" i="13"/>
  <c r="J165" i="13"/>
  <c r="I33" i="13"/>
  <c r="J33" i="13"/>
  <c r="G16" i="14"/>
  <c r="H16" i="14"/>
  <c r="J16" i="14" l="1"/>
  <c r="L33" i="13"/>
  <c r="M33" i="13" s="1"/>
  <c r="N33" i="13" s="1"/>
  <c r="L165" i="13"/>
  <c r="M165" i="13" s="1"/>
  <c r="N165" i="13" s="1"/>
  <c r="Q165" i="13" s="1"/>
  <c r="R165" i="13" s="1"/>
  <c r="I57" i="16"/>
  <c r="H57" i="16"/>
  <c r="G304" i="4"/>
  <c r="H304" i="4"/>
  <c r="G284" i="4"/>
  <c r="H284" i="4"/>
  <c r="H267" i="4"/>
  <c r="G267" i="4"/>
  <c r="G268" i="4"/>
  <c r="H268" i="4"/>
  <c r="I194" i="4"/>
  <c r="M194" i="4"/>
  <c r="N194" i="4"/>
  <c r="F194" i="4"/>
  <c r="H192" i="4"/>
  <c r="G192" i="4"/>
  <c r="F153" i="4"/>
  <c r="Q33" i="13" l="1"/>
  <c r="R33" i="13" s="1"/>
  <c r="K16" i="14"/>
  <c r="L16" i="14" s="1"/>
  <c r="N16" i="14" s="1"/>
  <c r="O16" i="14" s="1"/>
  <c r="J284" i="4"/>
  <c r="K284" i="4" s="1"/>
  <c r="J304" i="4"/>
  <c r="J268" i="4"/>
  <c r="K268" i="4" s="1"/>
  <c r="J192" i="4"/>
  <c r="K192" i="4" s="1"/>
  <c r="L268" i="4" l="1"/>
  <c r="O268" i="4" s="1"/>
  <c r="P268" i="4" s="1"/>
  <c r="L284" i="4"/>
  <c r="O284" i="4" s="1"/>
  <c r="P284" i="4" s="1"/>
  <c r="L192" i="4"/>
  <c r="O192" i="4" s="1"/>
  <c r="P192" i="4" s="1"/>
  <c r="K304" i="4"/>
  <c r="L304" i="4" l="1"/>
  <c r="O304" i="4" s="1"/>
  <c r="P304" i="4" s="1"/>
  <c r="H37" i="16" l="1"/>
  <c r="I37" i="16"/>
  <c r="H58" i="16"/>
  <c r="I58" i="16"/>
  <c r="I123" i="16"/>
  <c r="H123" i="16"/>
  <c r="I119" i="16"/>
  <c r="H119" i="16"/>
  <c r="I115" i="16"/>
  <c r="H115" i="16"/>
  <c r="I97" i="16"/>
  <c r="H97" i="16"/>
  <c r="I83" i="16"/>
  <c r="H83" i="16"/>
  <c r="I49" i="16"/>
  <c r="H49" i="16"/>
  <c r="I150" i="13"/>
  <c r="J150" i="13"/>
  <c r="K49" i="16" l="1"/>
  <c r="K50" i="16" s="1"/>
  <c r="L150" i="13"/>
  <c r="M150" i="13" s="1"/>
  <c r="N150" i="13" l="1"/>
  <c r="Q150" i="13" s="1"/>
  <c r="R150" i="13" s="1"/>
  <c r="G94" i="16" l="1"/>
  <c r="J94" i="16" l="1"/>
  <c r="H93" i="16"/>
  <c r="H94" i="16" s="1"/>
  <c r="I93" i="16"/>
  <c r="I94" i="16" s="1"/>
  <c r="I78" i="16"/>
  <c r="H78" i="16"/>
  <c r="P255" i="13"/>
  <c r="O255" i="13"/>
  <c r="K255" i="13"/>
  <c r="H255" i="13"/>
  <c r="J254" i="13"/>
  <c r="J255" i="13" s="1"/>
  <c r="I254" i="13"/>
  <c r="I255" i="13" s="1"/>
  <c r="J249" i="13"/>
  <c r="I249" i="13"/>
  <c r="I251" i="13" s="1"/>
  <c r="I145" i="13"/>
  <c r="J145" i="13"/>
  <c r="P126" i="13"/>
  <c r="L84" i="13"/>
  <c r="L85" i="13"/>
  <c r="M85" i="13" s="1"/>
  <c r="N85" i="13" s="1"/>
  <c r="I90" i="13"/>
  <c r="J90" i="13"/>
  <c r="I162" i="4"/>
  <c r="M162" i="4"/>
  <c r="N162" i="4"/>
  <c r="F162" i="4"/>
  <c r="H161" i="4"/>
  <c r="G161" i="4"/>
  <c r="J156" i="13"/>
  <c r="H126" i="13"/>
  <c r="J122" i="13"/>
  <c r="J123" i="13"/>
  <c r="I123" i="13"/>
  <c r="Q85" i="13" l="1"/>
  <c r="R85" i="13" s="1"/>
  <c r="J161" i="4"/>
  <c r="K161" i="4" s="1"/>
  <c r="L161" i="4" s="1"/>
  <c r="K94" i="16"/>
  <c r="L249" i="13"/>
  <c r="L254" i="13"/>
  <c r="L255" i="13" s="1"/>
  <c r="L145" i="13"/>
  <c r="M145" i="13" s="1"/>
  <c r="N145" i="13" s="1"/>
  <c r="M84" i="13"/>
  <c r="N84" i="13" s="1"/>
  <c r="L123" i="13"/>
  <c r="M123" i="13" s="1"/>
  <c r="N123" i="13" s="1"/>
  <c r="L90" i="13"/>
  <c r="M90" i="13" s="1"/>
  <c r="N90" i="13" s="1"/>
  <c r="M249" i="13" l="1"/>
  <c r="N249" i="13" s="1"/>
  <c r="O161" i="4"/>
  <c r="P161" i="4" s="1"/>
  <c r="Q84" i="13"/>
  <c r="R84" i="13" s="1"/>
  <c r="L93" i="16"/>
  <c r="L94" i="16" s="1"/>
  <c r="M254" i="13"/>
  <c r="Q123" i="13"/>
  <c r="R123" i="13" s="1"/>
  <c r="N198" i="4"/>
  <c r="I198" i="4"/>
  <c r="F198" i="4"/>
  <c r="H197" i="4"/>
  <c r="H198" i="4" s="1"/>
  <c r="G197" i="4"/>
  <c r="G198" i="4" s="1"/>
  <c r="M255" i="13" l="1"/>
  <c r="N254" i="13"/>
  <c r="N255" i="13" s="1"/>
  <c r="Q145" i="13"/>
  <c r="J197" i="4"/>
  <c r="Q254" i="13" l="1"/>
  <c r="Q255" i="13" s="1"/>
  <c r="R145" i="13"/>
  <c r="J198" i="4"/>
  <c r="K197" i="4"/>
  <c r="R254" i="13" l="1"/>
  <c r="R255" i="13" s="1"/>
  <c r="K198" i="4"/>
  <c r="L197" i="4"/>
  <c r="L198" i="4" l="1"/>
  <c r="O197" i="4"/>
  <c r="O198" i="4" s="1"/>
  <c r="P197" i="4" l="1"/>
  <c r="P198" i="4" s="1"/>
  <c r="J245" i="13" l="1"/>
  <c r="J246" i="13" s="1"/>
  <c r="I245" i="13"/>
  <c r="I246" i="13" s="1"/>
  <c r="L245" i="13" l="1"/>
  <c r="L246" i="13" s="1"/>
  <c r="I17" i="13"/>
  <c r="J17" i="13"/>
  <c r="I18" i="13"/>
  <c r="J18" i="13"/>
  <c r="K11" i="13"/>
  <c r="O11" i="13"/>
  <c r="P11" i="13"/>
  <c r="H11" i="13"/>
  <c r="A14" i="13"/>
  <c r="K20" i="13"/>
  <c r="O20" i="13"/>
  <c r="I158" i="4"/>
  <c r="M158" i="4"/>
  <c r="N158" i="4"/>
  <c r="F158" i="4"/>
  <c r="J219" i="13"/>
  <c r="I219" i="13"/>
  <c r="J111" i="13"/>
  <c r="I111" i="13"/>
  <c r="K109" i="13"/>
  <c r="O109" i="13"/>
  <c r="P109" i="13"/>
  <c r="H109" i="13"/>
  <c r="J77" i="13"/>
  <c r="I77" i="13"/>
  <c r="G302" i="4"/>
  <c r="H302" i="4"/>
  <c r="G301" i="4"/>
  <c r="H301" i="4"/>
  <c r="G283" i="4"/>
  <c r="H283" i="4"/>
  <c r="G266" i="4"/>
  <c r="G269" i="4"/>
  <c r="H266" i="4"/>
  <c r="I26" i="4"/>
  <c r="J112" i="13" l="1"/>
  <c r="I112" i="13"/>
  <c r="M245" i="13"/>
  <c r="N245" i="13" s="1"/>
  <c r="L17" i="13"/>
  <c r="M17" i="13" s="1"/>
  <c r="N17" i="13" s="1"/>
  <c r="L219" i="13"/>
  <c r="M219" i="13" s="1"/>
  <c r="N219" i="13" s="1"/>
  <c r="L18" i="13"/>
  <c r="M18" i="13" s="1"/>
  <c r="L111" i="13"/>
  <c r="L112" i="13" s="1"/>
  <c r="L77" i="13"/>
  <c r="M77" i="13" s="1"/>
  <c r="J302" i="4"/>
  <c r="K302" i="4" s="1"/>
  <c r="L302" i="4" s="1"/>
  <c r="J301" i="4"/>
  <c r="K301" i="4" s="1"/>
  <c r="L301" i="4" s="1"/>
  <c r="J283" i="4"/>
  <c r="K283" i="4" s="1"/>
  <c r="L283" i="4" s="1"/>
  <c r="J267" i="4"/>
  <c r="J266" i="4"/>
  <c r="K266" i="4" s="1"/>
  <c r="L266" i="4" s="1"/>
  <c r="O266" i="4" s="1"/>
  <c r="N18" i="13" l="1"/>
  <c r="Q18" i="13" s="1"/>
  <c r="R18" i="13" s="1"/>
  <c r="Q219" i="13"/>
  <c r="R219" i="13" s="1"/>
  <c r="Q17" i="13"/>
  <c r="R17" i="13" s="1"/>
  <c r="M246" i="13"/>
  <c r="K267" i="4"/>
  <c r="L267" i="4" s="1"/>
  <c r="O267" i="4" s="1"/>
  <c r="M111" i="13"/>
  <c r="K26" i="13"/>
  <c r="O26" i="13"/>
  <c r="H205" i="4"/>
  <c r="G205" i="4"/>
  <c r="N111" i="13" l="1"/>
  <c r="N112" i="13" s="1"/>
  <c r="M112" i="13"/>
  <c r="Q245" i="13"/>
  <c r="Q246" i="13" s="1"/>
  <c r="N246" i="13"/>
  <c r="O302" i="4"/>
  <c r="P302" i="4" s="1"/>
  <c r="O301" i="4"/>
  <c r="P301" i="4" s="1"/>
  <c r="J205" i="4"/>
  <c r="P266" i="4"/>
  <c r="K205" i="4" l="1"/>
  <c r="R245" i="13"/>
  <c r="R246" i="13" s="1"/>
  <c r="Q111" i="13"/>
  <c r="O283" i="4"/>
  <c r="L205" i="4" l="1"/>
  <c r="O205" i="4" s="1"/>
  <c r="Q112" i="13"/>
  <c r="P267" i="4"/>
  <c r="R111" i="13"/>
  <c r="P283" i="4"/>
  <c r="R112" i="13" l="1"/>
  <c r="P205" i="4"/>
  <c r="H61" i="13" l="1"/>
  <c r="F330" i="4"/>
  <c r="G59" i="16" l="1"/>
  <c r="G46" i="16"/>
  <c r="K119" i="13" l="1"/>
  <c r="O119" i="13"/>
  <c r="P119" i="13"/>
  <c r="H119" i="13"/>
  <c r="I51" i="13"/>
  <c r="J51" i="13"/>
  <c r="I104" i="13"/>
  <c r="J104" i="13"/>
  <c r="I330" i="4"/>
  <c r="M330" i="4"/>
  <c r="M351" i="4" s="1"/>
  <c r="N330" i="4"/>
  <c r="G329" i="4"/>
  <c r="H329" i="4"/>
  <c r="G246" i="4"/>
  <c r="H246" i="4"/>
  <c r="H138" i="4"/>
  <c r="G138" i="4"/>
  <c r="J329" i="4" l="1"/>
  <c r="K329" i="4" s="1"/>
  <c r="L329" i="4" s="1"/>
  <c r="L104" i="13"/>
  <c r="M104" i="13" s="1"/>
  <c r="N104" i="13" s="1"/>
  <c r="L51" i="13"/>
  <c r="M51" i="13" s="1"/>
  <c r="J246" i="4"/>
  <c r="J138" i="4"/>
  <c r="K138" i="4" s="1"/>
  <c r="L138" i="4" s="1"/>
  <c r="O329" i="4" l="1"/>
  <c r="P329" i="4" s="1"/>
  <c r="Q104" i="13"/>
  <c r="R104" i="13" s="1"/>
  <c r="N51" i="13"/>
  <c r="Q51" i="13" s="1"/>
  <c r="R51" i="13" s="1"/>
  <c r="O138" i="4"/>
  <c r="P138" i="4" s="1"/>
  <c r="K246" i="4"/>
  <c r="L246" i="4" l="1"/>
  <c r="O246" i="4" s="1"/>
  <c r="P246" i="4" s="1"/>
  <c r="K97" i="16"/>
  <c r="K98" i="16" s="1"/>
  <c r="K87" i="16"/>
  <c r="K88" i="16" s="1"/>
  <c r="L114" i="16" l="1"/>
  <c r="K259" i="13"/>
  <c r="H124" i="16" l="1"/>
  <c r="I124" i="16"/>
  <c r="J124" i="16"/>
  <c r="G124" i="16"/>
  <c r="J59" i="16"/>
  <c r="H46" i="16"/>
  <c r="I46" i="16"/>
  <c r="J46" i="16"/>
  <c r="K37" i="16"/>
  <c r="L37" i="16" l="1"/>
  <c r="H268" i="13"/>
  <c r="K268" i="13"/>
  <c r="O268" i="13"/>
  <c r="P268" i="13"/>
  <c r="J151" i="13"/>
  <c r="J152" i="13" s="1"/>
  <c r="I151" i="13"/>
  <c r="J31" i="13"/>
  <c r="I31" i="13"/>
  <c r="L31" i="13" l="1"/>
  <c r="M31" i="13" s="1"/>
  <c r="N31" i="13" s="1"/>
  <c r="L151" i="13"/>
  <c r="M151" i="13" s="1"/>
  <c r="N151" i="13" s="1"/>
  <c r="H213" i="13"/>
  <c r="Q151" i="13" l="1"/>
  <c r="R151" i="13" s="1"/>
  <c r="Q31" i="13"/>
  <c r="R31" i="13" s="1"/>
  <c r="K45" i="16"/>
  <c r="K46" i="16" s="1"/>
  <c r="F223" i="4" l="1"/>
  <c r="I223" i="4"/>
  <c r="N223" i="4"/>
  <c r="H222" i="4"/>
  <c r="G222" i="4"/>
  <c r="J222" i="4" l="1"/>
  <c r="K222" i="4" l="1"/>
  <c r="K124" i="16"/>
  <c r="G116" i="16"/>
  <c r="L222" i="4" l="1"/>
  <c r="O222" i="4" s="1"/>
  <c r="P222" i="4" s="1"/>
  <c r="L123" i="16"/>
  <c r="L124" i="16" s="1"/>
  <c r="I223" i="13"/>
  <c r="J223" i="13"/>
  <c r="J212" i="13"/>
  <c r="I212" i="13"/>
  <c r="L223" i="13" l="1"/>
  <c r="L212" i="13"/>
  <c r="M223" i="13" l="1"/>
  <c r="M212" i="13"/>
  <c r="I242" i="4"/>
  <c r="N242" i="4"/>
  <c r="F242" i="4"/>
  <c r="I237" i="4"/>
  <c r="N237" i="4"/>
  <c r="F237" i="4"/>
  <c r="I232" i="4"/>
  <c r="N232" i="4"/>
  <c r="F232" i="4"/>
  <c r="I228" i="4"/>
  <c r="F228" i="4"/>
  <c r="I213" i="4"/>
  <c r="N213" i="4"/>
  <c r="F213" i="4"/>
  <c r="I202" i="4"/>
  <c r="N202" i="4"/>
  <c r="F202" i="4"/>
  <c r="I189" i="4"/>
  <c r="N189" i="4"/>
  <c r="F189" i="4"/>
  <c r="I184" i="4"/>
  <c r="N184" i="4"/>
  <c r="F184" i="4"/>
  <c r="I165" i="4"/>
  <c r="N165" i="4"/>
  <c r="F165" i="4"/>
  <c r="I153" i="4"/>
  <c r="N153" i="4"/>
  <c r="F145" i="4"/>
  <c r="I145" i="4"/>
  <c r="N145" i="4"/>
  <c r="I108" i="4"/>
  <c r="N108" i="4"/>
  <c r="F108" i="4"/>
  <c r="I95" i="4"/>
  <c r="N95" i="4"/>
  <c r="F95" i="4"/>
  <c r="I72" i="4"/>
  <c r="N72" i="4"/>
  <c r="F72" i="4"/>
  <c r="I56" i="4"/>
  <c r="N56" i="4"/>
  <c r="F56" i="4"/>
  <c r="G52" i="4"/>
  <c r="H52" i="4"/>
  <c r="I52" i="4"/>
  <c r="N52" i="4"/>
  <c r="F52" i="4"/>
  <c r="I30" i="4"/>
  <c r="N30" i="4"/>
  <c r="F30" i="4"/>
  <c r="N26" i="4"/>
  <c r="K213" i="13"/>
  <c r="O213" i="13"/>
  <c r="P213" i="13"/>
  <c r="K178" i="13"/>
  <c r="O178" i="13"/>
  <c r="P178" i="13"/>
  <c r="I217" i="4"/>
  <c r="N217" i="4"/>
  <c r="F217" i="4"/>
  <c r="H152" i="4"/>
  <c r="I121" i="4"/>
  <c r="N121" i="4"/>
  <c r="N212" i="13" l="1"/>
  <c r="Q212" i="13" s="1"/>
  <c r="R212" i="13" s="1"/>
  <c r="N223" i="13"/>
  <c r="A15" i="13"/>
  <c r="A16" i="13" s="1"/>
  <c r="A17" i="13" s="1"/>
  <c r="A18" i="13" s="1"/>
  <c r="A19" i="13" s="1"/>
  <c r="A23" i="13" s="1"/>
  <c r="I105" i="16"/>
  <c r="H105" i="16"/>
  <c r="I101" i="16"/>
  <c r="H101" i="16"/>
  <c r="I82" i="16"/>
  <c r="H82" i="16"/>
  <c r="I77" i="16"/>
  <c r="H77" i="16"/>
  <c r="I61" i="16"/>
  <c r="H61" i="16"/>
  <c r="I59" i="16"/>
  <c r="I53" i="16"/>
  <c r="H53" i="16"/>
  <c r="H59" i="16"/>
  <c r="I41" i="16"/>
  <c r="I42" i="16" s="1"/>
  <c r="H41" i="16"/>
  <c r="H42" i="16" s="1"/>
  <c r="I36" i="16"/>
  <c r="I38" i="16" s="1"/>
  <c r="H36" i="16"/>
  <c r="H38" i="16" s="1"/>
  <c r="I12" i="16"/>
  <c r="I13" i="16" s="1"/>
  <c r="H12" i="16"/>
  <c r="H13" i="16" s="1"/>
  <c r="K61" i="13"/>
  <c r="O61" i="13"/>
  <c r="P61" i="13"/>
  <c r="I64" i="13"/>
  <c r="J64" i="13"/>
  <c r="I14" i="13"/>
  <c r="I15" i="13"/>
  <c r="Q223" i="13" l="1"/>
  <c r="K105" i="16"/>
  <c r="K106" i="16" s="1"/>
  <c r="K12" i="16"/>
  <c r="K13" i="16" s="1"/>
  <c r="L64" i="13"/>
  <c r="M64" i="13" s="1"/>
  <c r="N64" i="13" s="1"/>
  <c r="Q64" i="13" s="1"/>
  <c r="R223" i="13" l="1"/>
  <c r="R64" i="13"/>
  <c r="I324" i="4" l="1"/>
  <c r="N324" i="4"/>
  <c r="F324" i="4"/>
  <c r="I315" i="4"/>
  <c r="I351" i="4" s="1"/>
  <c r="N315" i="4"/>
  <c r="F315" i="4"/>
  <c r="G303" i="4"/>
  <c r="H303" i="4"/>
  <c r="H264" i="13"/>
  <c r="K126" i="13"/>
  <c r="O126" i="13"/>
  <c r="K264" i="13"/>
  <c r="J263" i="13"/>
  <c r="I263" i="13"/>
  <c r="I125" i="13"/>
  <c r="J125" i="13"/>
  <c r="L125" i="13" l="1"/>
  <c r="J303" i="4"/>
  <c r="K303" i="4" s="1"/>
  <c r="L303" i="4" s="1"/>
  <c r="L263" i="13"/>
  <c r="J93" i="13"/>
  <c r="J95" i="13" s="1"/>
  <c r="I93" i="13"/>
  <c r="I95" i="13" s="1"/>
  <c r="H106" i="16"/>
  <c r="I106" i="16"/>
  <c r="J106" i="16"/>
  <c r="G106" i="16"/>
  <c r="M263" i="13" l="1"/>
  <c r="Q263" i="13" s="1"/>
  <c r="R263" i="13" s="1"/>
  <c r="M125" i="13"/>
  <c r="N125" i="13" s="1"/>
  <c r="L93" i="13"/>
  <c r="L95" i="13" s="1"/>
  <c r="M93" i="13" l="1"/>
  <c r="M95" i="13" s="1"/>
  <c r="Q125" i="13" l="1"/>
  <c r="R125" i="13" l="1"/>
  <c r="Q93" i="13"/>
  <c r="Q95" i="13" s="1"/>
  <c r="R93" i="13" l="1"/>
  <c r="R95" i="13" s="1"/>
  <c r="H98" i="16" l="1"/>
  <c r="I98" i="16"/>
  <c r="J98" i="16"/>
  <c r="G98" i="16"/>
  <c r="L97" i="16"/>
  <c r="L98" i="16" s="1"/>
  <c r="O259" i="13"/>
  <c r="P259" i="13"/>
  <c r="H259" i="13"/>
  <c r="K233" i="13"/>
  <c r="O233" i="13"/>
  <c r="P233" i="13"/>
  <c r="H233" i="13"/>
  <c r="K229" i="13"/>
  <c r="O229" i="13"/>
  <c r="P229" i="13"/>
  <c r="H229" i="13"/>
  <c r="K193" i="13"/>
  <c r="O193" i="13"/>
  <c r="P193" i="13"/>
  <c r="H193" i="13"/>
  <c r="K188" i="13"/>
  <c r="O188" i="13"/>
  <c r="P188" i="13"/>
  <c r="H188" i="13"/>
  <c r="K182" i="13"/>
  <c r="O182" i="13"/>
  <c r="P182" i="13"/>
  <c r="H182" i="13"/>
  <c r="K116" i="13"/>
  <c r="O116" i="13"/>
  <c r="P116" i="13"/>
  <c r="H116" i="13"/>
  <c r="K99" i="13"/>
  <c r="O99" i="13"/>
  <c r="H99" i="13"/>
  <c r="J164" i="13"/>
  <c r="J166" i="13" s="1"/>
  <c r="I164" i="13"/>
  <c r="I166" i="13" s="1"/>
  <c r="P25" i="13"/>
  <c r="H208" i="4"/>
  <c r="G208" i="4"/>
  <c r="H118" i="4"/>
  <c r="G118" i="4"/>
  <c r="J40" i="13"/>
  <c r="I40" i="13"/>
  <c r="P26" i="13" l="1"/>
  <c r="J118" i="4"/>
  <c r="K118" i="4" s="1"/>
  <c r="L118" i="4" s="1"/>
  <c r="L164" i="13"/>
  <c r="L166" i="13" s="1"/>
  <c r="L40" i="13"/>
  <c r="M40" i="13" s="1"/>
  <c r="N40" i="13" s="1"/>
  <c r="J208" i="4"/>
  <c r="K208" i="4" s="1"/>
  <c r="L208" i="4" s="1"/>
  <c r="O208" i="4" l="1"/>
  <c r="P208" i="4" s="1"/>
  <c r="O118" i="4"/>
  <c r="P118" i="4" s="1"/>
  <c r="Q40" i="13"/>
  <c r="M164" i="13"/>
  <c r="M166" i="13" l="1"/>
  <c r="N164" i="13"/>
  <c r="N166" i="13" s="1"/>
  <c r="R40" i="13"/>
  <c r="I203" i="13"/>
  <c r="J203" i="13"/>
  <c r="I201" i="13"/>
  <c r="J201" i="13"/>
  <c r="I141" i="13"/>
  <c r="J141" i="13"/>
  <c r="I136" i="13"/>
  <c r="J136" i="13"/>
  <c r="I39" i="13"/>
  <c r="J39" i="13"/>
  <c r="G289" i="4"/>
  <c r="H289" i="4"/>
  <c r="I20" i="16"/>
  <c r="I21" i="16" s="1"/>
  <c r="H20" i="16"/>
  <c r="J21" i="16"/>
  <c r="G21" i="16"/>
  <c r="L20" i="16" l="1"/>
  <c r="H21" i="16"/>
  <c r="Q164" i="13"/>
  <c r="Q166" i="13" s="1"/>
  <c r="L141" i="13"/>
  <c r="L203" i="13"/>
  <c r="M203" i="13" s="1"/>
  <c r="N203" i="13" s="1"/>
  <c r="L201" i="13"/>
  <c r="L136" i="13"/>
  <c r="M136" i="13" s="1"/>
  <c r="L39" i="13"/>
  <c r="M39" i="13" s="1"/>
  <c r="N39" i="13" s="1"/>
  <c r="J289" i="4"/>
  <c r="K21" i="16" l="1"/>
  <c r="N136" i="13"/>
  <c r="Q136" i="13" s="1"/>
  <c r="K289" i="4"/>
  <c r="R164" i="13"/>
  <c r="R166" i="13" s="1"/>
  <c r="Q39" i="13"/>
  <c r="R39" i="13" s="1"/>
  <c r="Q203" i="13"/>
  <c r="R203" i="13" s="1"/>
  <c r="M141" i="13"/>
  <c r="N141" i="13" s="1"/>
  <c r="M201" i="13"/>
  <c r="L21" i="16"/>
  <c r="L289" i="4" l="1"/>
  <c r="O289" i="4" s="1"/>
  <c r="P289" i="4" s="1"/>
  <c r="N201" i="13"/>
  <c r="R136" i="13"/>
  <c r="J60" i="13"/>
  <c r="J61" i="13" s="1"/>
  <c r="I60" i="13"/>
  <c r="I61" i="13" s="1"/>
  <c r="Q141" i="13" l="1"/>
  <c r="Q201" i="13"/>
  <c r="L60" i="13"/>
  <c r="L61" i="13" s="1"/>
  <c r="R141" i="13" l="1"/>
  <c r="R201" i="13"/>
  <c r="M60" i="13"/>
  <c r="M61" i="13" s="1"/>
  <c r="N60" i="13" l="1"/>
  <c r="N61" i="13" s="1"/>
  <c r="Q60" i="13" l="1"/>
  <c r="Q61" i="13" s="1"/>
  <c r="R60" i="13" l="1"/>
  <c r="R61" i="13" s="1"/>
  <c r="G106" i="4"/>
  <c r="J106" i="4" l="1"/>
  <c r="K106" i="4" l="1"/>
  <c r="L106" i="4" l="1"/>
  <c r="O106" i="4" l="1"/>
  <c r="P106" i="4" l="1"/>
  <c r="J50" i="16"/>
  <c r="I50" i="16"/>
  <c r="H50" i="16"/>
  <c r="G50" i="16"/>
  <c r="J262" i="13"/>
  <c r="J264" i="13" s="1"/>
  <c r="I262" i="13"/>
  <c r="I264" i="13" s="1"/>
  <c r="J239" i="13"/>
  <c r="I239" i="13"/>
  <c r="I177" i="13"/>
  <c r="J177" i="13"/>
  <c r="J159" i="13"/>
  <c r="I159" i="13"/>
  <c r="J25" i="13"/>
  <c r="I25" i="13"/>
  <c r="L49" i="16" l="1"/>
  <c r="L50" i="16" s="1"/>
  <c r="L262" i="13"/>
  <c r="L264" i="13" s="1"/>
  <c r="L239" i="13"/>
  <c r="L177" i="13"/>
  <c r="M177" i="13" s="1"/>
  <c r="N177" i="13" s="1"/>
  <c r="L159" i="13"/>
  <c r="L25" i="13"/>
  <c r="H25" i="4"/>
  <c r="G25" i="4"/>
  <c r="G11" i="4"/>
  <c r="H11" i="4"/>
  <c r="M159" i="13" l="1"/>
  <c r="N159" i="13" s="1"/>
  <c r="M262" i="13"/>
  <c r="M239" i="13"/>
  <c r="Q177" i="13"/>
  <c r="R177" i="13" s="1"/>
  <c r="M25" i="13"/>
  <c r="N25" i="13" s="1"/>
  <c r="J25" i="4"/>
  <c r="K25" i="4" s="1"/>
  <c r="L25" i="4" s="1"/>
  <c r="J11" i="4"/>
  <c r="N239" i="13" l="1"/>
  <c r="K11" i="4"/>
  <c r="M264" i="13"/>
  <c r="N262" i="13"/>
  <c r="N264" i="13" s="1"/>
  <c r="L11" i="4" l="1"/>
  <c r="O11" i="4" s="1"/>
  <c r="P11" i="4" s="1"/>
  <c r="Q239" i="13"/>
  <c r="R239" i="13" s="1"/>
  <c r="Q159" i="13"/>
  <c r="Q262" i="13"/>
  <c r="Q264" i="13" s="1"/>
  <c r="Q25" i="13"/>
  <c r="R25" i="13" l="1"/>
  <c r="R159" i="13"/>
  <c r="O25" i="4"/>
  <c r="R262" i="13"/>
  <c r="R264" i="13" s="1"/>
  <c r="P25" i="4" l="1"/>
  <c r="K61" i="16" l="1"/>
  <c r="K62" i="16" s="1"/>
  <c r="K8" i="16"/>
  <c r="K9" i="16" s="1"/>
  <c r="J228" i="13"/>
  <c r="J229" i="13" s="1"/>
  <c r="J181" i="13"/>
  <c r="J182" i="13" s="1"/>
  <c r="J218" i="13"/>
  <c r="I218" i="13"/>
  <c r="J160" i="13"/>
  <c r="J161" i="13" s="1"/>
  <c r="I160" i="13"/>
  <c r="I161" i="13" s="1"/>
  <c r="J118" i="13"/>
  <c r="J119" i="13" s="1"/>
  <c r="I118" i="13"/>
  <c r="I119" i="13" s="1"/>
  <c r="J23" i="13"/>
  <c r="J14" i="13"/>
  <c r="H29" i="4"/>
  <c r="H30" i="4" s="1"/>
  <c r="G348" i="4"/>
  <c r="H348" i="4"/>
  <c r="G263" i="4"/>
  <c r="H263" i="4"/>
  <c r="G264" i="4"/>
  <c r="H264" i="4"/>
  <c r="G265" i="4"/>
  <c r="H265" i="4"/>
  <c r="G262" i="4"/>
  <c r="H262" i="4"/>
  <c r="J264" i="4" l="1"/>
  <c r="J348" i="4"/>
  <c r="L218" i="13"/>
  <c r="L160" i="13"/>
  <c r="L161" i="13" s="1"/>
  <c r="L118" i="13"/>
  <c r="L119" i="13" s="1"/>
  <c r="J263" i="4"/>
  <c r="J265" i="4"/>
  <c r="J262" i="4"/>
  <c r="K262" i="4" s="1"/>
  <c r="L262" i="4" s="1"/>
  <c r="O262" i="4" s="1"/>
  <c r="H94" i="4"/>
  <c r="G14" i="4"/>
  <c r="H14" i="4"/>
  <c r="K265" i="4" l="1"/>
  <c r="K263" i="4"/>
  <c r="K348" i="4"/>
  <c r="K264" i="4"/>
  <c r="M118" i="13"/>
  <c r="M218" i="13"/>
  <c r="N218" i="13" s="1"/>
  <c r="M160" i="13"/>
  <c r="J14" i="4"/>
  <c r="K14" i="4" s="1"/>
  <c r="L14" i="4" l="1"/>
  <c r="O14" i="4" s="1"/>
  <c r="P14" i="4" s="1"/>
  <c r="L264" i="4"/>
  <c r="O264" i="4" s="1"/>
  <c r="P264" i="4" s="1"/>
  <c r="L263" i="4"/>
  <c r="O263" i="4" s="1"/>
  <c r="P263" i="4" s="1"/>
  <c r="L265" i="4"/>
  <c r="O265" i="4" s="1"/>
  <c r="P265" i="4" s="1"/>
  <c r="M161" i="13"/>
  <c r="N160" i="13"/>
  <c r="N161" i="13" s="1"/>
  <c r="M119" i="13"/>
  <c r="N118" i="13"/>
  <c r="N119" i="13" s="1"/>
  <c r="O348" i="4"/>
  <c r="P348" i="4" s="1"/>
  <c r="Q249" i="13"/>
  <c r="P262" i="4"/>
  <c r="R249" i="13" l="1"/>
  <c r="Q118" i="13"/>
  <c r="Q119" i="13" s="1"/>
  <c r="Q218" i="13"/>
  <c r="Q160" i="13"/>
  <c r="Q161" i="13" s="1"/>
  <c r="R118" i="13" l="1"/>
  <c r="R119" i="13" s="1"/>
  <c r="R218" i="13"/>
  <c r="R160" i="13"/>
  <c r="R161" i="13" s="1"/>
  <c r="K101" i="16" l="1"/>
  <c r="K102" i="16" s="1"/>
  <c r="K17" i="16"/>
  <c r="P146" i="13"/>
  <c r="L14" i="13"/>
  <c r="G345" i="4"/>
  <c r="H345" i="4"/>
  <c r="J51" i="4"/>
  <c r="J90" i="4"/>
  <c r="K90" i="4" s="1"/>
  <c r="L90" i="4" s="1"/>
  <c r="J94" i="4"/>
  <c r="J120" i="4"/>
  <c r="K120" i="4" s="1"/>
  <c r="L120" i="4" s="1"/>
  <c r="J136" i="4"/>
  <c r="J143" i="4"/>
  <c r="O1000191" i="4"/>
  <c r="J52" i="4" l="1"/>
  <c r="K51" i="4"/>
  <c r="K52" i="4" s="1"/>
  <c r="O120" i="4"/>
  <c r="P120" i="4" s="1"/>
  <c r="M14" i="13"/>
  <c r="N14" i="13" s="1"/>
  <c r="K143" i="4"/>
  <c r="L143" i="4" s="1"/>
  <c r="K136" i="4"/>
  <c r="K94" i="4"/>
  <c r="L94" i="4" s="1"/>
  <c r="O90" i="4"/>
  <c r="J345" i="4"/>
  <c r="K345" i="4" s="1"/>
  <c r="L136" i="4" l="1"/>
  <c r="O136" i="4" s="1"/>
  <c r="O345" i="4"/>
  <c r="P345" i="4" s="1"/>
  <c r="L51" i="4"/>
  <c r="L52" i="4" s="1"/>
  <c r="O143" i="4" l="1"/>
  <c r="P143" i="4" s="1"/>
  <c r="Q14" i="13"/>
  <c r="O94" i="4"/>
  <c r="O95" i="4" s="1"/>
  <c r="O51" i="4"/>
  <c r="O52" i="4" s="1"/>
  <c r="I228" i="13" l="1"/>
  <c r="I229" i="13" s="1"/>
  <c r="L228" i="13" l="1"/>
  <c r="L229" i="13" s="1"/>
  <c r="H241" i="4"/>
  <c r="M228" i="13" l="1"/>
  <c r="M229" i="13" l="1"/>
  <c r="N228" i="13"/>
  <c r="N229" i="13" s="1"/>
  <c r="R14" i="13"/>
  <c r="Q228" i="13" l="1"/>
  <c r="Q229" i="13" s="1"/>
  <c r="H75" i="4"/>
  <c r="G75" i="4"/>
  <c r="R228" i="13" l="1"/>
  <c r="R229" i="13" s="1"/>
  <c r="J75" i="4"/>
  <c r="K75" i="4" l="1"/>
  <c r="P99" i="13"/>
  <c r="H107" i="4"/>
  <c r="G107" i="4"/>
  <c r="H144" i="4"/>
  <c r="H145" i="4" s="1"/>
  <c r="G144" i="4"/>
  <c r="G145" i="4" s="1"/>
  <c r="G245" i="4"/>
  <c r="H245" i="4"/>
  <c r="G10" i="4"/>
  <c r="H10" i="4"/>
  <c r="L75" i="4" l="1"/>
  <c r="J107" i="4"/>
  <c r="J144" i="4"/>
  <c r="J145" i="4" s="1"/>
  <c r="J245" i="4"/>
  <c r="K245" i="4" s="1"/>
  <c r="L245" i="4" s="1"/>
  <c r="O245" i="4" s="1"/>
  <c r="J10" i="4"/>
  <c r="K10" i="4" s="1"/>
  <c r="L10" i="4" s="1"/>
  <c r="O75" i="4" l="1"/>
  <c r="K107" i="4"/>
  <c r="L107" i="4" s="1"/>
  <c r="O10" i="4"/>
  <c r="K144" i="4"/>
  <c r="L144" i="4" s="1"/>
  <c r="K145" i="4" l="1"/>
  <c r="L145" i="4"/>
  <c r="P75" i="4"/>
  <c r="P10" i="4"/>
  <c r="G79" i="16"/>
  <c r="G74" i="16"/>
  <c r="B8" i="16"/>
  <c r="H84" i="16"/>
  <c r="I84" i="16"/>
  <c r="H79" i="16"/>
  <c r="I79" i="16"/>
  <c r="I120" i="16"/>
  <c r="H120" i="16"/>
  <c r="G120" i="16"/>
  <c r="P245" i="4" l="1"/>
  <c r="O107" i="4"/>
  <c r="L58" i="16"/>
  <c r="O144" i="4"/>
  <c r="O145" i="4" s="1"/>
  <c r="P107" i="4" l="1"/>
  <c r="I23" i="13"/>
  <c r="J15" i="13"/>
  <c r="N228" i="4" l="1"/>
  <c r="N351" i="4" s="1"/>
  <c r="L23" i="13"/>
  <c r="L15" i="13"/>
  <c r="M15" i="13" l="1"/>
  <c r="N15" i="13" s="1"/>
  <c r="M23" i="13"/>
  <c r="G179" i="4"/>
  <c r="H179" i="4"/>
  <c r="N23" i="13" l="1"/>
  <c r="J179" i="4"/>
  <c r="K179" i="4" s="1"/>
  <c r="L179" i="4" s="1"/>
  <c r="Q15" i="13" l="1"/>
  <c r="Q23" i="13"/>
  <c r="O179" i="4"/>
  <c r="P179" i="4" s="1"/>
  <c r="J108" i="13"/>
  <c r="J109" i="13" s="1"/>
  <c r="I108" i="13"/>
  <c r="I109" i="13" s="1"/>
  <c r="I204" i="13"/>
  <c r="J204" i="13"/>
  <c r="I187" i="13"/>
  <c r="J187" i="13"/>
  <c r="I124" i="13"/>
  <c r="J124" i="13"/>
  <c r="L124" i="13" l="1"/>
  <c r="R15" i="13"/>
  <c r="L204" i="13"/>
  <c r="M204" i="13" s="1"/>
  <c r="N204" i="13" s="1"/>
  <c r="L187" i="13"/>
  <c r="M187" i="13" s="1"/>
  <c r="N187" i="13" s="1"/>
  <c r="L108" i="13"/>
  <c r="L109" i="13" s="1"/>
  <c r="M124" i="13" l="1"/>
  <c r="Q204" i="13"/>
  <c r="R204" i="13" s="1"/>
  <c r="Q187" i="13"/>
  <c r="M108" i="13"/>
  <c r="M109" i="13" l="1"/>
  <c r="N108" i="13"/>
  <c r="N109" i="13" s="1"/>
  <c r="N124" i="13"/>
  <c r="Q124" i="13" s="1"/>
  <c r="R124" i="13" s="1"/>
  <c r="R187" i="13"/>
  <c r="L105" i="16"/>
  <c r="L106" i="16" s="1"/>
  <c r="Q108" i="13" l="1"/>
  <c r="Q109" i="13" s="1"/>
  <c r="J16" i="13"/>
  <c r="J20" i="13" s="1"/>
  <c r="I16" i="13"/>
  <c r="I20" i="13" s="1"/>
  <c r="R108" i="13" l="1"/>
  <c r="R109" i="13" s="1"/>
  <c r="L16" i="13"/>
  <c r="L20" i="13" s="1"/>
  <c r="M16" i="13" l="1"/>
  <c r="N16" i="13" s="1"/>
  <c r="G299" i="4"/>
  <c r="H299" i="4"/>
  <c r="M20" i="13" l="1"/>
  <c r="N20" i="13"/>
  <c r="J299" i="4"/>
  <c r="K299" i="4" s="1"/>
  <c r="L299" i="4" s="1"/>
  <c r="H98" i="4"/>
  <c r="G98" i="4"/>
  <c r="H77" i="4"/>
  <c r="G77" i="4"/>
  <c r="G60" i="4"/>
  <c r="H60" i="4"/>
  <c r="P90" i="4"/>
  <c r="Q16" i="13" l="1"/>
  <c r="Q20" i="13" s="1"/>
  <c r="O299" i="4"/>
  <c r="P299" i="4" s="1"/>
  <c r="J77" i="4"/>
  <c r="J60" i="4"/>
  <c r="J98" i="4"/>
  <c r="K98" i="4" l="1"/>
  <c r="K77" i="4"/>
  <c r="K60" i="4"/>
  <c r="L60" i="4" s="1"/>
  <c r="R16" i="13"/>
  <c r="R20" i="13" s="1"/>
  <c r="J83" i="13"/>
  <c r="J86" i="13" s="1"/>
  <c r="I83" i="13"/>
  <c r="I86" i="13" s="1"/>
  <c r="J29" i="13"/>
  <c r="I29" i="13"/>
  <c r="L77" i="4" l="1"/>
  <c r="O77" i="4" s="1"/>
  <c r="P77" i="4" s="1"/>
  <c r="L98" i="4"/>
  <c r="O98" i="4" s="1"/>
  <c r="L29" i="13"/>
  <c r="L83" i="13"/>
  <c r="L86" i="13" s="1"/>
  <c r="K77" i="16"/>
  <c r="K79" i="16" s="1"/>
  <c r="J62" i="16"/>
  <c r="I62" i="16"/>
  <c r="H62" i="16"/>
  <c r="G62" i="16"/>
  <c r="K66" i="16"/>
  <c r="G66" i="16"/>
  <c r="H66" i="16"/>
  <c r="I66" i="16"/>
  <c r="J66" i="16"/>
  <c r="K69" i="16"/>
  <c r="K70" i="16" s="1"/>
  <c r="G70" i="16"/>
  <c r="H70" i="16"/>
  <c r="I70" i="16"/>
  <c r="J70" i="16"/>
  <c r="H171" i="4"/>
  <c r="G171" i="4"/>
  <c r="H168" i="4"/>
  <c r="G168" i="4"/>
  <c r="H126" i="4"/>
  <c r="G126" i="4"/>
  <c r="H24" i="4"/>
  <c r="G24" i="4"/>
  <c r="H39" i="4"/>
  <c r="G39" i="4"/>
  <c r="P98" i="4" l="1"/>
  <c r="O60" i="4"/>
  <c r="L65" i="16"/>
  <c r="L66" i="16" s="1"/>
  <c r="M83" i="13"/>
  <c r="M86" i="13" s="1"/>
  <c r="J39" i="4"/>
  <c r="J171" i="4"/>
  <c r="K171" i="4" s="1"/>
  <c r="L171" i="4" s="1"/>
  <c r="M29" i="13"/>
  <c r="N29" i="13" s="1"/>
  <c r="J126" i="4"/>
  <c r="J24" i="4"/>
  <c r="J168" i="4"/>
  <c r="L69" i="16"/>
  <c r="L70" i="16" s="1"/>
  <c r="L77" i="16"/>
  <c r="L61" i="16"/>
  <c r="L62" i="16" s="1"/>
  <c r="N83" i="13" l="1"/>
  <c r="N86" i="13" s="1"/>
  <c r="K24" i="4"/>
  <c r="L24" i="4" s="1"/>
  <c r="P60" i="4"/>
  <c r="K39" i="4"/>
  <c r="L39" i="4" s="1"/>
  <c r="K168" i="4"/>
  <c r="L168" i="4" s="1"/>
  <c r="K126" i="4"/>
  <c r="L126" i="4" s="1"/>
  <c r="O171" i="4"/>
  <c r="P171" i="4" s="1"/>
  <c r="O39" i="4" l="1"/>
  <c r="P39" i="4" s="1"/>
  <c r="O126" i="4"/>
  <c r="Q83" i="13"/>
  <c r="Q86" i="13" s="1"/>
  <c r="Q29" i="13"/>
  <c r="I156" i="13"/>
  <c r="O24" i="4" l="1"/>
  <c r="R29" i="13"/>
  <c r="L156" i="13"/>
  <c r="R83" i="13"/>
  <c r="R86" i="13" s="1"/>
  <c r="O168" i="4"/>
  <c r="P126" i="4"/>
  <c r="P24" i="4" l="1"/>
  <c r="P168" i="4"/>
  <c r="M156" i="13" l="1"/>
  <c r="N156" i="13"/>
  <c r="K74" i="16"/>
  <c r="Q156" i="13" l="1"/>
  <c r="J144" i="13" l="1"/>
  <c r="J146" i="13" s="1"/>
  <c r="I144" i="13"/>
  <c r="I146" i="13" s="1"/>
  <c r="J224" i="13"/>
  <c r="J225" i="13" s="1"/>
  <c r="I224" i="13"/>
  <c r="I225" i="13" s="1"/>
  <c r="L144" i="13" l="1"/>
  <c r="L146" i="13" s="1"/>
  <c r="L224" i="13"/>
  <c r="L225" i="13" s="1"/>
  <c r="K53" i="16"/>
  <c r="K54" i="16" s="1"/>
  <c r="H74" i="16"/>
  <c r="I74" i="16"/>
  <c r="J74" i="16"/>
  <c r="K59" i="16"/>
  <c r="L57" i="16" l="1"/>
  <c r="L59" i="16" s="1"/>
  <c r="M144" i="13"/>
  <c r="M224" i="13"/>
  <c r="J135" i="13"/>
  <c r="J137" i="13" s="1"/>
  <c r="I135" i="13"/>
  <c r="I137" i="13" s="1"/>
  <c r="I140" i="13"/>
  <c r="I142" i="13" s="1"/>
  <c r="J140" i="13"/>
  <c r="I211" i="13"/>
  <c r="J211" i="13"/>
  <c r="G216" i="4"/>
  <c r="H216" i="4"/>
  <c r="M146" i="13" l="1"/>
  <c r="N224" i="13"/>
  <c r="N225" i="13" s="1"/>
  <c r="M225" i="13"/>
  <c r="J142" i="13"/>
  <c r="L140" i="13"/>
  <c r="L142" i="13" s="1"/>
  <c r="L211" i="13"/>
  <c r="M211" i="13" s="1"/>
  <c r="N211" i="13" s="1"/>
  <c r="L135" i="13"/>
  <c r="L137" i="13" s="1"/>
  <c r="J216" i="4"/>
  <c r="K216" i="4" l="1"/>
  <c r="L216" i="4" s="1"/>
  <c r="Q224" i="13"/>
  <c r="Q225" i="13" s="1"/>
  <c r="Q211" i="13"/>
  <c r="M140" i="13"/>
  <c r="M135" i="13"/>
  <c r="J57" i="13"/>
  <c r="I57" i="13"/>
  <c r="J89" i="13"/>
  <c r="J91" i="13" s="1"/>
  <c r="I89" i="13"/>
  <c r="I91" i="13" s="1"/>
  <c r="J78" i="13"/>
  <c r="I78" i="13"/>
  <c r="J250" i="13"/>
  <c r="J251" i="13" s="1"/>
  <c r="H334" i="4"/>
  <c r="H336" i="4"/>
  <c r="H337" i="4"/>
  <c r="H338" i="4"/>
  <c r="H339" i="4"/>
  <c r="H340" i="4"/>
  <c r="H341" i="4"/>
  <c r="H342" i="4"/>
  <c r="H346" i="4"/>
  <c r="H343" i="4"/>
  <c r="H347" i="4"/>
  <c r="H344" i="4"/>
  <c r="H335" i="4"/>
  <c r="G327" i="4"/>
  <c r="H327" i="4"/>
  <c r="J38" i="13"/>
  <c r="I38" i="13"/>
  <c r="J72" i="13"/>
  <c r="I72" i="13"/>
  <c r="I73" i="13" s="1"/>
  <c r="J11" i="13"/>
  <c r="G9" i="16"/>
  <c r="J9" i="16"/>
  <c r="I9" i="16"/>
  <c r="G250" i="4"/>
  <c r="H250" i="4"/>
  <c r="G251" i="4"/>
  <c r="H251" i="4"/>
  <c r="G252" i="4"/>
  <c r="H252" i="4"/>
  <c r="G253" i="4"/>
  <c r="H253" i="4"/>
  <c r="G254" i="4"/>
  <c r="H254" i="4"/>
  <c r="G257" i="4"/>
  <c r="H257" i="4"/>
  <c r="G258" i="4"/>
  <c r="H258" i="4"/>
  <c r="G259" i="4"/>
  <c r="H259" i="4"/>
  <c r="G256" i="4"/>
  <c r="H256" i="4"/>
  <c r="G255" i="4"/>
  <c r="H255" i="4"/>
  <c r="H269" i="4"/>
  <c r="G260" i="4"/>
  <c r="H260" i="4"/>
  <c r="G261" i="4"/>
  <c r="H261" i="4"/>
  <c r="G249" i="4"/>
  <c r="G244" i="4"/>
  <c r="H244" i="4"/>
  <c r="G247" i="4"/>
  <c r="H247" i="4"/>
  <c r="G248" i="4"/>
  <c r="H248" i="4"/>
  <c r="H249" i="4"/>
  <c r="H108" i="4"/>
  <c r="H100" i="4"/>
  <c r="G99" i="4"/>
  <c r="H277" i="4" l="1"/>
  <c r="G277" i="4"/>
  <c r="M137" i="13"/>
  <c r="N135" i="13"/>
  <c r="N137" i="13" s="1"/>
  <c r="J73" i="13"/>
  <c r="L72" i="13"/>
  <c r="M142" i="13"/>
  <c r="N140" i="13"/>
  <c r="N142" i="13" s="1"/>
  <c r="H349" i="4"/>
  <c r="O216" i="4"/>
  <c r="O217" i="4" s="1"/>
  <c r="R211" i="13"/>
  <c r="J247" i="4"/>
  <c r="K247" i="4" s="1"/>
  <c r="L247" i="4" s="1"/>
  <c r="O247" i="4" s="1"/>
  <c r="L78" i="13"/>
  <c r="R224" i="13"/>
  <c r="R225" i="13" s="1"/>
  <c r="L89" i="13"/>
  <c r="L91" i="13" s="1"/>
  <c r="L57" i="13"/>
  <c r="L38" i="13"/>
  <c r="L250" i="13"/>
  <c r="L251" i="13" s="1"/>
  <c r="L10" i="13"/>
  <c r="J251" i="4"/>
  <c r="K251" i="4" s="1"/>
  <c r="L251" i="4" s="1"/>
  <c r="O251" i="4" s="1"/>
  <c r="J260" i="4"/>
  <c r="K260" i="4" s="1"/>
  <c r="L260" i="4" s="1"/>
  <c r="O260" i="4" s="1"/>
  <c r="J259" i="4"/>
  <c r="K259" i="4" s="1"/>
  <c r="L259" i="4" s="1"/>
  <c r="O259" i="4" s="1"/>
  <c r="J244" i="4"/>
  <c r="J261" i="4"/>
  <c r="K261" i="4" s="1"/>
  <c r="L261" i="4" s="1"/>
  <c r="O261" i="4" s="1"/>
  <c r="J269" i="4"/>
  <c r="K269" i="4" s="1"/>
  <c r="L269" i="4" s="1"/>
  <c r="O269" i="4" s="1"/>
  <c r="J254" i="4"/>
  <c r="K254" i="4" s="1"/>
  <c r="L254" i="4" s="1"/>
  <c r="O254" i="4" s="1"/>
  <c r="J255" i="4"/>
  <c r="K255" i="4" s="1"/>
  <c r="L255" i="4" s="1"/>
  <c r="O255" i="4" s="1"/>
  <c r="J258" i="4"/>
  <c r="K258" i="4" s="1"/>
  <c r="L258" i="4" s="1"/>
  <c r="O258" i="4" s="1"/>
  <c r="J253" i="4"/>
  <c r="K253" i="4" s="1"/>
  <c r="L253" i="4" s="1"/>
  <c r="O253" i="4" s="1"/>
  <c r="J250" i="4"/>
  <c r="K250" i="4" s="1"/>
  <c r="L250" i="4" s="1"/>
  <c r="O250" i="4" s="1"/>
  <c r="J256" i="4"/>
  <c r="K256" i="4" s="1"/>
  <c r="L256" i="4" s="1"/>
  <c r="O256" i="4" s="1"/>
  <c r="J257" i="4"/>
  <c r="K257" i="4" s="1"/>
  <c r="L257" i="4" s="1"/>
  <c r="O257" i="4" s="1"/>
  <c r="J252" i="4"/>
  <c r="K252" i="4" s="1"/>
  <c r="L252" i="4" s="1"/>
  <c r="O252" i="4" s="1"/>
  <c r="J249" i="4"/>
  <c r="K249" i="4" s="1"/>
  <c r="L249" i="4" s="1"/>
  <c r="O249" i="4" s="1"/>
  <c r="J248" i="4"/>
  <c r="K248" i="4" s="1"/>
  <c r="L248" i="4" s="1"/>
  <c r="O248" i="4" s="1"/>
  <c r="J327" i="4"/>
  <c r="K327" i="4" s="1"/>
  <c r="L327" i="4" s="1"/>
  <c r="R156" i="13"/>
  <c r="L87" i="16"/>
  <c r="L88" i="16" s="1"/>
  <c r="L12" i="16"/>
  <c r="L13" i="16" s="1"/>
  <c r="L8" i="16"/>
  <c r="L9" i="16" s="1"/>
  <c r="H9" i="16"/>
  <c r="G8" i="4"/>
  <c r="G9" i="4"/>
  <c r="H9" i="4"/>
  <c r="H12" i="4"/>
  <c r="G12" i="4"/>
  <c r="G13" i="4"/>
  <c r="H13" i="4"/>
  <c r="J277" i="4" l="1"/>
  <c r="G18" i="4"/>
  <c r="H18" i="4"/>
  <c r="L73" i="13"/>
  <c r="J8" i="4"/>
  <c r="K244" i="4"/>
  <c r="K277" i="4" s="1"/>
  <c r="O327" i="4"/>
  <c r="P216" i="4"/>
  <c r="P217" i="4" s="1"/>
  <c r="M78" i="13"/>
  <c r="M10" i="13"/>
  <c r="M89" i="13"/>
  <c r="M38" i="13"/>
  <c r="N38" i="13" s="1"/>
  <c r="Q135" i="13"/>
  <c r="Q137" i="13" s="1"/>
  <c r="M72" i="13"/>
  <c r="M57" i="13"/>
  <c r="Q140" i="13"/>
  <c r="Q142" i="13" s="1"/>
  <c r="M250" i="13"/>
  <c r="J12" i="4"/>
  <c r="J9" i="4"/>
  <c r="K9" i="4" s="1"/>
  <c r="L9" i="4" s="1"/>
  <c r="J13" i="4"/>
  <c r="N250" i="13" l="1"/>
  <c r="N251" i="13" s="1"/>
  <c r="M251" i="13"/>
  <c r="N77" i="13"/>
  <c r="Q77" i="13" s="1"/>
  <c r="R77" i="13" s="1"/>
  <c r="N78" i="13"/>
  <c r="J18" i="4"/>
  <c r="M73" i="13"/>
  <c r="N72" i="13"/>
  <c r="N89" i="13"/>
  <c r="M91" i="13"/>
  <c r="K8" i="4"/>
  <c r="K13" i="4"/>
  <c r="L13" i="4" s="1"/>
  <c r="O13" i="4" s="1"/>
  <c r="K12" i="4"/>
  <c r="L12" i="4" s="1"/>
  <c r="O12" i="4" s="1"/>
  <c r="P327" i="4"/>
  <c r="N10" i="13"/>
  <c r="L244" i="4"/>
  <c r="R140" i="13"/>
  <c r="R142" i="13" s="1"/>
  <c r="R135" i="13"/>
  <c r="R137" i="13" s="1"/>
  <c r="O9" i="4"/>
  <c r="J185" i="13"/>
  <c r="I185" i="13"/>
  <c r="I122" i="13"/>
  <c r="L122" i="13" s="1"/>
  <c r="M122" i="13" s="1"/>
  <c r="N122" i="13" s="1"/>
  <c r="L277" i="4" l="1"/>
  <c r="O244" i="4"/>
  <c r="O277" i="4" s="1"/>
  <c r="K18" i="4"/>
  <c r="N73" i="13"/>
  <c r="Q72" i="13"/>
  <c r="Q73" i="13" s="1"/>
  <c r="L8" i="4"/>
  <c r="L18" i="4" s="1"/>
  <c r="P9" i="4"/>
  <c r="P12" i="4"/>
  <c r="Q78" i="13"/>
  <c r="Q89" i="13"/>
  <c r="Q38" i="13"/>
  <c r="Q57" i="13"/>
  <c r="Q250" i="13"/>
  <c r="Q251" i="13" s="1"/>
  <c r="L185" i="13"/>
  <c r="Q10" i="13"/>
  <c r="H116" i="16"/>
  <c r="I116" i="16"/>
  <c r="P13" i="4" l="1"/>
  <c r="R57" i="13"/>
  <c r="R72" i="13"/>
  <c r="R73" i="13" s="1"/>
  <c r="R38" i="13"/>
  <c r="M185" i="13"/>
  <c r="N185" i="13" s="1"/>
  <c r="R10" i="13"/>
  <c r="O8" i="4"/>
  <c r="O18" i="4" s="1"/>
  <c r="J240" i="13"/>
  <c r="J242" i="13" s="1"/>
  <c r="J126" i="13"/>
  <c r="K82" i="16"/>
  <c r="J102" i="16"/>
  <c r="I102" i="16"/>
  <c r="H102" i="16"/>
  <c r="G102" i="16"/>
  <c r="J54" i="16"/>
  <c r="I54" i="16"/>
  <c r="H54" i="16"/>
  <c r="G54" i="16"/>
  <c r="P8" i="4" l="1"/>
  <c r="P18" i="4" s="1"/>
  <c r="L82" i="16"/>
  <c r="L73" i="16"/>
  <c r="L74" i="16" s="1"/>
  <c r="L101" i="16"/>
  <c r="L102" i="16" s="1"/>
  <c r="L53" i="16"/>
  <c r="L54" i="16" s="1"/>
  <c r="Q122" i="13" l="1"/>
  <c r="Q126" i="13" s="1"/>
  <c r="Q185" i="13"/>
  <c r="G298" i="4"/>
  <c r="H298" i="4"/>
  <c r="H314" i="4"/>
  <c r="H315" i="4" s="1"/>
  <c r="G314" i="4"/>
  <c r="G315" i="4" s="1"/>
  <c r="H178" i="4"/>
  <c r="G178" i="4"/>
  <c r="I181" i="13"/>
  <c r="I182" i="13" s="1"/>
  <c r="R122" i="13" l="1"/>
  <c r="R126" i="13" s="1"/>
  <c r="R185" i="13"/>
  <c r="L181" i="13"/>
  <c r="L182" i="13" s="1"/>
  <c r="J314" i="4"/>
  <c r="J298" i="4"/>
  <c r="K298" i="4" s="1"/>
  <c r="L298" i="4" s="1"/>
  <c r="J178" i="4"/>
  <c r="K178" i="4" s="1"/>
  <c r="L178" i="4" s="1"/>
  <c r="P261" i="4"/>
  <c r="J315" i="4" l="1"/>
  <c r="K314" i="4"/>
  <c r="L314" i="4" s="1"/>
  <c r="M181" i="13"/>
  <c r="M182" i="13" s="1"/>
  <c r="O298" i="4"/>
  <c r="P298" i="4" s="1"/>
  <c r="O178" i="4"/>
  <c r="P178" i="4" s="1"/>
  <c r="K315" i="4" l="1"/>
  <c r="L315" i="4"/>
  <c r="N181" i="13"/>
  <c r="N182" i="13" s="1"/>
  <c r="K38" i="16"/>
  <c r="G139" i="4"/>
  <c r="L36" i="16" l="1"/>
  <c r="L38" i="16" s="1"/>
  <c r="O314" i="4"/>
  <c r="O315" i="4" s="1"/>
  <c r="Q181" i="13"/>
  <c r="Q182" i="13" s="1"/>
  <c r="B12" i="16"/>
  <c r="B16" i="16" s="1"/>
  <c r="P144" i="4"/>
  <c r="P314" i="4" l="1"/>
  <c r="P315" i="4" s="1"/>
  <c r="R181" i="13"/>
  <c r="R182" i="13" s="1"/>
  <c r="B20" i="16" l="1"/>
  <c r="B23" i="16" s="1"/>
  <c r="B27" i="16" s="1"/>
  <c r="B31" i="16" s="1"/>
  <c r="B32" i="16" s="1"/>
  <c r="I210" i="13"/>
  <c r="J210" i="13"/>
  <c r="G66" i="4"/>
  <c r="H66" i="4"/>
  <c r="H20" i="14"/>
  <c r="G20" i="14"/>
  <c r="J98" i="13"/>
  <c r="J99" i="13" s="1"/>
  <c r="I98" i="13"/>
  <c r="I99" i="13" s="1"/>
  <c r="I103" i="13"/>
  <c r="J103" i="13"/>
  <c r="I102" i="13"/>
  <c r="G281" i="4"/>
  <c r="H281" i="4"/>
  <c r="I106" i="13" l="1"/>
  <c r="J20" i="14"/>
  <c r="L103" i="13"/>
  <c r="M103" i="13" s="1"/>
  <c r="N103" i="13" s="1"/>
  <c r="L210" i="13"/>
  <c r="L98" i="13"/>
  <c r="L99" i="13" s="1"/>
  <c r="J66" i="4"/>
  <c r="J281" i="4"/>
  <c r="K20" i="14" l="1"/>
  <c r="L20" i="14" s="1"/>
  <c r="K281" i="4"/>
  <c r="K66" i="4"/>
  <c r="L66" i="4" s="1"/>
  <c r="Q103" i="13"/>
  <c r="R103" i="13" s="1"/>
  <c r="M210" i="13"/>
  <c r="N210" i="13" s="1"/>
  <c r="M98" i="13"/>
  <c r="M99" i="13" s="1"/>
  <c r="P244" i="4"/>
  <c r="L281" i="4" l="1"/>
  <c r="O281" i="4" s="1"/>
  <c r="P281" i="4" s="1"/>
  <c r="O66" i="4"/>
  <c r="N98" i="13"/>
  <c r="N99" i="13" s="1"/>
  <c r="I205" i="13"/>
  <c r="I216" i="13"/>
  <c r="J216" i="13"/>
  <c r="J205" i="13"/>
  <c r="J202" i="13"/>
  <c r="I202" i="13"/>
  <c r="J191" i="13"/>
  <c r="I191" i="13"/>
  <c r="J37" i="13"/>
  <c r="J44" i="13" s="1"/>
  <c r="I37" i="13"/>
  <c r="I44" i="13" s="1"/>
  <c r="H288" i="4"/>
  <c r="H290" i="4"/>
  <c r="H291" i="4"/>
  <c r="H292" i="4"/>
  <c r="H296" i="4"/>
  <c r="H293" i="4"/>
  <c r="H295" i="4"/>
  <c r="H297" i="4"/>
  <c r="H294" i="4"/>
  <c r="H300" i="4"/>
  <c r="G288" i="4"/>
  <c r="G290" i="4"/>
  <c r="G291" i="4"/>
  <c r="G292" i="4"/>
  <c r="G296" i="4"/>
  <c r="G293" i="4"/>
  <c r="G295" i="4"/>
  <c r="G297" i="4"/>
  <c r="G294" i="4"/>
  <c r="G300" i="4"/>
  <c r="G287" i="4"/>
  <c r="H287" i="4"/>
  <c r="G70" i="4"/>
  <c r="H70" i="4"/>
  <c r="B36" i="16"/>
  <c r="B37" i="16" s="1"/>
  <c r="B41" i="16" s="1"/>
  <c r="B45" i="16" s="1"/>
  <c r="B49" i="16" s="1"/>
  <c r="K999975" i="16"/>
  <c r="C16650" i="16"/>
  <c r="C16652" i="16" s="1"/>
  <c r="K41" i="16"/>
  <c r="K42" i="16" s="1"/>
  <c r="J28" i="16"/>
  <c r="G28" i="16"/>
  <c r="K28" i="16"/>
  <c r="J17" i="16"/>
  <c r="G17" i="16"/>
  <c r="I17" i="16"/>
  <c r="H17" i="16"/>
  <c r="L16" i="16"/>
  <c r="G126" i="16" l="1"/>
  <c r="L17" i="16"/>
  <c r="J213" i="13"/>
  <c r="J220" i="13"/>
  <c r="I213" i="13"/>
  <c r="I220" i="13"/>
  <c r="I207" i="13"/>
  <c r="J207" i="13"/>
  <c r="N20" i="14"/>
  <c r="L45" i="16"/>
  <c r="L46" i="16" s="1"/>
  <c r="L27" i="16"/>
  <c r="L28" i="16" s="1"/>
  <c r="L41" i="16"/>
  <c r="L42" i="16" s="1"/>
  <c r="Q210" i="13"/>
  <c r="Q98" i="13"/>
  <c r="Q99" i="13" s="1"/>
  <c r="L37" i="13"/>
  <c r="L205" i="13"/>
  <c r="L202" i="13"/>
  <c r="L191" i="13"/>
  <c r="L216" i="13"/>
  <c r="J297" i="4"/>
  <c r="K297" i="4" s="1"/>
  <c r="L297" i="4" s="1"/>
  <c r="J293" i="4"/>
  <c r="K293" i="4" s="1"/>
  <c r="L293" i="4" s="1"/>
  <c r="J288" i="4"/>
  <c r="J291" i="4"/>
  <c r="K291" i="4" s="1"/>
  <c r="L291" i="4" s="1"/>
  <c r="J300" i="4"/>
  <c r="K300" i="4" s="1"/>
  <c r="L300" i="4" s="1"/>
  <c r="J70" i="4"/>
  <c r="K70" i="4" s="1"/>
  <c r="L70" i="4" s="1"/>
  <c r="J294" i="4"/>
  <c r="K294" i="4" s="1"/>
  <c r="L294" i="4" s="1"/>
  <c r="J292" i="4"/>
  <c r="K292" i="4" s="1"/>
  <c r="L292" i="4" s="1"/>
  <c r="J295" i="4"/>
  <c r="K295" i="4" s="1"/>
  <c r="L295" i="4" s="1"/>
  <c r="J290" i="4"/>
  <c r="K290" i="4" s="1"/>
  <c r="L290" i="4" s="1"/>
  <c r="J287" i="4"/>
  <c r="J296" i="4"/>
  <c r="K296" i="4" s="1"/>
  <c r="L296" i="4" s="1"/>
  <c r="I28" i="16"/>
  <c r="I126" i="16" s="1"/>
  <c r="L32" i="16"/>
  <c r="L33" i="16" s="1"/>
  <c r="H28" i="16"/>
  <c r="H126" i="16" s="1"/>
  <c r="L213" i="13" l="1"/>
  <c r="M216" i="13"/>
  <c r="L220" i="13"/>
  <c r="M37" i="13"/>
  <c r="L44" i="13"/>
  <c r="L207" i="13"/>
  <c r="O20" i="14"/>
  <c r="K287" i="4"/>
  <c r="K288" i="4"/>
  <c r="L288" i="4" s="1"/>
  <c r="R210" i="13"/>
  <c r="R98" i="13"/>
  <c r="R99" i="13" s="1"/>
  <c r="M191" i="13"/>
  <c r="N191" i="13" s="1"/>
  <c r="M202" i="13"/>
  <c r="O295" i="4"/>
  <c r="P295" i="4" s="1"/>
  <c r="O300" i="4"/>
  <c r="P300" i="4" s="1"/>
  <c r="O294" i="4"/>
  <c r="P294" i="4" s="1"/>
  <c r="O292" i="4"/>
  <c r="P292" i="4" s="1"/>
  <c r="O293" i="4"/>
  <c r="O297" i="4"/>
  <c r="P297" i="4" s="1"/>
  <c r="O291" i="4"/>
  <c r="O296" i="4"/>
  <c r="P296" i="4" s="1"/>
  <c r="M205" i="13"/>
  <c r="N205" i="13" s="1"/>
  <c r="M220" i="13" l="1"/>
  <c r="N216" i="13"/>
  <c r="N220" i="13" s="1"/>
  <c r="N37" i="13"/>
  <c r="N44" i="13" s="1"/>
  <c r="M44" i="13"/>
  <c r="N202" i="13"/>
  <c r="N207" i="13" s="1"/>
  <c r="M207" i="13"/>
  <c r="M213" i="13"/>
  <c r="N213" i="13"/>
  <c r="L287" i="4"/>
  <c r="P291" i="4"/>
  <c r="O290" i="4"/>
  <c r="P290" i="4" s="1"/>
  <c r="O288" i="4"/>
  <c r="O70" i="4"/>
  <c r="P293" i="4"/>
  <c r="G84" i="4"/>
  <c r="H84" i="4"/>
  <c r="G328" i="4"/>
  <c r="G330" i="4" s="1"/>
  <c r="H328" i="4"/>
  <c r="H330" i="4" s="1"/>
  <c r="Q37" i="13" l="1"/>
  <c r="Q44" i="13" s="1"/>
  <c r="P288" i="4"/>
  <c r="Q216" i="13"/>
  <c r="R37" i="13"/>
  <c r="R44" i="13" s="1"/>
  <c r="Q202" i="13"/>
  <c r="Q191" i="13"/>
  <c r="O287" i="4"/>
  <c r="Q205" i="13"/>
  <c r="J84" i="4"/>
  <c r="J328" i="4"/>
  <c r="I186" i="13"/>
  <c r="I188" i="13" s="1"/>
  <c r="J186" i="13"/>
  <c r="J188" i="13" s="1"/>
  <c r="H236" i="4"/>
  <c r="G236" i="4"/>
  <c r="H235" i="4"/>
  <c r="G235" i="4"/>
  <c r="G221" i="4"/>
  <c r="H221" i="4"/>
  <c r="J169" i="13"/>
  <c r="J170" i="13" s="1"/>
  <c r="I169" i="13"/>
  <c r="I170" i="13" s="1"/>
  <c r="Q213" i="13" l="1"/>
  <c r="Q220" i="13"/>
  <c r="Q207" i="13"/>
  <c r="J330" i="4"/>
  <c r="K328" i="4"/>
  <c r="L328" i="4" s="1"/>
  <c r="H237" i="4"/>
  <c r="G237" i="4"/>
  <c r="R191" i="13"/>
  <c r="P287" i="4"/>
  <c r="J235" i="4"/>
  <c r="K235" i="4" s="1"/>
  <c r="L235" i="4" s="1"/>
  <c r="R205" i="13"/>
  <c r="L186" i="13"/>
  <c r="L188" i="13" s="1"/>
  <c r="L169" i="13"/>
  <c r="L170" i="13" s="1"/>
  <c r="J236" i="4"/>
  <c r="K236" i="4" s="1"/>
  <c r="L236" i="4" s="1"/>
  <c r="K84" i="4"/>
  <c r="L84" i="4" s="1"/>
  <c r="J221" i="4"/>
  <c r="K221" i="4" s="1"/>
  <c r="L221" i="4" s="1"/>
  <c r="P255" i="4"/>
  <c r="R78" i="13"/>
  <c r="I240" i="13"/>
  <c r="I242" i="13" s="1"/>
  <c r="R216" i="13"/>
  <c r="R213" i="13" l="1"/>
  <c r="R220" i="13"/>
  <c r="K330" i="4"/>
  <c r="L330" i="4"/>
  <c r="O235" i="4"/>
  <c r="P235" i="4" s="1"/>
  <c r="M169" i="13"/>
  <c r="N169" i="13" s="1"/>
  <c r="J237" i="4"/>
  <c r="M186" i="13"/>
  <c r="N186" i="13" s="1"/>
  <c r="O236" i="4"/>
  <c r="P236" i="4" s="1"/>
  <c r="O221" i="4"/>
  <c r="L240" i="13"/>
  <c r="L242" i="13" s="1"/>
  <c r="R89" i="13"/>
  <c r="N170" i="13" l="1"/>
  <c r="M170" i="13"/>
  <c r="P221" i="4"/>
  <c r="K237" i="4"/>
  <c r="L237" i="4"/>
  <c r="M188" i="13"/>
  <c r="M240" i="13"/>
  <c r="O328" i="4"/>
  <c r="O330" i="4" s="1"/>
  <c r="O84" i="4"/>
  <c r="M242" i="13" l="1"/>
  <c r="N240" i="13"/>
  <c r="Q240" i="13" s="1"/>
  <c r="R240" i="13" s="1"/>
  <c r="R242" i="13" s="1"/>
  <c r="Q169" i="13"/>
  <c r="Q170" i="13" s="1"/>
  <c r="Q186" i="13"/>
  <c r="Q188" i="13" s="1"/>
  <c r="N188" i="13"/>
  <c r="P328" i="4"/>
  <c r="P330" i="4" s="1"/>
  <c r="O237" i="4"/>
  <c r="P84" i="4"/>
  <c r="J192" i="13"/>
  <c r="J193" i="13" s="1"/>
  <c r="I193" i="13"/>
  <c r="J173" i="13"/>
  <c r="I173" i="13"/>
  <c r="I30" i="13"/>
  <c r="J30" i="13"/>
  <c r="J102" i="13"/>
  <c r="J106" i="13" s="1"/>
  <c r="J50" i="13"/>
  <c r="J52" i="13" s="1"/>
  <c r="I50" i="13"/>
  <c r="I52" i="13" s="1"/>
  <c r="I24" i="13"/>
  <c r="I26" i="13" s="1"/>
  <c r="J24" i="13"/>
  <c r="J26" i="13" s="1"/>
  <c r="Q242" i="13" l="1"/>
  <c r="N242" i="13"/>
  <c r="L30" i="13"/>
  <c r="R186" i="13"/>
  <c r="R188" i="13" s="1"/>
  <c r="L50" i="13"/>
  <c r="L52" i="13" s="1"/>
  <c r="L24" i="13"/>
  <c r="L26" i="13" s="1"/>
  <c r="L173" i="13"/>
  <c r="L102" i="13"/>
  <c r="L106" i="13" s="1"/>
  <c r="L192" i="13"/>
  <c r="L193" i="13" s="1"/>
  <c r="P237" i="4"/>
  <c r="M30" i="13" l="1"/>
  <c r="N30" i="13" s="1"/>
  <c r="M50" i="13"/>
  <c r="M52" i="13" s="1"/>
  <c r="M173" i="13"/>
  <c r="M192" i="13"/>
  <c r="N192" i="13" s="1"/>
  <c r="M102" i="13"/>
  <c r="M24" i="13"/>
  <c r="M26" i="13" s="1"/>
  <c r="R169" i="13"/>
  <c r="R170" i="13" s="1"/>
  <c r="N102" i="13" l="1"/>
  <c r="N106" i="13" s="1"/>
  <c r="M106" i="13"/>
  <c r="N50" i="13"/>
  <c r="N52" i="13" s="1"/>
  <c r="N24" i="13"/>
  <c r="N26" i="13" s="1"/>
  <c r="N193" i="13"/>
  <c r="M193" i="13"/>
  <c r="N173" i="13"/>
  <c r="H15" i="14"/>
  <c r="H21" i="14" s="1"/>
  <c r="G344" i="4"/>
  <c r="G347" i="4"/>
  <c r="G342" i="4"/>
  <c r="G341" i="4"/>
  <c r="G338" i="4"/>
  <c r="J338" i="4" s="1"/>
  <c r="G343" i="4"/>
  <c r="G340" i="4"/>
  <c r="G337" i="4"/>
  <c r="G346" i="4"/>
  <c r="G339" i="4"/>
  <c r="J339" i="4" s="1"/>
  <c r="G336" i="4"/>
  <c r="G193" i="4"/>
  <c r="G334" i="4"/>
  <c r="G335" i="4"/>
  <c r="G349" i="4" l="1"/>
  <c r="Q30" i="13"/>
  <c r="K338" i="4"/>
  <c r="K339" i="4"/>
  <c r="J334" i="4"/>
  <c r="Q50" i="13"/>
  <c r="Q52" i="13" s="1"/>
  <c r="Q173" i="13"/>
  <c r="Q192" i="13"/>
  <c r="Q193" i="13" s="1"/>
  <c r="Q102" i="13"/>
  <c r="Q106" i="13" s="1"/>
  <c r="Q24" i="13"/>
  <c r="Q26" i="13" s="1"/>
  <c r="J337" i="4"/>
  <c r="K337" i="4" s="1"/>
  <c r="J347" i="4"/>
  <c r="J341" i="4"/>
  <c r="J346" i="4"/>
  <c r="J335" i="4"/>
  <c r="K335" i="4" s="1"/>
  <c r="J340" i="4"/>
  <c r="J342" i="4"/>
  <c r="J344" i="4"/>
  <c r="K344" i="4" s="1"/>
  <c r="J343" i="4"/>
  <c r="K343" i="4" s="1"/>
  <c r="J336" i="4"/>
  <c r="K336" i="4" s="1"/>
  <c r="P247" i="4"/>
  <c r="P260" i="4"/>
  <c r="P256" i="4"/>
  <c r="K334" i="4" l="1"/>
  <c r="L334" i="4" s="1"/>
  <c r="J349" i="4"/>
  <c r="R30" i="13"/>
  <c r="O339" i="4"/>
  <c r="P339" i="4" s="1"/>
  <c r="K342" i="4"/>
  <c r="K346" i="4"/>
  <c r="K341" i="4"/>
  <c r="K340" i="4"/>
  <c r="K347" i="4"/>
  <c r="R173" i="13"/>
  <c r="R50" i="13"/>
  <c r="R52" i="13" s="1"/>
  <c r="R102" i="13"/>
  <c r="R106" i="13" s="1"/>
  <c r="R192" i="13"/>
  <c r="R193" i="13" s="1"/>
  <c r="O344" i="4"/>
  <c r="P344" i="4" s="1"/>
  <c r="O338" i="4"/>
  <c r="P338" i="4" s="1"/>
  <c r="R24" i="13"/>
  <c r="G201" i="4"/>
  <c r="G202" i="4" s="1"/>
  <c r="H310" i="4"/>
  <c r="H311" i="4" s="1"/>
  <c r="G310" i="4"/>
  <c r="H323" i="4"/>
  <c r="H324" i="4" s="1"/>
  <c r="G323" i="4"/>
  <c r="G324" i="4" s="1"/>
  <c r="H319" i="4"/>
  <c r="H320" i="4" s="1"/>
  <c r="G319" i="4"/>
  <c r="G320" i="4" s="1"/>
  <c r="H280" i="4"/>
  <c r="H285" i="4" s="1"/>
  <c r="G280" i="4"/>
  <c r="G285" i="4" s="1"/>
  <c r="H206" i="4"/>
  <c r="H209" i="4" s="1"/>
  <c r="G206" i="4"/>
  <c r="G209" i="4" s="1"/>
  <c r="G311" i="4" l="1"/>
  <c r="L349" i="4"/>
  <c r="O334" i="4"/>
  <c r="K349" i="4"/>
  <c r="O347" i="4"/>
  <c r="P347" i="4" s="1"/>
  <c r="O346" i="4"/>
  <c r="P346" i="4" s="1"/>
  <c r="O341" i="4"/>
  <c r="P341" i="4" s="1"/>
  <c r="O340" i="4"/>
  <c r="P340" i="4" s="1"/>
  <c r="O342" i="4"/>
  <c r="P342" i="4" s="1"/>
  <c r="O337" i="4"/>
  <c r="O336" i="4"/>
  <c r="O343" i="4"/>
  <c r="P343" i="4" s="1"/>
  <c r="J206" i="4"/>
  <c r="J209" i="4" s="1"/>
  <c r="J323" i="4"/>
  <c r="K323" i="4" s="1"/>
  <c r="L323" i="4" s="1"/>
  <c r="J319" i="4"/>
  <c r="J320" i="4" s="1"/>
  <c r="J310" i="4"/>
  <c r="J311" i="4" s="1"/>
  <c r="J280" i="4"/>
  <c r="K280" i="4" l="1"/>
  <c r="K285" i="4" s="1"/>
  <c r="J285" i="4"/>
  <c r="K310" i="4"/>
  <c r="K206" i="4"/>
  <c r="L206" i="4" s="1"/>
  <c r="K319" i="4"/>
  <c r="L319" i="4" s="1"/>
  <c r="J324" i="4"/>
  <c r="O335" i="4"/>
  <c r="O349" i="4" s="1"/>
  <c r="L310" i="4" l="1"/>
  <c r="L311" i="4" s="1"/>
  <c r="K311" i="4"/>
  <c r="K209" i="4"/>
  <c r="L209" i="4"/>
  <c r="L320" i="4"/>
  <c r="K320" i="4"/>
  <c r="L324" i="4"/>
  <c r="K324" i="4"/>
  <c r="L280" i="4"/>
  <c r="L285" i="4" s="1"/>
  <c r="H95" i="4"/>
  <c r="G95" i="4"/>
  <c r="H124" i="4"/>
  <c r="G124" i="4"/>
  <c r="O310" i="4" l="1"/>
  <c r="O323" i="4"/>
  <c r="O324" i="4" s="1"/>
  <c r="O206" i="4"/>
  <c r="O209" i="4" s="1"/>
  <c r="J95" i="4"/>
  <c r="O319" i="4"/>
  <c r="O320" i="4" s="1"/>
  <c r="O280" i="4"/>
  <c r="O285" i="4" s="1"/>
  <c r="J124" i="4"/>
  <c r="K124" i="4" l="1"/>
  <c r="L124" i="4" s="1"/>
  <c r="P206" i="4"/>
  <c r="P209" i="4" s="1"/>
  <c r="P323" i="4"/>
  <c r="P324" i="4" s="1"/>
  <c r="P310" i="4"/>
  <c r="P319" i="4"/>
  <c r="P320" i="4" s="1"/>
  <c r="P280" i="4"/>
  <c r="P285" i="4" s="1"/>
  <c r="J115" i="13"/>
  <c r="J116" i="13" s="1"/>
  <c r="I115" i="13"/>
  <c r="I116" i="13" s="1"/>
  <c r="I76" i="13"/>
  <c r="I80" i="13" s="1"/>
  <c r="J76" i="13"/>
  <c r="J80" i="13" s="1"/>
  <c r="P51" i="4"/>
  <c r="P52" i="4" s="1"/>
  <c r="K95" i="4" l="1"/>
  <c r="L95" i="4"/>
  <c r="L76" i="13"/>
  <c r="L80" i="13" s="1"/>
  <c r="L115" i="13"/>
  <c r="L116" i="13" s="1"/>
  <c r="O124" i="4" l="1"/>
  <c r="P124" i="4" s="1"/>
  <c r="M76" i="13"/>
  <c r="M115" i="13"/>
  <c r="M116" i="13" s="1"/>
  <c r="N76" i="13" l="1"/>
  <c r="M80" i="13"/>
  <c r="N79" i="13" s="1"/>
  <c r="Q79" i="13" s="1"/>
  <c r="R79" i="13" s="1"/>
  <c r="N115" i="13"/>
  <c r="N116" i="13" s="1"/>
  <c r="N80" i="13" l="1"/>
  <c r="Q76" i="13"/>
  <c r="Q80" i="13" s="1"/>
  <c r="Q115" i="13"/>
  <c r="Q116" i="13" s="1"/>
  <c r="G177" i="4"/>
  <c r="H177" i="4"/>
  <c r="G169" i="4"/>
  <c r="H169" i="4"/>
  <c r="R76" i="13" l="1"/>
  <c r="R80" i="13" s="1"/>
  <c r="R115" i="13"/>
  <c r="R116" i="13" s="1"/>
  <c r="J169" i="4"/>
  <c r="J177" i="4"/>
  <c r="K177" i="4" s="1"/>
  <c r="L177" i="4" s="1"/>
  <c r="P258" i="4"/>
  <c r="G113" i="4"/>
  <c r="H113" i="4"/>
  <c r="K169" i="4" l="1"/>
  <c r="L169" i="4" s="1"/>
  <c r="O177" i="4"/>
  <c r="J113" i="4"/>
  <c r="K113" i="4" s="1"/>
  <c r="L113" i="4" s="1"/>
  <c r="G55" i="4"/>
  <c r="P177" i="4" l="1"/>
  <c r="O113" i="4"/>
  <c r="P113" i="4" s="1"/>
  <c r="I174" i="13"/>
  <c r="J174" i="13"/>
  <c r="O169" i="4" l="1"/>
  <c r="L174" i="13"/>
  <c r="M174" i="13" s="1"/>
  <c r="N174" i="13" s="1"/>
  <c r="P169" i="4" l="1"/>
  <c r="Q174" i="13"/>
  <c r="G117" i="4"/>
  <c r="H117" i="4"/>
  <c r="G112" i="4"/>
  <c r="H112" i="4"/>
  <c r="J112" i="4" l="1"/>
  <c r="K112" i="4" s="1"/>
  <c r="J117" i="4"/>
  <c r="K117" i="4" l="1"/>
  <c r="J175" i="13"/>
  <c r="I175" i="13"/>
  <c r="H99" i="4"/>
  <c r="G45" i="4"/>
  <c r="H131" i="4"/>
  <c r="G152" i="4"/>
  <c r="G131" i="4"/>
  <c r="G37" i="4"/>
  <c r="H37" i="4"/>
  <c r="G183" i="4"/>
  <c r="G184" i="4" s="1"/>
  <c r="H183" i="4"/>
  <c r="H184" i="4" s="1"/>
  <c r="H55" i="4"/>
  <c r="J55" i="4" s="1"/>
  <c r="K55" i="4" s="1"/>
  <c r="L55" i="4" s="1"/>
  <c r="O55" i="4" s="1"/>
  <c r="G23" i="4"/>
  <c r="H23" i="4"/>
  <c r="H26" i="4" s="1"/>
  <c r="G83" i="4"/>
  <c r="H83" i="4"/>
  <c r="G46" i="4"/>
  <c r="H46" i="4"/>
  <c r="G88" i="4"/>
  <c r="H88" i="4"/>
  <c r="J99" i="4" l="1"/>
  <c r="K99" i="4" s="1"/>
  <c r="L99" i="4" s="1"/>
  <c r="H103" i="4"/>
  <c r="L117" i="4"/>
  <c r="L175" i="13"/>
  <c r="M175" i="13" s="1"/>
  <c r="N175" i="13" s="1"/>
  <c r="O99" i="4"/>
  <c r="J131" i="4"/>
  <c r="J152" i="4"/>
  <c r="K152" i="4" s="1"/>
  <c r="J23" i="4"/>
  <c r="J83" i="4"/>
  <c r="K83" i="4" s="1"/>
  <c r="L83" i="4" s="1"/>
  <c r="J88" i="4"/>
  <c r="J37" i="4"/>
  <c r="J46" i="4"/>
  <c r="J183" i="4"/>
  <c r="J184" i="4" s="1"/>
  <c r="R250" i="13"/>
  <c r="R251" i="13" s="1"/>
  <c r="K37" i="4" l="1"/>
  <c r="P99" i="4"/>
  <c r="K88" i="4"/>
  <c r="K46" i="4"/>
  <c r="K23" i="4"/>
  <c r="O117" i="4"/>
  <c r="K131" i="4"/>
  <c r="Q175" i="13"/>
  <c r="L152" i="4"/>
  <c r="O152" i="4" s="1"/>
  <c r="O153" i="4" s="1"/>
  <c r="K183" i="4"/>
  <c r="L37" i="4" l="1"/>
  <c r="K184" i="4"/>
  <c r="L183" i="4"/>
  <c r="L184" i="4" s="1"/>
  <c r="L131" i="4"/>
  <c r="O131" i="4" s="1"/>
  <c r="L46" i="4"/>
  <c r="O46" i="4" s="1"/>
  <c r="P46" i="4" s="1"/>
  <c r="L23" i="4"/>
  <c r="L88" i="4"/>
  <c r="P117" i="4"/>
  <c r="O37" i="4"/>
  <c r="R175" i="13"/>
  <c r="O56" i="4"/>
  <c r="O23" i="4" l="1"/>
  <c r="O88" i="4"/>
  <c r="O183" i="4"/>
  <c r="O184" i="4" s="1"/>
  <c r="O83" i="4"/>
  <c r="P183" i="4" l="1"/>
  <c r="P184" i="4" s="1"/>
  <c r="R202" i="13" l="1"/>
  <c r="R207" i="13" s="1"/>
  <c r="P66" i="4" l="1"/>
  <c r="P37" i="4"/>
  <c r="I32" i="13" l="1"/>
  <c r="I34" i="13" s="1"/>
  <c r="J32" i="13"/>
  <c r="J34" i="13" s="1"/>
  <c r="I176" i="13"/>
  <c r="J176" i="13"/>
  <c r="L176" i="13" l="1"/>
  <c r="L32" i="13"/>
  <c r="L34" i="13" s="1"/>
  <c r="J258" i="13"/>
  <c r="J259" i="13" s="1"/>
  <c r="I258" i="13"/>
  <c r="I259" i="13" s="1"/>
  <c r="M176" i="13" l="1"/>
  <c r="N176" i="13" s="1"/>
  <c r="L258" i="13"/>
  <c r="L259" i="13" s="1"/>
  <c r="M32" i="13"/>
  <c r="N32" i="13" s="1"/>
  <c r="R23" i="13"/>
  <c r="R26" i="13" s="1"/>
  <c r="H61" i="4"/>
  <c r="H176" i="4"/>
  <c r="G61" i="4"/>
  <c r="G62" i="4" s="1"/>
  <c r="G176" i="4"/>
  <c r="M34" i="13" l="1"/>
  <c r="N34" i="13"/>
  <c r="H62" i="4"/>
  <c r="H180" i="4"/>
  <c r="G180" i="4"/>
  <c r="J61" i="4"/>
  <c r="J62" i="4" s="1"/>
  <c r="M258" i="13"/>
  <c r="N258" i="13" s="1"/>
  <c r="J176" i="4"/>
  <c r="K176" i="4" s="1"/>
  <c r="L176" i="4" s="1"/>
  <c r="H162" i="4"/>
  <c r="G162" i="4"/>
  <c r="J180" i="4" l="1"/>
  <c r="K61" i="4"/>
  <c r="N259" i="13"/>
  <c r="M259" i="13"/>
  <c r="O176" i="4"/>
  <c r="Q176" i="13"/>
  <c r="Q178" i="13" s="1"/>
  <c r="Q32" i="13"/>
  <c r="Q34" i="13" s="1"/>
  <c r="J162" i="4"/>
  <c r="P88" i="4"/>
  <c r="K180" i="4" l="1"/>
  <c r="L180" i="4"/>
  <c r="K62" i="4"/>
  <c r="L61" i="4"/>
  <c r="O61" i="4" s="1"/>
  <c r="O62" i="4" s="1"/>
  <c r="P176" i="4"/>
  <c r="Q258" i="13"/>
  <c r="Q259" i="13" s="1"/>
  <c r="R176" i="13"/>
  <c r="R32" i="13"/>
  <c r="R34" i="13" s="1"/>
  <c r="K162" i="4"/>
  <c r="L62" i="4" l="1"/>
  <c r="O180" i="4"/>
  <c r="L162" i="4"/>
  <c r="R258" i="13"/>
  <c r="R259" i="13" s="1"/>
  <c r="J232" i="13"/>
  <c r="I232" i="13"/>
  <c r="J267" i="13"/>
  <c r="I267" i="13"/>
  <c r="I149" i="13"/>
  <c r="I152" i="13" s="1"/>
  <c r="J63" i="13"/>
  <c r="J65" i="13" s="1"/>
  <c r="I63" i="13"/>
  <c r="I65" i="13" s="1"/>
  <c r="I233" i="13" l="1"/>
  <c r="J233" i="13"/>
  <c r="J178" i="13"/>
  <c r="J268" i="13"/>
  <c r="I178" i="13"/>
  <c r="I268" i="13"/>
  <c r="P61" i="4"/>
  <c r="P62" i="4" s="1"/>
  <c r="P180" i="4"/>
  <c r="L149" i="13"/>
  <c r="L152" i="13" s="1"/>
  <c r="L232" i="13"/>
  <c r="L63" i="13"/>
  <c r="L65" i="13" s="1"/>
  <c r="L267" i="13"/>
  <c r="O162" i="4"/>
  <c r="P334" i="4"/>
  <c r="P335" i="4"/>
  <c r="G240" i="4"/>
  <c r="H240" i="4"/>
  <c r="H242" i="4" s="1"/>
  <c r="G241" i="4"/>
  <c r="H188" i="4"/>
  <c r="H189" i="4" s="1"/>
  <c r="G188" i="4"/>
  <c r="G231" i="4"/>
  <c r="H231" i="4"/>
  <c r="G227" i="4"/>
  <c r="H227" i="4"/>
  <c r="G220" i="4"/>
  <c r="G223" i="4" s="1"/>
  <c r="H220" i="4"/>
  <c r="H223" i="4" s="1"/>
  <c r="H201" i="4"/>
  <c r="H202" i="4" s="1"/>
  <c r="H164" i="4"/>
  <c r="G164" i="4"/>
  <c r="G165" i="4" s="1"/>
  <c r="H191" i="4"/>
  <c r="G191" i="4"/>
  <c r="H193" i="4"/>
  <c r="H172" i="4"/>
  <c r="G172" i="4"/>
  <c r="H157" i="4"/>
  <c r="H158" i="4" s="1"/>
  <c r="G157" i="4"/>
  <c r="G158" i="4" s="1"/>
  <c r="H127" i="4"/>
  <c r="G127" i="4"/>
  <c r="H137" i="4"/>
  <c r="G137" i="4"/>
  <c r="G140" i="4" s="1"/>
  <c r="H132" i="4"/>
  <c r="H133" i="4" s="1"/>
  <c r="G132" i="4"/>
  <c r="G133" i="4" s="1"/>
  <c r="H139" i="4"/>
  <c r="H170" i="4"/>
  <c r="G170" i="4"/>
  <c r="H111" i="4"/>
  <c r="H115" i="4" s="1"/>
  <c r="G111" i="4"/>
  <c r="G115" i="4" s="1"/>
  <c r="H125" i="4"/>
  <c r="G125" i="4"/>
  <c r="G100" i="4"/>
  <c r="G103" i="4" s="1"/>
  <c r="H89" i="4"/>
  <c r="G89" i="4"/>
  <c r="H44" i="4"/>
  <c r="G44" i="4"/>
  <c r="H45" i="4"/>
  <c r="H119" i="4"/>
  <c r="H121" i="4" s="1"/>
  <c r="G119" i="4"/>
  <c r="G121" i="4" s="1"/>
  <c r="H153" i="4"/>
  <c r="G108" i="4"/>
  <c r="G82" i="4"/>
  <c r="G85" i="4" s="1"/>
  <c r="H82" i="4"/>
  <c r="G148" i="4"/>
  <c r="G149" i="4" s="1"/>
  <c r="H148" i="4"/>
  <c r="H149" i="4" s="1"/>
  <c r="G21" i="4"/>
  <c r="G26" i="4" s="1"/>
  <c r="G29" i="4"/>
  <c r="G30" i="4" s="1"/>
  <c r="G76" i="4"/>
  <c r="G79" i="4" s="1"/>
  <c r="H76" i="4"/>
  <c r="H79" i="4" s="1"/>
  <c r="G71" i="4"/>
  <c r="G72" i="4" s="1"/>
  <c r="H71" i="4"/>
  <c r="H72" i="4" s="1"/>
  <c r="G47" i="4"/>
  <c r="H47" i="4"/>
  <c r="G38" i="4"/>
  <c r="G41" i="4" s="1"/>
  <c r="H38" i="4"/>
  <c r="H41" i="4" s="1"/>
  <c r="H67" i="4"/>
  <c r="H68" i="4" s="1"/>
  <c r="G67" i="4"/>
  <c r="G68" i="4" s="1"/>
  <c r="H128" i="4" l="1"/>
  <c r="G128" i="4"/>
  <c r="H140" i="4"/>
  <c r="G48" i="4"/>
  <c r="H48" i="4"/>
  <c r="H85" i="4"/>
  <c r="G173" i="4"/>
  <c r="H173" i="4"/>
  <c r="G91" i="4"/>
  <c r="H91" i="4"/>
  <c r="H194" i="4"/>
  <c r="J191" i="4"/>
  <c r="K191" i="4" s="1"/>
  <c r="L191" i="4" s="1"/>
  <c r="G194" i="4"/>
  <c r="L233" i="13"/>
  <c r="H165" i="4"/>
  <c r="L178" i="13"/>
  <c r="L268" i="13"/>
  <c r="G189" i="4"/>
  <c r="G228" i="4"/>
  <c r="G242" i="4"/>
  <c r="G153" i="4"/>
  <c r="H232" i="4"/>
  <c r="G232" i="4"/>
  <c r="G56" i="4"/>
  <c r="H56" i="4"/>
  <c r="H228" i="4"/>
  <c r="G217" i="4"/>
  <c r="H217" i="4"/>
  <c r="J45" i="4"/>
  <c r="J100" i="4"/>
  <c r="J103" i="4" s="1"/>
  <c r="J108" i="4"/>
  <c r="J29" i="4"/>
  <c r="M232" i="13"/>
  <c r="M149" i="13"/>
  <c r="M152" i="13" s="1"/>
  <c r="M267" i="13"/>
  <c r="N267" i="13" s="1"/>
  <c r="M63" i="13"/>
  <c r="M65" i="13" s="1"/>
  <c r="J44" i="4"/>
  <c r="J227" i="4"/>
  <c r="J89" i="4"/>
  <c r="J170" i="4"/>
  <c r="J67" i="4"/>
  <c r="J68" i="4" s="1"/>
  <c r="P162" i="4"/>
  <c r="J119" i="4"/>
  <c r="K119" i="4" s="1"/>
  <c r="L119" i="4" s="1"/>
  <c r="J137" i="4"/>
  <c r="J111" i="4"/>
  <c r="J115" i="4" s="1"/>
  <c r="J47" i="4"/>
  <c r="J148" i="4"/>
  <c r="J172" i="4"/>
  <c r="J164" i="4"/>
  <c r="J165" i="4" s="1"/>
  <c r="J241" i="4"/>
  <c r="K241" i="4" s="1"/>
  <c r="L241" i="4" s="1"/>
  <c r="J201" i="4"/>
  <c r="J220" i="4"/>
  <c r="J240" i="4"/>
  <c r="K240" i="4" s="1"/>
  <c r="J82" i="4"/>
  <c r="J193" i="4"/>
  <c r="K193" i="4" s="1"/>
  <c r="L193" i="4" s="1"/>
  <c r="J231" i="4"/>
  <c r="K231" i="4" s="1"/>
  <c r="L231" i="4" s="1"/>
  <c r="O231" i="4" s="1"/>
  <c r="J71" i="4"/>
  <c r="J76" i="4"/>
  <c r="J79" i="4" s="1"/>
  <c r="J127" i="4"/>
  <c r="J139" i="4"/>
  <c r="J38" i="4"/>
  <c r="J41" i="4" s="1"/>
  <c r="J21" i="4"/>
  <c r="J125" i="4"/>
  <c r="J132" i="4"/>
  <c r="J157" i="4"/>
  <c r="J158" i="4" s="1"/>
  <c r="J188" i="4"/>
  <c r="P249" i="4"/>
  <c r="P259" i="4"/>
  <c r="P250" i="4"/>
  <c r="P257" i="4"/>
  <c r="P254" i="4"/>
  <c r="P252" i="4"/>
  <c r="P253" i="4"/>
  <c r="P251" i="4"/>
  <c r="P152" i="4"/>
  <c r="P153" i="4" s="1"/>
  <c r="P94" i="4"/>
  <c r="P95" i="4" s="1"/>
  <c r="P336" i="4"/>
  <c r="P337" i="4"/>
  <c r="G15" i="14"/>
  <c r="G21" i="14" s="1"/>
  <c r="J128" i="4" l="1"/>
  <c r="J140" i="4"/>
  <c r="K132" i="4"/>
  <c r="J133" i="4"/>
  <c r="J121" i="4"/>
  <c r="J48" i="4"/>
  <c r="K148" i="4"/>
  <c r="L148" i="4" s="1"/>
  <c r="O148" i="4" s="1"/>
  <c r="P148" i="4" s="1"/>
  <c r="J149" i="4"/>
  <c r="P349" i="4"/>
  <c r="J85" i="4"/>
  <c r="K242" i="4"/>
  <c r="J15" i="14"/>
  <c r="J21" i="14" s="1"/>
  <c r="J173" i="4"/>
  <c r="K127" i="4"/>
  <c r="L127" i="4" s="1"/>
  <c r="K100" i="4"/>
  <c r="L100" i="4" s="1"/>
  <c r="J91" i="4"/>
  <c r="J194" i="4"/>
  <c r="J223" i="4"/>
  <c r="K220" i="4"/>
  <c r="K232" i="4"/>
  <c r="K217" i="4"/>
  <c r="J30" i="4"/>
  <c r="K29" i="4"/>
  <c r="K30" i="4" s="1"/>
  <c r="K227" i="4"/>
  <c r="J202" i="4"/>
  <c r="K201" i="4"/>
  <c r="L201" i="4" s="1"/>
  <c r="J72" i="4"/>
  <c r="K71" i="4"/>
  <c r="K76" i="4"/>
  <c r="K79" i="4" s="1"/>
  <c r="K67" i="4"/>
  <c r="K44" i="4"/>
  <c r="K47" i="4"/>
  <c r="L47" i="4" s="1"/>
  <c r="K38" i="4"/>
  <c r="K41" i="4" s="1"/>
  <c r="J26" i="4"/>
  <c r="K21" i="4"/>
  <c r="M233" i="13"/>
  <c r="J228" i="4"/>
  <c r="M178" i="13"/>
  <c r="M268" i="13"/>
  <c r="J242" i="4"/>
  <c r="J56" i="4"/>
  <c r="J232" i="4"/>
  <c r="J153" i="4"/>
  <c r="K45" i="4"/>
  <c r="L45" i="4" s="1"/>
  <c r="J189" i="4"/>
  <c r="J217" i="4"/>
  <c r="K137" i="4"/>
  <c r="L137" i="4" s="1"/>
  <c r="K153" i="4"/>
  <c r="K170" i="4"/>
  <c r="L170" i="4" s="1"/>
  <c r="K89" i="4"/>
  <c r="N63" i="13"/>
  <c r="N65" i="13" s="1"/>
  <c r="K121" i="4"/>
  <c r="N149" i="13"/>
  <c r="N152" i="13" s="1"/>
  <c r="N232" i="13"/>
  <c r="O193" i="4"/>
  <c r="O191" i="4"/>
  <c r="K188" i="4"/>
  <c r="L188" i="4" s="1"/>
  <c r="K157" i="4"/>
  <c r="K164" i="4"/>
  <c r="K165" i="4" s="1"/>
  <c r="K194" i="4"/>
  <c r="K172" i="4"/>
  <c r="L172" i="4" s="1"/>
  <c r="K139" i="4"/>
  <c r="K125" i="4"/>
  <c r="L125" i="4" s="1"/>
  <c r="K111" i="4"/>
  <c r="K82" i="4"/>
  <c r="K22" i="4"/>
  <c r="L22" i="4" s="1"/>
  <c r="P70" i="4"/>
  <c r="P145" i="4"/>
  <c r="P269" i="4"/>
  <c r="P248" i="4"/>
  <c r="P55" i="4"/>
  <c r="P56" i="4" s="1"/>
  <c r="P23" i="4"/>
  <c r="P131" i="4"/>
  <c r="P83" i="4"/>
  <c r="P136" i="4"/>
  <c r="P277" i="4" l="1"/>
  <c r="L227" i="4"/>
  <c r="O227" i="4" s="1"/>
  <c r="P227" i="4" s="1"/>
  <c r="K158" i="4"/>
  <c r="L157" i="4"/>
  <c r="L128" i="4"/>
  <c r="K223" i="4"/>
  <c r="L220" i="4"/>
  <c r="L223" i="4" s="1"/>
  <c r="L139" i="4"/>
  <c r="L140" i="4" s="1"/>
  <c r="L111" i="4"/>
  <c r="K115" i="4"/>
  <c r="K149" i="4"/>
  <c r="L149" i="4"/>
  <c r="K128" i="4"/>
  <c r="K91" i="4"/>
  <c r="L89" i="4"/>
  <c r="L91" i="4" s="1"/>
  <c r="K68" i="4"/>
  <c r="L67" i="4"/>
  <c r="L68" i="4" s="1"/>
  <c r="K140" i="4"/>
  <c r="L132" i="4"/>
  <c r="K133" i="4"/>
  <c r="O119" i="4"/>
  <c r="L121" i="4"/>
  <c r="L103" i="4"/>
  <c r="K103" i="4"/>
  <c r="L76" i="4"/>
  <c r="L79" i="4" s="1"/>
  <c r="K72" i="4"/>
  <c r="L71" i="4"/>
  <c r="L72" i="4" s="1"/>
  <c r="L44" i="4"/>
  <c r="L48" i="4" s="1"/>
  <c r="K48" i="4"/>
  <c r="L38" i="4"/>
  <c r="L41" i="4" s="1"/>
  <c r="O194" i="4"/>
  <c r="K85" i="4"/>
  <c r="K26" i="4"/>
  <c r="K173" i="4"/>
  <c r="K228" i="4"/>
  <c r="P191" i="4"/>
  <c r="K56" i="4"/>
  <c r="O47" i="4"/>
  <c r="P47" i="4" s="1"/>
  <c r="N233" i="13"/>
  <c r="P193" i="4"/>
  <c r="L194" i="4"/>
  <c r="K202" i="4"/>
  <c r="L202" i="4"/>
  <c r="K15" i="14"/>
  <c r="L15" i="14" s="1"/>
  <c r="L56" i="4"/>
  <c r="K108" i="4"/>
  <c r="L108" i="4"/>
  <c r="N178" i="13"/>
  <c r="N268" i="13"/>
  <c r="K189" i="4"/>
  <c r="L240" i="4"/>
  <c r="L242" i="4" s="1"/>
  <c r="L153" i="4"/>
  <c r="L29" i="4"/>
  <c r="L30" i="4" s="1"/>
  <c r="L82" i="4"/>
  <c r="L85" i="4" s="1"/>
  <c r="O137" i="4"/>
  <c r="L158" i="4"/>
  <c r="L164" i="4"/>
  <c r="L21" i="4"/>
  <c r="L26" i="4" s="1"/>
  <c r="Q149" i="13"/>
  <c r="Q152" i="13" s="1"/>
  <c r="Q267" i="13"/>
  <c r="Q268" i="13" s="1"/>
  <c r="Q232" i="13"/>
  <c r="Q233" i="13" s="1"/>
  <c r="Q63" i="13"/>
  <c r="Q65" i="13" s="1"/>
  <c r="L189" i="4"/>
  <c r="K21" i="14" l="1"/>
  <c r="L21" i="14"/>
  <c r="L228" i="4"/>
  <c r="O67" i="4"/>
  <c r="O68" i="4" s="1"/>
  <c r="L133" i="4"/>
  <c r="O132" i="4"/>
  <c r="P119" i="4"/>
  <c r="P121" i="4" s="1"/>
  <c r="O121" i="4"/>
  <c r="O44" i="4"/>
  <c r="P44" i="4" s="1"/>
  <c r="P194" i="4"/>
  <c r="O127" i="4"/>
  <c r="L173" i="4"/>
  <c r="O100" i="4"/>
  <c r="O103" i="4" s="1"/>
  <c r="L232" i="4"/>
  <c r="L165" i="4"/>
  <c r="O164" i="4"/>
  <c r="O165" i="4" s="1"/>
  <c r="O45" i="4"/>
  <c r="O240" i="4"/>
  <c r="O170" i="4"/>
  <c r="O82" i="4"/>
  <c r="L217" i="4"/>
  <c r="O89" i="4"/>
  <c r="O91" i="4" s="1"/>
  <c r="O29" i="4"/>
  <c r="O108" i="4"/>
  <c r="P137" i="4"/>
  <c r="R267" i="13"/>
  <c r="R268" i="13" s="1"/>
  <c r="R232" i="13"/>
  <c r="R233" i="13" s="1"/>
  <c r="R149" i="13"/>
  <c r="R152" i="13" s="1"/>
  <c r="R63" i="13"/>
  <c r="R65" i="13" s="1"/>
  <c r="O188" i="4"/>
  <c r="O189" i="4" s="1"/>
  <c r="O241" i="4"/>
  <c r="O228" i="4"/>
  <c r="O220" i="4"/>
  <c r="O223" i="4" s="1"/>
  <c r="O232" i="4"/>
  <c r="O157" i="4"/>
  <c r="O158" i="4" s="1"/>
  <c r="O201" i="4"/>
  <c r="O202" i="4" s="1"/>
  <c r="O172" i="4"/>
  <c r="O139" i="4"/>
  <c r="O140" i="4" s="1"/>
  <c r="O125" i="4"/>
  <c r="O22" i="4"/>
  <c r="O71" i="4"/>
  <c r="O72" i="4" s="1"/>
  <c r="O76" i="4"/>
  <c r="O79" i="4" s="1"/>
  <c r="O38" i="4"/>
  <c r="O41" i="4" s="1"/>
  <c r="O21" i="4"/>
  <c r="I11" i="13"/>
  <c r="N15" i="14" l="1"/>
  <c r="N21" i="14" s="1"/>
  <c r="P67" i="4"/>
  <c r="P68" i="4" s="1"/>
  <c r="O30" i="4"/>
  <c r="P29" i="4"/>
  <c r="P30" i="4" s="1"/>
  <c r="O133" i="4"/>
  <c r="P132" i="4"/>
  <c r="P133" i="4" s="1"/>
  <c r="O128" i="4"/>
  <c r="O48" i="4"/>
  <c r="O173" i="4"/>
  <c r="O149" i="4"/>
  <c r="O85" i="4"/>
  <c r="O26" i="4"/>
  <c r="O242" i="4"/>
  <c r="P127" i="4"/>
  <c r="P100" i="4"/>
  <c r="P103" i="4" s="1"/>
  <c r="P240" i="4"/>
  <c r="P45" i="4"/>
  <c r="P48" i="4" s="1"/>
  <c r="P170" i="4"/>
  <c r="P82" i="4"/>
  <c r="P89" i="4"/>
  <c r="P91" i="4" s="1"/>
  <c r="I126" i="13"/>
  <c r="P108" i="4"/>
  <c r="L9" i="13"/>
  <c r="L11" i="13" s="1"/>
  <c r="P188" i="4"/>
  <c r="P189" i="4" s="1"/>
  <c r="P241" i="4"/>
  <c r="P220" i="4"/>
  <c r="P223" i="4" s="1"/>
  <c r="P228" i="4"/>
  <c r="P231" i="4"/>
  <c r="P232" i="4" s="1"/>
  <c r="P164" i="4"/>
  <c r="P165" i="4" s="1"/>
  <c r="P157" i="4"/>
  <c r="P158" i="4" s="1"/>
  <c r="P201" i="4"/>
  <c r="P202" i="4" s="1"/>
  <c r="P172" i="4"/>
  <c r="P139" i="4"/>
  <c r="P140" i="4" s="1"/>
  <c r="P125" i="4"/>
  <c r="P38" i="4"/>
  <c r="P41" i="4" s="1"/>
  <c r="P71" i="4"/>
  <c r="P72" i="4" s="1"/>
  <c r="P76" i="4"/>
  <c r="P79" i="4" s="1"/>
  <c r="P21" i="4"/>
  <c r="P22" i="4"/>
  <c r="O15" i="14" l="1"/>
  <c r="O21" i="14" s="1"/>
  <c r="P128" i="4"/>
  <c r="P85" i="4"/>
  <c r="P149" i="4"/>
  <c r="P173" i="4"/>
  <c r="P26" i="4"/>
  <c r="P242" i="4"/>
  <c r="L126" i="13"/>
  <c r="M9" i="13"/>
  <c r="M11" i="13" s="1"/>
  <c r="M126" i="13" l="1"/>
  <c r="N9" i="13"/>
  <c r="N11" i="13" s="1"/>
  <c r="Q1048207" i="13"/>
  <c r="B64879" i="13"/>
  <c r="B64881" i="13" s="1"/>
  <c r="N126" i="13" l="1"/>
  <c r="Q9" i="13"/>
  <c r="Q11" i="13" s="1"/>
  <c r="R9" i="13" l="1"/>
  <c r="R11" i="13" s="1"/>
  <c r="R174" i="13"/>
  <c r="R178" i="13" s="1"/>
  <c r="B16866" i="4"/>
  <c r="B16868" i="4" s="1"/>
  <c r="H212" i="4"/>
  <c r="G212" i="4"/>
  <c r="G213" i="4" l="1"/>
  <c r="G351" i="4" s="1"/>
  <c r="H213" i="4"/>
  <c r="H351" i="4" s="1"/>
  <c r="J212" i="4"/>
  <c r="J213" i="4" s="1"/>
  <c r="J351" i="4" s="1"/>
  <c r="K212" i="4" l="1"/>
  <c r="K213" i="4" l="1"/>
  <c r="K351" i="4" s="1"/>
  <c r="L212" i="4"/>
  <c r="L213" i="4" s="1"/>
  <c r="M877147" i="14"/>
  <c r="O212" i="4" l="1"/>
  <c r="O213" i="4" s="1"/>
  <c r="P212" i="4" l="1"/>
  <c r="P213" i="4" s="1"/>
  <c r="B53" i="16" l="1"/>
  <c r="B57" i="16" s="1"/>
  <c r="B58" i="16" s="1"/>
  <c r="B61" i="16" s="1"/>
  <c r="B65" i="16" s="1"/>
  <c r="B69" i="16" s="1"/>
  <c r="B73" i="16" s="1"/>
  <c r="B77" i="16" l="1"/>
  <c r="B78" i="16" s="1"/>
  <c r="B82" i="16" s="1"/>
  <c r="B83" i="16" s="1"/>
  <c r="B87" i="16" s="1"/>
  <c r="B93" i="16" l="1"/>
  <c r="B97" i="16" s="1"/>
  <c r="B101" i="16" s="1"/>
  <c r="B105" i="16" s="1"/>
  <c r="B109" i="16" s="1"/>
  <c r="B114" i="16" s="1"/>
  <c r="B115" i="16" l="1"/>
  <c r="B119" i="16" s="1"/>
  <c r="B123" i="16" s="1"/>
  <c r="O263" i="13" l="1"/>
  <c r="O264" i="13" l="1"/>
  <c r="P264" i="13" l="1"/>
  <c r="O303" i="4" l="1"/>
  <c r="O311" i="4" s="1"/>
  <c r="P303" i="4" l="1"/>
  <c r="P311" i="4" s="1"/>
  <c r="A24" i="13" l="1"/>
  <c r="A25" i="13" s="1"/>
  <c r="A29" i="13" s="1"/>
  <c r="A30" i="13" l="1"/>
  <c r="A31" i="13" s="1"/>
  <c r="A32" i="13" s="1"/>
  <c r="A33" i="13" s="1"/>
  <c r="A37" i="13" s="1"/>
  <c r="A38" i="13" l="1"/>
  <c r="A39" i="13" s="1"/>
  <c r="A40" i="13" s="1"/>
  <c r="A41" i="13" s="1"/>
  <c r="A42" i="13" s="1"/>
  <c r="A43" i="13" s="1"/>
  <c r="A47" i="13" s="1"/>
  <c r="A50" i="13" l="1"/>
  <c r="A51" i="13" s="1"/>
  <c r="A55" i="13" s="1"/>
  <c r="L78" i="16" l="1"/>
  <c r="L79" i="16" s="1"/>
  <c r="J79" i="16"/>
  <c r="A21" i="4" l="1"/>
  <c r="A22" i="4" l="1"/>
  <c r="A23" i="4" s="1"/>
  <c r="A24" i="4" s="1"/>
  <c r="A25" i="4" s="1"/>
  <c r="J84" i="16"/>
  <c r="K83" i="16"/>
  <c r="K84" i="16" s="1"/>
  <c r="A29" i="4" l="1"/>
  <c r="A33" i="4" s="1"/>
  <c r="A37" i="4" s="1"/>
  <c r="L83" i="16"/>
  <c r="L84" i="16" s="1"/>
  <c r="A38" i="4" l="1"/>
  <c r="A39" i="4" s="1"/>
  <c r="A40" i="4" s="1"/>
  <c r="A43" i="4" s="1"/>
  <c r="K115" i="16"/>
  <c r="K116" i="16" s="1"/>
  <c r="J116" i="16"/>
  <c r="L115" i="16" l="1"/>
  <c r="L116" i="16" s="1"/>
  <c r="A44" i="4" l="1"/>
  <c r="A45" i="4" s="1"/>
  <c r="A46" i="4" s="1"/>
  <c r="A47" i="4" s="1"/>
  <c r="A51" i="4" s="1"/>
  <c r="A55" i="4" s="1"/>
  <c r="A59" i="4" s="1"/>
  <c r="A60" i="4" s="1"/>
  <c r="A61" i="4" l="1"/>
  <c r="A65" i="4" l="1"/>
  <c r="A66" i="4" s="1"/>
  <c r="A67" i="4" l="1"/>
  <c r="A70" i="4" s="1"/>
  <c r="A71" i="4" s="1"/>
  <c r="A75" i="4" s="1"/>
  <c r="A76" i="4" s="1"/>
  <c r="A77" i="4" s="1"/>
  <c r="A78" i="4" l="1"/>
  <c r="A82" i="4" s="1"/>
  <c r="A83" i="4" s="1"/>
  <c r="A84" i="4" s="1"/>
  <c r="A88" i="4" s="1"/>
  <c r="A89" i="4" s="1"/>
  <c r="A90" i="4" s="1"/>
  <c r="A94" i="4" l="1"/>
  <c r="A98" i="4" s="1"/>
  <c r="A99" i="4" l="1"/>
  <c r="A100" i="4" s="1"/>
  <c r="A101" i="4" s="1"/>
  <c r="A107" i="4" l="1"/>
  <c r="A111" i="4" s="1"/>
  <c r="A112" i="4" s="1"/>
  <c r="A113" i="4" s="1"/>
  <c r="A102" i="4"/>
  <c r="A106" i="4" s="1"/>
  <c r="A114" i="4" l="1"/>
  <c r="A117" i="4" s="1"/>
  <c r="A118" i="4" s="1"/>
  <c r="A119" i="4" s="1"/>
  <c r="A120" i="4" s="1"/>
  <c r="A124" i="4" s="1"/>
  <c r="A125" i="4" l="1"/>
  <c r="A126" i="4" s="1"/>
  <c r="A127" i="4" s="1"/>
  <c r="A131" i="4" l="1"/>
  <c r="A132" i="4" s="1"/>
  <c r="A136" i="4" s="1"/>
  <c r="A137" i="4" s="1"/>
  <c r="A138" i="4" s="1"/>
  <c r="A139" i="4" s="1"/>
  <c r="A143" i="4" s="1"/>
  <c r="A144" i="4" s="1"/>
  <c r="A148" i="4" l="1"/>
  <c r="A152" i="4" s="1"/>
  <c r="A157" i="4" s="1"/>
  <c r="A161" i="4" l="1"/>
  <c r="A164" i="4" s="1"/>
  <c r="A168" i="4" s="1"/>
  <c r="A169" i="4" s="1"/>
  <c r="A170" i="4" s="1"/>
  <c r="A171" i="4" s="1"/>
  <c r="A172" i="4" s="1"/>
  <c r="A176" i="4" l="1"/>
  <c r="A177" i="4" s="1"/>
  <c r="A178" i="4" s="1"/>
  <c r="A179" i="4" s="1"/>
  <c r="A183" i="4" s="1"/>
  <c r="A187" i="4" s="1"/>
  <c r="A188" i="4" s="1"/>
  <c r="A191" i="4" s="1"/>
  <c r="A192" i="4" s="1"/>
  <c r="A193" i="4" s="1"/>
  <c r="A197" i="4" s="1"/>
  <c r="A201" i="4" s="1"/>
  <c r="A205" i="4" s="1"/>
  <c r="A206" i="4" s="1"/>
  <c r="A216" i="4"/>
  <c r="A220" i="4" s="1"/>
  <c r="A221" i="4" s="1"/>
  <c r="A222" i="4" s="1"/>
  <c r="A227" i="4" s="1"/>
  <c r="A231" i="4" s="1"/>
  <c r="A235" i="4" s="1"/>
  <c r="A236" i="4" s="1"/>
  <c r="A240" i="4" s="1"/>
  <c r="A241" i="4" s="1"/>
  <c r="A244" i="4" s="1"/>
  <c r="O111" i="4"/>
  <c r="L112" i="4"/>
  <c r="A245" i="4" l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O112" i="4"/>
  <c r="P112" i="4" s="1"/>
  <c r="L115" i="4"/>
  <c r="L351" i="4" s="1"/>
  <c r="P111" i="4"/>
  <c r="A262" i="4" l="1"/>
  <c r="A263" i="4" s="1"/>
  <c r="A264" i="4" s="1"/>
  <c r="A265" i="4" s="1"/>
  <c r="A266" i="4" s="1"/>
  <c r="O115" i="4"/>
  <c r="O351" i="4" s="1"/>
  <c r="P115" i="4"/>
  <c r="P351" i="4" s="1"/>
  <c r="K120" i="16"/>
  <c r="K126" i="16" s="1"/>
  <c r="J120" i="16"/>
  <c r="J126" i="16" s="1"/>
  <c r="A267" i="4" l="1"/>
  <c r="A268" i="4" s="1"/>
  <c r="A269" i="4" s="1"/>
  <c r="A270" i="4" s="1"/>
  <c r="A271" i="4" s="1"/>
  <c r="A272" i="4" s="1"/>
  <c r="A273" i="4" s="1"/>
  <c r="A274" i="4" s="1"/>
  <c r="L119" i="16"/>
  <c r="L120" i="16" s="1"/>
  <c r="L126" i="16" s="1"/>
  <c r="A275" i="4" l="1"/>
  <c r="A276" i="4" l="1"/>
  <c r="A280" i="4" s="1"/>
  <c r="A281" i="4" s="1"/>
  <c r="A282" i="4" s="1"/>
  <c r="A283" i="4" s="1"/>
  <c r="A284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l="1"/>
  <c r="A310" i="4" l="1"/>
  <c r="A314" i="4" s="1"/>
  <c r="N91" i="13"/>
  <c r="A318" i="4" l="1"/>
  <c r="A319" i="4" s="1"/>
  <c r="A323" i="4" s="1"/>
  <c r="A327" i="4" s="1"/>
  <c r="A328" i="4" s="1"/>
  <c r="A329" i="4" s="1"/>
  <c r="A334" i="4" s="1"/>
  <c r="A335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Q90" i="13"/>
  <c r="Q91" i="13" s="1"/>
  <c r="A56" i="13"/>
  <c r="A60" i="13" s="1"/>
  <c r="A63" i="13" s="1"/>
  <c r="A64" i="13" s="1"/>
  <c r="A68" i="13" s="1"/>
  <c r="A72" i="13" s="1"/>
  <c r="A76" i="13" s="1"/>
  <c r="A77" i="13" s="1"/>
  <c r="A78" i="13" s="1"/>
  <c r="A79" i="13" s="1"/>
  <c r="A83" i="13" s="1"/>
  <c r="A84" i="13" s="1"/>
  <c r="A85" i="13" s="1"/>
  <c r="A89" i="13" s="1"/>
  <c r="A90" i="13" s="1"/>
  <c r="A93" i="13" s="1"/>
  <c r="A94" i="13" s="1"/>
  <c r="A98" i="13" s="1"/>
  <c r="A102" i="13" s="1"/>
  <c r="A103" i="13" s="1"/>
  <c r="A104" i="13" s="1"/>
  <c r="A105" i="13" s="1"/>
  <c r="A108" i="13" s="1"/>
  <c r="A111" i="13" s="1"/>
  <c r="A115" i="13" s="1"/>
  <c r="A118" i="13" s="1"/>
  <c r="A122" i="13" s="1"/>
  <c r="A123" i="13" s="1"/>
  <c r="A124" i="13" s="1"/>
  <c r="A125" i="13" s="1"/>
  <c r="A130" i="13" l="1"/>
  <c r="A131" i="13" s="1"/>
  <c r="A135" i="13" s="1"/>
  <c r="A136" i="13" s="1"/>
  <c r="R90" i="13"/>
  <c r="R91" i="13" s="1"/>
  <c r="A140" i="13" l="1"/>
  <c r="A141" i="13" s="1"/>
  <c r="A144" i="13" s="1"/>
  <c r="A145" i="13" s="1"/>
  <c r="A149" i="13" s="1"/>
  <c r="A150" i="13" s="1"/>
  <c r="A151" i="13" s="1"/>
  <c r="A159" i="13" s="1"/>
  <c r="A160" i="13" s="1"/>
  <c r="A164" i="13" s="1"/>
  <c r="A165" i="13" s="1"/>
  <c r="A169" i="13" s="1"/>
  <c r="A173" i="13" s="1"/>
  <c r="A174" i="13" s="1"/>
  <c r="A175" i="13" s="1"/>
  <c r="A176" i="13" s="1"/>
  <c r="A177" i="13" s="1"/>
  <c r="A181" i="13" s="1"/>
  <c r="A185" i="13" s="1"/>
  <c r="A186" i="13" s="1"/>
  <c r="A187" i="13" s="1"/>
  <c r="A191" i="13" s="1"/>
  <c r="A192" i="13" s="1"/>
  <c r="A196" i="13" s="1"/>
  <c r="A197" i="13" l="1"/>
  <c r="A201" i="13" s="1"/>
  <c r="A202" i="13" s="1"/>
  <c r="A203" i="13" s="1"/>
  <c r="A204" i="13" s="1"/>
  <c r="A205" i="13" s="1"/>
  <c r="A206" i="13" s="1"/>
  <c r="A210" i="13" s="1"/>
  <c r="A211" i="13" s="1"/>
  <c r="A212" i="13" s="1"/>
  <c r="A216" i="13" s="1"/>
  <c r="A217" i="13" s="1"/>
  <c r="A224" i="13" l="1"/>
  <c r="A236" i="13" s="1"/>
  <c r="A239" i="13" s="1"/>
  <c r="A240" i="13" s="1"/>
  <c r="A241" i="13" l="1"/>
  <c r="A244" i="13" s="1"/>
  <c r="A245" i="13" s="1"/>
  <c r="A249" i="13" s="1"/>
  <c r="A250" i="13" l="1"/>
  <c r="A254" i="13" s="1"/>
  <c r="A258" i="13" s="1"/>
  <c r="A262" i="13" s="1"/>
  <c r="A263" i="13" s="1"/>
  <c r="A267" i="13" s="1"/>
  <c r="N144" i="13" l="1"/>
  <c r="N146" i="13" s="1"/>
  <c r="O146" i="13"/>
  <c r="Q144" i="13" l="1"/>
  <c r="Q146" i="13" l="1"/>
  <c r="R144" i="13"/>
  <c r="R146" i="13" s="1"/>
  <c r="R270" i="13" s="1"/>
  <c r="O270" i="13"/>
  <c r="I270" i="13"/>
  <c r="P270" i="13"/>
  <c r="M270" i="13"/>
  <c r="N270" i="13"/>
  <c r="J270" i="13"/>
  <c r="Q270" i="13"/>
  <c r="K270" i="13"/>
  <c r="L270" i="13"/>
  <c r="H270" i="13"/>
</calcChain>
</file>

<file path=xl/sharedStrings.xml><?xml version="1.0" encoding="utf-8"?>
<sst xmlns="http://schemas.openxmlformats.org/spreadsheetml/2006/main" count="2034" uniqueCount="664">
  <si>
    <t>NO.</t>
  </si>
  <si>
    <t>AFP (2.87)</t>
  </si>
  <si>
    <t>SFS ( 3.04)</t>
  </si>
  <si>
    <t xml:space="preserve">Total de Descuentos </t>
  </si>
  <si>
    <t xml:space="preserve">ALTAGRACIA JIMENEZ DE CASIMIRO </t>
  </si>
  <si>
    <t xml:space="preserve">ARELIS JOSELIN FIGUEREO HERRERA </t>
  </si>
  <si>
    <t xml:space="preserve">DISEÑADOR GRAFICO </t>
  </si>
  <si>
    <t xml:space="preserve">SORIBEL MEDINA LAGRANGE </t>
  </si>
  <si>
    <t>KARLA MARIEL UREÑA GIL</t>
  </si>
  <si>
    <t>GELLMNS KEEMSIOLY GIL BISONO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</si>
  <si>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</si>
  <si>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</si>
  <si>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</si>
  <si>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</si>
  <si>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</si>
  <si>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</si>
  <si>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</si>
  <si>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</si>
  <si>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</si>
  <si>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</si>
  <si>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</si>
  <si>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</si>
  <si>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</si>
  <si>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</si>
  <si>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</si>
  <si>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</si>
  <si>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</si>
  <si>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</si>
  <si>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</si>
  <si>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FRANCISCO ALBERTO BLANCO RAMOS </t>
  </si>
  <si>
    <t xml:space="preserve">YSAIAS MORILLO FERREIRA 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</si>
  <si>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</si>
  <si>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</si>
  <si>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</si>
  <si>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</si>
  <si>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</si>
  <si>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</si>
  <si>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</si>
  <si>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</si>
  <si>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</si>
  <si>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</si>
  <si>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</si>
  <si>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</si>
  <si>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</si>
  <si>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</si>
  <si>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</si>
  <si>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</si>
  <si>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</si>
  <si>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</si>
  <si>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</si>
  <si>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</si>
  <si>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</si>
  <si>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</si>
  <si>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</si>
  <si>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</si>
  <si>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</si>
  <si>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</si>
  <si>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</si>
  <si>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</si>
  <si>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</si>
  <si>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</si>
  <si>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ALBERTO VILLANUEVA POLANCO </t>
  </si>
  <si>
    <t>SHEILA CAMILA TAVAREZ ESCAÑO</t>
  </si>
  <si>
    <t xml:space="preserve">LAURA VIRGINIA DE LA CRUZ DUVERGE 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</si>
  <si>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</si>
  <si>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</si>
  <si>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</si>
  <si>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</si>
  <si>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</si>
  <si>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</si>
  <si>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</si>
  <si>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</si>
  <si>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</si>
  <si>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</si>
  <si>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</si>
  <si>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</si>
  <si>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</si>
  <si>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</si>
  <si>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</si>
  <si>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</si>
  <si>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</si>
  <si>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</si>
  <si>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</si>
  <si>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</si>
  <si>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</si>
  <si>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</si>
  <si>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</si>
  <si>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</si>
  <si>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</si>
  <si>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</si>
  <si>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</si>
  <si>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</si>
  <si>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</si>
  <si>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</si>
  <si>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</si>
  <si>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</si>
  <si>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</si>
  <si>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</si>
  <si>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</si>
  <si>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</si>
  <si>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</si>
  <si>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</si>
  <si>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</si>
  <si>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</si>
  <si>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</si>
  <si>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</si>
  <si>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</si>
  <si>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</si>
  <si>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</si>
  <si>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</si>
  <si>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</si>
  <si>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</si>
  <si>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</si>
  <si>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</si>
  <si>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</si>
  <si>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</si>
  <si>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</si>
  <si>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</si>
  <si>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</si>
  <si>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</si>
  <si>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</si>
  <si>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</si>
  <si>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</si>
  <si>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</si>
  <si>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</si>
  <si>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</si>
  <si>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</si>
  <si>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</si>
  <si>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</si>
  <si>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</si>
  <si>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</si>
  <si>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</si>
  <si>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</si>
  <si>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</si>
  <si>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</si>
  <si>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</si>
  <si>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</si>
  <si>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</si>
  <si>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</si>
  <si>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</si>
  <si>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</si>
  <si>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</si>
  <si>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</si>
  <si>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</si>
  <si>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</si>
  <si>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</si>
  <si>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</si>
  <si>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</si>
  <si>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</si>
  <si>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</si>
  <si>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</si>
  <si>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</si>
  <si>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</si>
  <si>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</si>
  <si>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</si>
  <si>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</si>
  <si>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</si>
  <si>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</si>
  <si>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</si>
  <si>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</si>
  <si>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</si>
  <si>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</si>
  <si>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</si>
  <si>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</si>
  <si>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</si>
  <si>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</si>
  <si>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</si>
  <si>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</si>
  <si>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</si>
  <si>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</si>
  <si>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</si>
  <si>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</si>
  <si>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</si>
  <si>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</si>
  <si>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</si>
  <si>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</si>
  <si>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</si>
  <si>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</si>
  <si>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</si>
  <si>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</si>
  <si>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</si>
  <si>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</si>
  <si>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</si>
  <si>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</si>
  <si>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</si>
  <si>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</si>
  <si>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</si>
  <si>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</si>
  <si>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</si>
  <si>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</si>
  <si>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</si>
  <si>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</si>
  <si>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</si>
  <si>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</si>
  <si>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</si>
  <si>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</si>
  <si>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</si>
  <si>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</si>
  <si>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</si>
  <si>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</si>
  <si>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</si>
  <si>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</si>
  <si>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</si>
  <si>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</si>
  <si>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</si>
  <si>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</si>
  <si>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</si>
  <si>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</si>
  <si>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</si>
  <si>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</si>
  <si>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</si>
  <si>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</si>
  <si>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</si>
  <si>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</si>
  <si>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</si>
  <si>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</si>
  <si>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</si>
  <si>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</si>
  <si>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</si>
  <si>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</si>
  <si>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</si>
  <si>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</si>
  <si>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</si>
  <si>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 xml:space="preserve">PATRIA SENCIÓN SANTANA </t>
  </si>
  <si>
    <t>MARÍA SOLEDAD MIRANDA AHUMADA</t>
  </si>
  <si>
    <t>ANA MIGUELINA ALTAGRACIA TERRERO DE LEÓN</t>
  </si>
  <si>
    <t xml:space="preserve">YURIDYS ALTAGRACIA RODRÍGUEZ DILONE </t>
  </si>
  <si>
    <t>ENCARGADO DIVISIÓN DE REGIÓN CIBAO NORDESTE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</si>
  <si>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</si>
  <si>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</si>
  <si>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</si>
  <si>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</si>
  <si>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</si>
  <si>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</si>
  <si>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</si>
  <si>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</si>
  <si>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</si>
  <si>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</si>
  <si>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</si>
  <si>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FÉLIX ANTONIO FABIÁN MERCEDES </t>
  </si>
  <si>
    <t>KATHERINE MERCEDES PEGUERO FERMÍN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</si>
  <si>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</si>
  <si>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</si>
  <si>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</si>
  <si>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</si>
  <si>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</si>
  <si>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</si>
  <si>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</si>
  <si>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</si>
  <si>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</si>
  <si>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</si>
  <si>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</si>
  <si>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</si>
  <si>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</si>
  <si>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</si>
  <si>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</si>
  <si>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AWILDA POLANCO HERNÁNDEZ</t>
  </si>
  <si>
    <t>DIVISIÓN DE REGISTRO, CONTROL Y NÓMINA</t>
  </si>
  <si>
    <t>BIENVENIDO DÍAZ COLLADO</t>
  </si>
  <si>
    <t>DEPARTAMENTO TECNOLOGÍA DE LA INFORMACIÓN Y COMUNICACIÓN</t>
  </si>
  <si>
    <t>DIVISIÓN DESARROLLO E IMPLEMENTACIÓN DE SISTEMAS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</si>
  <si>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</si>
  <si>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</si>
  <si>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</si>
  <si>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</si>
  <si>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</si>
  <si>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</si>
  <si>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</si>
  <si>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</si>
  <si>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</si>
  <si>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</si>
  <si>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</si>
  <si>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</si>
  <si>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</si>
  <si>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</si>
  <si>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</si>
  <si>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</si>
  <si>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</si>
  <si>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</si>
  <si>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</si>
  <si>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>MIGUEL ÁNGEL MATOS DE LA PAZ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</si>
  <si>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</si>
  <si>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</si>
  <si>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</si>
  <si>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</si>
  <si>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</si>
  <si>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 xml:space="preserve">EDWIN AMADO MEJÍA </t>
  </si>
  <si>
    <t>SECCIÓN ALMACÉN Y SUMINISTRO</t>
  </si>
  <si>
    <t>AUXILIAR DE ALMACÉN Y SUMINISTRO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</si>
  <si>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</si>
  <si>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</si>
  <si>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</si>
  <si>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</si>
  <si>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TÉCNICO BIBLIOTECARIO </t>
  </si>
  <si>
    <t xml:space="preserve">CECILIO LÓPEZ </t>
  </si>
  <si>
    <t xml:space="preserve">AUXILIAR DE DOCUMENTACIÓN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</si>
  <si>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</si>
  <si>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</si>
  <si>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</si>
  <si>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</si>
  <si>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</si>
  <si>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</si>
  <si>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</si>
  <si>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</si>
  <si>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</si>
  <si>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</si>
  <si>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</si>
  <si>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</si>
  <si>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</si>
  <si>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</si>
  <si>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</si>
  <si>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</si>
  <si>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</si>
  <si>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</si>
  <si>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</si>
  <si>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</si>
  <si>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</si>
  <si>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</si>
  <si>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</si>
  <si>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</si>
  <si>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</si>
  <si>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</si>
  <si>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</si>
  <si>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</si>
  <si>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</si>
  <si>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</si>
  <si>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</si>
  <si>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</si>
  <si>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</si>
  <si>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</si>
  <si>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</si>
  <si>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VERENICE CAPELLÁN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</si>
  <si>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</si>
  <si>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</si>
  <si>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</si>
  <si>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</si>
  <si>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</si>
  <si>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</si>
  <si>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</si>
  <si>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</si>
  <si>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</si>
  <si>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</si>
  <si>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</si>
  <si>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</si>
  <si>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</si>
  <si>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</si>
  <si>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</si>
  <si>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</si>
  <si>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</si>
  <si>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</si>
  <si>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</si>
  <si>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</si>
  <si>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</si>
  <si>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</si>
  <si>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MARIA JOSÉ CASTRO SUERO</t>
  </si>
  <si>
    <t>ESPECIALISTA DE CALIDAD Y EVALUACIÓN DE LA GESTIÓN PRESUPUESTARIA</t>
  </si>
  <si>
    <t>KIMBERLY JANELIS BERTRAND ROSA</t>
  </si>
  <si>
    <t>MARIEL YUDELKA SOLANO</t>
  </si>
  <si>
    <t>DISEÑADOR GRÁFICO</t>
  </si>
  <si>
    <t>DAIHAN FERNÁNDEZ DE LA CRUZ</t>
  </si>
  <si>
    <t>ANALISTA DE SEGURIDAD TIC I</t>
  </si>
  <si>
    <t>Funcion</t>
  </si>
  <si>
    <t>DE LIBRE NOMBRAMIENTO Y REMOCIÓN</t>
  </si>
  <si>
    <t>NELSON OREIBI MARTÍNEZ SOLER</t>
  </si>
  <si>
    <t>DIVISIÓN DE COMPRAS Y CONTRATACIONES</t>
  </si>
  <si>
    <t>SECCIÓN DE ALMACÉN Y SUMINISTRO</t>
  </si>
  <si>
    <t>NATALIA IRENE VÉLEZ MOLINA</t>
  </si>
  <si>
    <t>FRANCISCO ANTONIO GÓMEZ DE JESÚS</t>
  </si>
  <si>
    <t>ENCARGADO DIVISIÓN DE OPERACIONES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</si>
  <si>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</si>
  <si>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</si>
  <si>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</si>
  <si>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</si>
  <si>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</si>
  <si>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</si>
  <si>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</si>
  <si>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</si>
  <si>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</si>
  <si>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</si>
  <si>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</si>
  <si>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</si>
  <si>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</si>
  <si>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</si>
  <si>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</si>
  <si>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</si>
  <si>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</si>
  <si>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</si>
  <si>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</si>
  <si>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</si>
  <si>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</si>
  <si>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</si>
  <si>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>ELVIS RAMÓN RICARDO DE JESÚS EUSEBIO ABREU</t>
  </si>
  <si>
    <t>MILOSSIS DEL MILAGRO LIRIANO RODRÍGUEZ</t>
  </si>
  <si>
    <t>ENCARGADA DIVISIÓN DE COMUNICACIÓN INSTITUCIONAL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</si>
  <si>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</si>
  <si>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</si>
  <si>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</si>
  <si>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</si>
  <si>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</si>
  <si>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</si>
  <si>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</si>
  <si>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 xml:space="preserve"> DEPARTAMENTO DE RECURSOS HUMANOS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</si>
  <si>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</si>
  <si>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</si>
  <si>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</si>
  <si>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</si>
  <si>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</si>
  <si>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</si>
  <si>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</si>
  <si>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</si>
  <si>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</si>
  <si>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</si>
  <si>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</si>
  <si>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MÉDICO 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</si>
  <si>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</si>
  <si>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</si>
  <si>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</si>
  <si>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</si>
  <si>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</si>
  <si>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</si>
  <si>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</si>
  <si>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</si>
  <si>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</si>
  <si>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</si>
  <si>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</si>
  <si>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</si>
  <si>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</si>
  <si>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</si>
  <si>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</si>
  <si>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</si>
  <si>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</si>
  <si>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</si>
  <si>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</si>
  <si>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</si>
  <si>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</si>
  <si>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</si>
  <si>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</si>
  <si>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</si>
  <si>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</si>
  <si>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</si>
  <si>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</si>
  <si>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</si>
  <si>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</si>
  <si>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</si>
  <si>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</si>
  <si>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</si>
  <si>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</si>
  <si>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</si>
  <si>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</si>
  <si>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</si>
  <si>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</si>
  <si>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</si>
  <si>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</si>
  <si>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</si>
  <si>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</si>
  <si>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</si>
  <si>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YONY AGUSTIN DEAZA </t>
  </si>
  <si>
    <t xml:space="preserve">GENARO PASCASIO CANELA </t>
  </si>
  <si>
    <t xml:space="preserve">LUBEANA MONTERO MORILLO </t>
  </si>
  <si>
    <t xml:space="preserve">VERONICA VALDEZ </t>
  </si>
  <si>
    <t xml:space="preserve">JOSE FRANCISCO PLACENCIA </t>
  </si>
  <si>
    <t xml:space="preserve">ANGELLI FRANCHESKA ECHAVARRIA ZABALA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</si>
  <si>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</si>
  <si>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</si>
  <si>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</si>
  <si>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</si>
  <si>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</si>
  <si>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</si>
  <si>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</si>
  <si>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</si>
  <si>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</si>
  <si>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</si>
  <si>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</si>
  <si>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>ALCY LOPEZ SEGURA</t>
  </si>
  <si>
    <t>SECCION DE DOCUMENTACION</t>
  </si>
  <si>
    <t>JENNIFER DEL PILAR OVALLE SANTANA</t>
  </si>
  <si>
    <t>FIJA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</si>
  <si>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</si>
  <si>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</si>
  <si>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</si>
  <si>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</si>
  <si>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</si>
  <si>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</si>
  <si>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</si>
  <si>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</si>
  <si>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</si>
  <si>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</si>
  <si>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</si>
  <si>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</si>
  <si>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</si>
  <si>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</si>
  <si>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</si>
  <si>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</si>
  <si>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</si>
  <si>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</si>
  <si>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</si>
  <si>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 xml:space="preserve">GLENNY CONCEPCION CRUZ  </t>
  </si>
  <si>
    <t xml:space="preserve">ENCARGADA DE DOCUMENTACIÓN </t>
  </si>
  <si>
    <t xml:space="preserve">TÉCNICO EN PRESUPUESTO Y TESORERIA </t>
  </si>
  <si>
    <t>DESARROLLADOR DE SISTEMA</t>
  </si>
  <si>
    <t>LEWIS KAROLINE ROSA VILLAR</t>
  </si>
  <si>
    <t>LUIS ANDRÉS HILARIO SALAS</t>
  </si>
  <si>
    <t>AUXILIAR DE DOCUMENTACIÓN</t>
  </si>
  <si>
    <t>LUDOVINO CEBALLOS JIMÉNEZ</t>
  </si>
  <si>
    <t>DIRECTOR DIRECCIÓN DE ESTUDIOS ECONOMICOS Y SEGUIMIENTO FINANCIERO</t>
  </si>
  <si>
    <t>ELISON BIENVENIDO ARIAS GARCIA</t>
  </si>
  <si>
    <t>ENCARGADO DIVISIÓN DE REGISTRO, CONTROL Y NÓMINA</t>
  </si>
  <si>
    <t>ANALISTA LEGAL</t>
  </si>
  <si>
    <t xml:space="preserve">ENCARGADA DIVISIÓN DE ORGANIZACIÓN DEL TRABAJO Y COMPENSACIÓN </t>
  </si>
  <si>
    <t>JUAN FRANCISCO DE LOS SANTOS DECENA</t>
  </si>
  <si>
    <t>ENCARGADO DIVISIÓN DE COMPRAS Y CONTRATACIONES</t>
  </si>
  <si>
    <t>ADRIANA LOPEZ CASTILLO</t>
  </si>
  <si>
    <t>JOSÉ ALEJANDRO GUTIÉRREZ LORENZO</t>
  </si>
  <si>
    <t>ANALISTA DE NORMAS Y METODOLOGÍAS PRESUPUESTARIAS</t>
  </si>
  <si>
    <t xml:space="preserve">RESPONSABLE DE OFICINA DE LIBRE ACCESO </t>
  </si>
  <si>
    <t xml:space="preserve">   </t>
  </si>
  <si>
    <t>ENCARGADO DE SECCIÓN DE ACTIVOS FIJOS Y CONTABILIDAD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</si>
  <si>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</si>
  <si>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</si>
  <si>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</si>
  <si>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</si>
  <si>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</si>
  <si>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</si>
  <si>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</si>
  <si>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</si>
  <si>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</si>
  <si>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</si>
  <si>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</si>
  <si>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</si>
  <si>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</si>
  <si>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 xml:space="preserve">CARGO DE CONFIANZA </t>
  </si>
  <si>
    <t xml:space="preserve">TÉCNICO  DE PLANIFICACIÓN </t>
  </si>
  <si>
    <t>CAROLINA MATEO TERRERO DE VIDAL</t>
  </si>
  <si>
    <t xml:space="preserve">SUPERVISOR (A) DE COMEDOR </t>
  </si>
  <si>
    <t xml:space="preserve">ANGELA AGRAMONTE GARCIA </t>
  </si>
  <si>
    <t xml:space="preserve">FELIX JOSE VICENTE COLON </t>
  </si>
  <si>
    <t xml:space="preserve">JAIRO MANUEL FELIZ LOPEZ </t>
  </si>
  <si>
    <t>FACUNDO GUZMAN</t>
  </si>
  <si>
    <t xml:space="preserve">SAMUEL ARIAS GOMEZ </t>
  </si>
  <si>
    <t xml:space="preserve">ARIEL BENJAMIN MARTINEZ ZABALA </t>
  </si>
  <si>
    <t>ALBERTO DIVINO ZAPATA GUEVARA</t>
  </si>
  <si>
    <t xml:space="preserve">ANA ELIZABETH RODRIGUEZ PEREZ </t>
  </si>
  <si>
    <t>ANALISTA DE ANALISIS DE ESTUDIOS ECONOMICOS I</t>
  </si>
  <si>
    <t xml:space="preserve">DELFI DOLORES DE SALAS ANTONIO </t>
  </si>
  <si>
    <t>DIVISION FINANCIERA</t>
  </si>
  <si>
    <t xml:space="preserve">ANALISTA FINANCIERO </t>
  </si>
  <si>
    <t>ENCARGADA DIVISIÓN DESARROLLO INSTITUCIONAL</t>
  </si>
  <si>
    <t xml:space="preserve">DELMIS MARTES HICHEZ </t>
  </si>
  <si>
    <t xml:space="preserve">ESPECIALISTA DE PROYECTOS ESPECIALES </t>
  </si>
  <si>
    <t xml:space="preserve">DIVISIÓN DE CALIDAD EN LA GESTION </t>
  </si>
  <si>
    <t xml:space="preserve"> TÉCNICO ADMINISTRATIVO</t>
  </si>
  <si>
    <t xml:space="preserve">ANALISTA  DE PLANIFICACION E IGUALDA DE GENERO </t>
  </si>
  <si>
    <t>ENCARGADA DIVISIÓN DE REGISTRO, CONTROL Y NÓMINA</t>
  </si>
  <si>
    <t>WINDRYS SÁNCHEZ DE RUIZ</t>
  </si>
  <si>
    <t>RAMFIS MICHAEL MORENO GONZÁLEZ</t>
  </si>
  <si>
    <t>MARÍA ESTEFANY CORONA CRUZ</t>
  </si>
  <si>
    <t>TÉCNICO DE CONTABILIDAD</t>
  </si>
  <si>
    <t xml:space="preserve">DIVISIÓN ADMINISTRATIVA </t>
  </si>
  <si>
    <t>ANTONIO RAFAEL HERNÁNDEZ CAPELLÁN</t>
  </si>
  <si>
    <t>ENCARGADO DIVISIÓN ADMINISTRATIVA</t>
  </si>
  <si>
    <t xml:space="preserve">ENCARGADA DIVISIÓN DE LA CALIDAD EN LA GESTIÓN  </t>
  </si>
  <si>
    <t xml:space="preserve">DIVISIÓN DE LA CALIDAD EN LA GESTIÓN  </t>
  </si>
  <si>
    <t>ANALISTA DE GESTIÓN FINANCIERA DE FORMULACIÓN Y EJECUCIÓN I</t>
  </si>
  <si>
    <t>ANALISTA DE NÓMINA</t>
  </si>
  <si>
    <t>ABRAHAM DE LEÓN MONTERO</t>
  </si>
  <si>
    <t>JULIZA GIL CASTILLO</t>
  </si>
  <si>
    <t>01 DE JUNIO DEL 2025</t>
  </si>
  <si>
    <t>ENCARGADA DIVISIÓN DE MINISTERIOS DE LA MUJER, JUVENTUD, CULTURA, DEPORTES Y RECREACIÓN.</t>
  </si>
  <si>
    <t>INGRID LUNA GALVAN</t>
  </si>
  <si>
    <t>CARLOS MANUEL BEREGUETE CABRERA</t>
  </si>
  <si>
    <t xml:space="preserve">ALEXANDER SALDAÑA LUCIANO </t>
  </si>
  <si>
    <t>BASILIO MARTINEZ</t>
  </si>
  <si>
    <t>03 DE JULIO DEL 2025</t>
  </si>
  <si>
    <t>01 DE JULIO DEL 2025</t>
  </si>
  <si>
    <t>ANALISTA DE DESARROLLO INSTITUCIONAL I</t>
  </si>
  <si>
    <t xml:space="preserve">THANIA LILIBET HERRERA MATEO </t>
  </si>
  <si>
    <t>01 DE AGOSTO DEL 2025</t>
  </si>
  <si>
    <t>ANDRÉS CABRAL ROSA</t>
  </si>
  <si>
    <t>TÉCNICO REGISTRO Y CONTROL</t>
  </si>
  <si>
    <t>JUAN ANDRES ESCOLFULLER CASTILLO</t>
  </si>
  <si>
    <t>SECCION DE MANTENIMIENTO</t>
  </si>
  <si>
    <t>EDDY RICARDO INOA MENDOZA</t>
  </si>
  <si>
    <t>ENCARGADO SECCION DE MANTENIMIENTO</t>
  </si>
  <si>
    <t>01 DE SEPTIEMBRE DEL 2025</t>
  </si>
  <si>
    <t>DIVISIÓN DE MINISTERIOS DE LA MUJER, JUVENTUD, CULTURA, DEPORTES Y RECREACIÓN.</t>
  </si>
  <si>
    <t>ENCARGADA DE DIVISIÓN DE MINISTERIOS DE LA MUJER, JUVENTUD, CULTURA, DEPORTES Y RECREACIÓN</t>
  </si>
  <si>
    <t xml:space="preserve">COORDINADORA SECTORIAL DE PRESUPUESTO </t>
  </si>
  <si>
    <t>ROSA MARIA COLAS JIMENEZ</t>
  </si>
  <si>
    <t>NURIA MADELINE VELOZ REYES</t>
  </si>
  <si>
    <t>KELVINSON DE LA CEUZ SANTANA</t>
  </si>
  <si>
    <t>ENCARGADA  SECCIÓN DE PRESUPUESTO Y TESORERÍA</t>
  </si>
  <si>
    <t>JUAN ALFONSO PAULINO RODRIGUEZ</t>
  </si>
  <si>
    <t>01 DE OCTUBRE DEL 2025</t>
  </si>
  <si>
    <t xml:space="preserve">ANA MARIA BIERD DE JESUS </t>
  </si>
  <si>
    <t>ENCARGADA DE DIVISION DE MINISTERIO DE OBRAS PUBLICAS Y VIVIENDA</t>
  </si>
  <si>
    <t>BELKIS ADALGISA MAÑON HIDALGO</t>
  </si>
  <si>
    <t>DIVISION DE SERVICIOS A LAS EMPRESAS PÚBLICAS NO FINANCIERAS</t>
  </si>
  <si>
    <t>ENC. DIVISION DE SERVICIOS A LAS EMPRESAS PÚBLICAS NO FINANCIERAS</t>
  </si>
  <si>
    <t>ANALISTA SECTORIAL DE PRESUPUESTO I</t>
  </si>
  <si>
    <t xml:space="preserve">ENCARGADA DEPARTAMENTO DE PLANIFICACION Y DESARROLLO </t>
  </si>
  <si>
    <t>ANGEL YUNIOR ROMERO PEÑA</t>
  </si>
  <si>
    <t>ANDREINA YAMILKA CABRAL LLUBERES</t>
  </si>
  <si>
    <t>MIGUEL ANTONIO ANDUJAR GUZMÁN</t>
  </si>
  <si>
    <t>MERCEDES FRANCISCA ROSARIO BRAZOBÁN</t>
  </si>
  <si>
    <t>01 DE NOVIEMBRE DEL 2025</t>
  </si>
  <si>
    <t xml:space="preserve">ANALISTA SECTORIAL DE PRESUPUESTO I </t>
  </si>
  <si>
    <t>DAURIS OSCAR FAMILIA HERNÁNDEZ</t>
  </si>
  <si>
    <t>ENCARGADA DIVISIÓN DE REGISTRO, CONTROL Y  NÓMINA</t>
  </si>
  <si>
    <t>DIVISIÓN DE  DE PODER JUDICIAL, CÁMARA DE DIPUTADOS Y SENADO DE LA REPÚBLICA</t>
  </si>
  <si>
    <t>ANDRÉS AUGUSTO GARCÍA VALIENTE</t>
  </si>
  <si>
    <t>01 DE DICIEMBRE DEL 2025</t>
  </si>
  <si>
    <t xml:space="preserve">01 DE JUNIO DEL 2025 </t>
  </si>
  <si>
    <t>f</t>
  </si>
  <si>
    <t>ELVIRANYI RAQUEL MARTINEZ</t>
  </si>
  <si>
    <t xml:space="preserve">JULIAN JOSE ACOSTA ACOSTA </t>
  </si>
  <si>
    <t>ALEXANDER HILARIO OSORIO</t>
  </si>
  <si>
    <t>01 DE ENERO DE 2026</t>
  </si>
  <si>
    <t>EDWIN REYNOSO PEREZ</t>
  </si>
  <si>
    <t xml:space="preserve">26 DE JULIO DEL 2025 </t>
  </si>
  <si>
    <t>26 DE ENERO DE 2026</t>
  </si>
  <si>
    <t>ENCARGADO DEPT- TECNOLOGÍA DE LA INFORMACIÓN Y COMUNICACIÓN</t>
  </si>
  <si>
    <t>ENCARGADO DIV. ADMINISTRACIÓN DE SERVICIOS TIC</t>
  </si>
  <si>
    <t xml:space="preserve">TÉCNICO ADMINISTRATIVO </t>
  </si>
  <si>
    <t>EMILY ROSEILY MONTERO OGANDO</t>
  </si>
  <si>
    <t>MAURICIO RAFAEL CHIA VERDEJA</t>
  </si>
  <si>
    <t xml:space="preserve">MAURIN FRANCHESCA CORTORREAL DEL PILAR </t>
  </si>
  <si>
    <t>BRYAN ALBERTO FERNANDEZ</t>
  </si>
  <si>
    <t>MIGUEL NUÑEZ ACEVEDO</t>
  </si>
  <si>
    <t>YANNA ENEROLISA PEREZ ALCANTARA</t>
  </si>
  <si>
    <t>TANIA MELISSA QUELIZ SANCHEZ</t>
  </si>
  <si>
    <t>01 DE FEBRERO DEL 2026</t>
  </si>
  <si>
    <t>ROSABEL ITAMAR MADURO JIMENEZ</t>
  </si>
  <si>
    <t>SFS Dependientes</t>
  </si>
  <si>
    <t>ENCARGADA DE LA DIVISION FINANCIERA</t>
  </si>
  <si>
    <t xml:space="preserve">ESMERALDA CARMONA AGUSTIN </t>
  </si>
  <si>
    <t xml:space="preserve">KIARA REGINA ESTRELLA TORIBIO </t>
  </si>
  <si>
    <t xml:space="preserve">MARIA ROSA NICASIO </t>
  </si>
  <si>
    <t xml:space="preserve">AMBAR QUISQUEYA PEÑA OGANDO </t>
  </si>
  <si>
    <t xml:space="preserve">HANSHER MANUEL RUA PEREZ </t>
  </si>
  <si>
    <t xml:space="preserve">JUAN DANIEL ALCANTARA OVIEDO </t>
  </si>
  <si>
    <t>01 DE ABRIL DE 2026</t>
  </si>
  <si>
    <t>01 DE SEPTIEMBRE DE 2025</t>
  </si>
  <si>
    <t>01 DE MARZO DE 2026</t>
  </si>
  <si>
    <t>LIANNY ROJAS DE AZA</t>
  </si>
  <si>
    <t>TECNICO ADMINISTRATIVO</t>
  </si>
  <si>
    <t xml:space="preserve">ASISTENTE I </t>
  </si>
  <si>
    <t xml:space="preserve"> ANALISTA DE PLANIFICACIÓN I</t>
  </si>
  <si>
    <t>COORDINADOR MESA DE AYUDA</t>
  </si>
  <si>
    <t xml:space="preserve">DEPARTAMENTO DE GOBIERNO LOCALES </t>
  </si>
  <si>
    <t>01 DE MARZO  DEL 2025</t>
  </si>
  <si>
    <t xml:space="preserve">SOPORTE TÉCNICO DE PRUEBAS Y DOCUMENTACIÓN </t>
  </si>
  <si>
    <t>DIANA VIVIANA FLORIAN VESQUEZ</t>
  </si>
  <si>
    <t>JOSMAIRY ESTEFANIA MONTOLIO PEREZ</t>
  </si>
  <si>
    <t>JOALDO ERNESTO LOPEZ ESPINOSA</t>
  </si>
  <si>
    <t>01 DE MAYO DE 2026</t>
  </si>
  <si>
    <t xml:space="preserve">TECNICO ADMINISTRATIVO </t>
  </si>
  <si>
    <t>1 DE NOVIEMBRE DEL 2025</t>
  </si>
  <si>
    <t>01 DE MARZO  DEL 2026</t>
  </si>
  <si>
    <t>Correspondiente al mes de enero del año 2026</t>
  </si>
  <si>
    <t>02 DE JULIO DEL 2026</t>
  </si>
  <si>
    <t>01 DE JULIO DEL 2026</t>
  </si>
  <si>
    <t>02 DE ENERO DE 2026</t>
  </si>
  <si>
    <t>IDALIA MERCEDES ESCOTO</t>
  </si>
  <si>
    <t>ENCARGADA DIVISION DE BIENESTAR LABORAL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</si>
</sst>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2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90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4" fillId="2" borderId="0" xfId="0" applyFont="1" applyFill="1" applyAlignment="1">
      <alignment horizontal="center"/>
    </xf>
    <xf numFmtId="43" fontId="4" fillId="2" borderId="0" xfId="0" applyNumberFormat="1" applyFont="1" applyFill="1"/>
    <xf numFmtId="164" fontId="4" fillId="2" borderId="0" xfId="0" applyNumberFormat="1" applyFont="1" applyFill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7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43" fontId="17" fillId="3" borderId="6" xfId="0" applyNumberFormat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16" fillId="0" borderId="2" xfId="0" applyFont="1" applyBorder="1" applyAlignment="1">
      <alignment horizontal="center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16" fillId="0" borderId="1" xfId="0" applyFont="1" applyBorder="1" applyAlignment="1">
      <alignment horizontal="left" wrapText="1"/>
    </xf>
    <xf numFmtId="43" fontId="13" fillId="2" borderId="1" xfId="1" applyFont="1" applyFill="1" applyBorder="1"/>
    <xf numFmtId="0" fontId="15" fillId="3" borderId="14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3" xfId="0" applyFont="1" applyFill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center" vertical="center"/>
    </xf>
    <xf numFmtId="43" fontId="16" fillId="0" borderId="2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7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3" fontId="4" fillId="2" borderId="1" xfId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3" fontId="7" fillId="2" borderId="0" xfId="1" applyFont="1" applyFill="1" applyBorder="1" applyAlignment="1">
      <alignment vertical="center"/>
    </xf>
    <xf numFmtId="43" fontId="4" fillId="0" borderId="0" xfId="1" applyFont="1" applyFill="1" applyBorder="1" applyAlignment="1">
      <alignment vertical="center"/>
    </xf>
    <xf numFmtId="43" fontId="4" fillId="2" borderId="2" xfId="1" applyFont="1" applyFill="1" applyBorder="1" applyAlignment="1">
      <alignment vertical="center"/>
    </xf>
    <xf numFmtId="43" fontId="4" fillId="2" borderId="1" xfId="0" applyNumberFormat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4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43" fontId="7" fillId="2" borderId="0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3" fontId="6" fillId="2" borderId="0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43" fontId="16" fillId="2" borderId="0" xfId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43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164" fontId="4" fillId="2" borderId="2" xfId="0" applyNumberFormat="1" applyFont="1" applyFill="1" applyBorder="1" applyAlignment="1">
      <alignment vertical="center"/>
    </xf>
    <xf numFmtId="43" fontId="4" fillId="2" borderId="2" xfId="0" applyNumberFormat="1" applyFont="1" applyFill="1" applyBorder="1" applyAlignment="1">
      <alignment vertical="center"/>
    </xf>
    <xf numFmtId="43" fontId="4" fillId="2" borderId="1" xfId="1" applyFont="1" applyFill="1" applyBorder="1" applyAlignment="1">
      <alignment horizontal="left" vertical="center"/>
    </xf>
    <xf numFmtId="164" fontId="4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43" fontId="4" fillId="2" borderId="10" xfId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Fill="1" applyBorder="1" applyAlignment="1">
      <alignment vertical="center"/>
    </xf>
    <xf numFmtId="43" fontId="4" fillId="0" borderId="27" xfId="1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/>
    </xf>
    <xf numFmtId="43" fontId="4" fillId="0" borderId="1" xfId="1" applyFont="1" applyFill="1" applyBorder="1" applyAlignment="1">
      <alignment horizontal="left" vertical="center"/>
    </xf>
    <xf numFmtId="43" fontId="4" fillId="0" borderId="2" xfId="1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center"/>
    </xf>
    <xf numFmtId="0" fontId="7" fillId="2" borderId="19" xfId="0" applyFont="1" applyFill="1" applyBorder="1" applyAlignment="1">
      <alignment vertical="center"/>
    </xf>
    <xf numFmtId="43" fontId="4" fillId="2" borderId="0" xfId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18" xfId="0" applyFont="1" applyFill="1" applyBorder="1" applyAlignment="1">
      <alignment vertical="center" wrapText="1"/>
    </xf>
    <xf numFmtId="0" fontId="7" fillId="2" borderId="0" xfId="0" applyFont="1" applyFill="1" applyAlignment="1">
      <alignment vertical="center" wrapText="1"/>
    </xf>
    <xf numFmtId="43" fontId="4" fillId="0" borderId="0" xfId="1" applyFont="1" applyFill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7" fillId="2" borderId="11" xfId="0" applyFont="1" applyFill="1" applyBorder="1" applyAlignment="1">
      <alignment vertical="center" wrapText="1"/>
    </xf>
    <xf numFmtId="0" fontId="7" fillId="2" borderId="10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vertical="center"/>
    </xf>
    <xf numFmtId="164" fontId="4" fillId="0" borderId="2" xfId="0" applyNumberFormat="1" applyFont="1" applyBorder="1" applyAlignment="1">
      <alignment vertical="center"/>
    </xf>
    <xf numFmtId="43" fontId="10" fillId="0" borderId="1" xfId="1" applyFont="1" applyFill="1" applyBorder="1" applyAlignment="1">
      <alignment horizontal="center" vertical="center"/>
    </xf>
    <xf numFmtId="165" fontId="9" fillId="2" borderId="0" xfId="0" applyNumberFormat="1" applyFont="1" applyFill="1" applyAlignment="1">
      <alignment horizontal="left" vertical="center" wrapText="1"/>
    </xf>
    <xf numFmtId="43" fontId="7" fillId="0" borderId="17" xfId="1" applyFont="1" applyFill="1" applyBorder="1" applyAlignment="1">
      <alignment vertical="center"/>
    </xf>
    <xf numFmtId="0" fontId="7" fillId="2" borderId="9" xfId="0" applyFont="1" applyFill="1" applyBorder="1" applyAlignment="1">
      <alignment vertical="center" wrapText="1"/>
    </xf>
    <xf numFmtId="43" fontId="7" fillId="2" borderId="17" xfId="1" applyFont="1" applyFill="1" applyBorder="1" applyAlignment="1">
      <alignment vertical="center"/>
    </xf>
    <xf numFmtId="0" fontId="7" fillId="2" borderId="20" xfId="0" applyFont="1" applyFill="1" applyBorder="1" applyAlignment="1">
      <alignment horizontal="center" vertical="center" wrapText="1"/>
    </xf>
    <xf numFmtId="43" fontId="7" fillId="2" borderId="3" xfId="1" applyFont="1" applyFill="1" applyBorder="1" applyAlignment="1">
      <alignment vertical="center"/>
    </xf>
    <xf numFmtId="43" fontId="7" fillId="2" borderId="4" xfId="1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3" fontId="7" fillId="3" borderId="6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3" fontId="4" fillId="2" borderId="0" xfId="0" applyNumberFormat="1" applyFont="1" applyFill="1" applyAlignment="1">
      <alignment vertical="center"/>
    </xf>
    <xf numFmtId="43" fontId="4" fillId="0" borderId="0" xfId="0" applyNumberFormat="1" applyFont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43" fontId="11" fillId="2" borderId="0" xfId="1" applyFont="1" applyFill="1" applyBorder="1" applyAlignment="1">
      <alignment vertical="center"/>
    </xf>
    <xf numFmtId="0" fontId="17" fillId="2" borderId="4" xfId="0" applyFont="1" applyFill="1" applyBorder="1" applyAlignment="1">
      <alignment vertical="center"/>
    </xf>
    <xf numFmtId="0" fontId="17" fillId="2" borderId="3" xfId="0" applyFont="1" applyFill="1" applyBorder="1" applyAlignment="1">
      <alignment vertical="center"/>
    </xf>
    <xf numFmtId="0" fontId="17" fillId="2" borderId="17" xfId="0" applyFont="1" applyFill="1" applyBorder="1" applyAlignment="1">
      <alignment vertical="center"/>
    </xf>
    <xf numFmtId="0" fontId="17" fillId="2" borderId="5" xfId="0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/>
    </xf>
    <xf numFmtId="43" fontId="16" fillId="2" borderId="2" xfId="1" applyFont="1" applyFill="1" applyBorder="1" applyAlignment="1">
      <alignment vertical="center"/>
    </xf>
    <xf numFmtId="43" fontId="16" fillId="2" borderId="1" xfId="1" applyFont="1" applyFill="1" applyBorder="1" applyAlignment="1">
      <alignment vertical="center"/>
    </xf>
    <xf numFmtId="43" fontId="16" fillId="2" borderId="2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43" fontId="16" fillId="0" borderId="0" xfId="1" applyFont="1" applyFill="1" applyBorder="1" applyAlignment="1">
      <alignment vertical="center"/>
    </xf>
    <xf numFmtId="0" fontId="16" fillId="2" borderId="2" xfId="0" applyFont="1" applyFill="1" applyBorder="1" applyAlignment="1">
      <alignment horizontal="left" vertical="center" wrapText="1"/>
    </xf>
    <xf numFmtId="43" fontId="16" fillId="2" borderId="1" xfId="0" applyNumberFormat="1" applyFont="1" applyFill="1" applyBorder="1" applyAlignment="1">
      <alignment vertical="center"/>
    </xf>
    <xf numFmtId="165" fontId="13" fillId="2" borderId="2" xfId="0" applyNumberFormat="1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vertical="center"/>
    </xf>
    <xf numFmtId="0" fontId="17" fillId="2" borderId="11" xfId="0" applyFont="1" applyFill="1" applyBorder="1" applyAlignment="1">
      <alignment vertical="center"/>
    </xf>
    <xf numFmtId="43" fontId="17" fillId="4" borderId="1" xfId="1" applyFont="1" applyFill="1" applyBorder="1" applyAlignment="1">
      <alignment vertical="center"/>
    </xf>
    <xf numFmtId="43" fontId="17" fillId="2" borderId="0" xfId="1" applyFont="1" applyFill="1" applyBorder="1" applyAlignment="1">
      <alignment vertical="center"/>
    </xf>
    <xf numFmtId="43" fontId="16" fillId="2" borderId="0" xfId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vertical="center" wrapText="1"/>
    </xf>
    <xf numFmtId="0" fontId="15" fillId="2" borderId="4" xfId="0" applyFont="1" applyFill="1" applyBorder="1" applyAlignment="1">
      <alignment vertical="center"/>
    </xf>
    <xf numFmtId="0" fontId="15" fillId="2" borderId="3" xfId="0" applyFont="1" applyFill="1" applyBorder="1" applyAlignment="1">
      <alignment vertical="center"/>
    </xf>
    <xf numFmtId="0" fontId="15" fillId="2" borderId="5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165" fontId="13" fillId="2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7" fillId="2" borderId="10" xfId="0" applyFont="1" applyFill="1" applyBorder="1" applyAlignment="1">
      <alignment vertical="center"/>
    </xf>
    <xf numFmtId="43" fontId="16" fillId="2" borderId="0" xfId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165" fontId="13" fillId="0" borderId="2" xfId="0" applyNumberFormat="1" applyFont="1" applyBorder="1" applyAlignment="1">
      <alignment horizontal="left"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165" fontId="13" fillId="0" borderId="1" xfId="0" applyNumberFormat="1" applyFont="1" applyBorder="1" applyAlignment="1">
      <alignment horizontal="left" vertical="center" wrapText="1"/>
    </xf>
    <xf numFmtId="0" fontId="15" fillId="2" borderId="5" xfId="0" applyFont="1" applyFill="1" applyBorder="1" applyAlignment="1">
      <alignment vertical="center" wrapText="1"/>
    </xf>
    <xf numFmtId="43" fontId="16" fillId="0" borderId="0" xfId="1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43" fontId="18" fillId="2" borderId="1" xfId="1" applyFont="1" applyFill="1" applyBorder="1" applyAlignment="1">
      <alignment horizontal="center" vertical="center"/>
    </xf>
    <xf numFmtId="165" fontId="13" fillId="0" borderId="1" xfId="0" applyNumberFormat="1" applyFont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9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43" fontId="15" fillId="2" borderId="0" xfId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left" vertical="center"/>
    </xf>
    <xf numFmtId="43" fontId="16" fillId="2" borderId="13" xfId="1" applyFont="1" applyFill="1" applyBorder="1" applyAlignment="1">
      <alignment vertical="center"/>
    </xf>
    <xf numFmtId="43" fontId="16" fillId="0" borderId="13" xfId="1" applyFont="1" applyFill="1" applyBorder="1" applyAlignment="1">
      <alignment vertical="center"/>
    </xf>
    <xf numFmtId="43" fontId="16" fillId="0" borderId="0" xfId="0" applyNumberFormat="1" applyFont="1" applyAlignment="1">
      <alignment vertical="center"/>
    </xf>
    <xf numFmtId="0" fontId="15" fillId="2" borderId="15" xfId="0" applyFont="1" applyFill="1" applyBorder="1" applyAlignment="1">
      <alignment vertical="center"/>
    </xf>
    <xf numFmtId="0" fontId="15" fillId="2" borderId="16" xfId="0" applyFont="1" applyFill="1" applyBorder="1" applyAlignment="1">
      <alignment vertical="center"/>
    </xf>
    <xf numFmtId="43" fontId="17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165" fontId="12" fillId="2" borderId="0" xfId="0" applyNumberFormat="1" applyFont="1" applyFill="1" applyAlignment="1">
      <alignment horizontal="left" vertical="center" wrapText="1"/>
    </xf>
    <xf numFmtId="0" fontId="16" fillId="0" borderId="18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1" xfId="0" applyFont="1" applyBorder="1" applyAlignment="1">
      <alignment horizontal="left" vertical="center"/>
    </xf>
    <xf numFmtId="43" fontId="16" fillId="2" borderId="1" xfId="1" applyFont="1" applyFill="1" applyBorder="1" applyAlignment="1">
      <alignment horizontal="center" vertical="center"/>
    </xf>
    <xf numFmtId="43" fontId="17" fillId="0" borderId="0" xfId="1" applyFont="1" applyFill="1" applyBorder="1" applyAlignment="1">
      <alignment horizontal="left" vertical="center"/>
    </xf>
    <xf numFmtId="43" fontId="16" fillId="0" borderId="0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43" fontId="17" fillId="3" borderId="6" xfId="0" applyNumberFormat="1" applyFont="1" applyFill="1" applyBorder="1" applyAlignment="1">
      <alignment vertical="center"/>
    </xf>
    <xf numFmtId="43" fontId="16" fillId="2" borderId="0" xfId="0" applyNumberFormat="1" applyFont="1" applyFill="1" applyAlignment="1">
      <alignment vertical="center"/>
    </xf>
    <xf numFmtId="0" fontId="16" fillId="0" borderId="11" xfId="0" applyFont="1" applyBorder="1" applyAlignment="1">
      <alignment horizontal="left" vertical="center" wrapText="1"/>
    </xf>
    <xf numFmtId="43" fontId="4" fillId="0" borderId="2" xfId="1" applyFont="1" applyFill="1" applyBorder="1" applyAlignment="1">
      <alignment vertical="center" wrapText="1"/>
    </xf>
    <xf numFmtId="0" fontId="7" fillId="0" borderId="4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3" fontId="16" fillId="0" borderId="2" xfId="1" applyFont="1" applyFill="1" applyBorder="1" applyAlignment="1">
      <alignment wrapText="1"/>
    </xf>
    <xf numFmtId="4" fontId="16" fillId="2" borderId="0" xfId="0" applyNumberFormat="1" applyFont="1" applyFill="1" applyAlignment="1">
      <alignment vertical="center"/>
    </xf>
    <xf numFmtId="0" fontId="17" fillId="0" borderId="3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4" fillId="2" borderId="10" xfId="0" applyFont="1" applyFill="1" applyBorder="1" applyAlignment="1">
      <alignment horizontal="left" vertical="center" wrapText="1"/>
    </xf>
    <xf numFmtId="43" fontId="4" fillId="2" borderId="29" xfId="1" applyFont="1" applyFill="1" applyBorder="1" applyAlignment="1">
      <alignment horizontal="center" vertical="center"/>
    </xf>
    <xf numFmtId="43" fontId="4" fillId="2" borderId="28" xfId="1" applyFont="1" applyFill="1" applyBorder="1" applyAlignment="1">
      <alignment horizontal="center" vertical="center"/>
    </xf>
    <xf numFmtId="0" fontId="8" fillId="3" borderId="34" xfId="0" applyFont="1" applyFill="1" applyBorder="1" applyAlignment="1">
      <alignment horizontal="center" vertical="center" wrapText="1"/>
    </xf>
    <xf numFmtId="43" fontId="0" fillId="0" borderId="0" xfId="0" applyNumberFormat="1"/>
    <xf numFmtId="43" fontId="0" fillId="0" borderId="0" xfId="31" applyFont="1"/>
    <xf numFmtId="0" fontId="4" fillId="2" borderId="33" xfId="0" applyFont="1" applyFill="1" applyBorder="1" applyAlignment="1">
      <alignment horizontal="center" vertical="center"/>
    </xf>
    <xf numFmtId="43" fontId="6" fillId="3" borderId="6" xfId="0" applyNumberFormat="1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6" fillId="2" borderId="18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left" vertical="center" wrapText="1"/>
    </xf>
    <xf numFmtId="43" fontId="4" fillId="2" borderId="30" xfId="1" applyFont="1" applyFill="1" applyBorder="1" applyAlignment="1">
      <alignment horizontal="center" vertical="center"/>
    </xf>
    <xf numFmtId="43" fontId="4" fillId="2" borderId="31" xfId="1" applyFont="1" applyFill="1" applyBorder="1" applyAlignment="1">
      <alignment horizontal="center" vertical="center"/>
    </xf>
    <xf numFmtId="43" fontId="4" fillId="2" borderId="10" xfId="1" applyFont="1" applyFill="1" applyBorder="1" applyAlignment="1">
      <alignment horizontal="center" vertical="center"/>
    </xf>
    <xf numFmtId="165" fontId="9" fillId="2" borderId="2" xfId="0" applyNumberFormat="1" applyFont="1" applyFill="1" applyBorder="1" applyAlignment="1">
      <alignment horizontal="left" vertical="center" wrapText="1"/>
    </xf>
    <xf numFmtId="43" fontId="4" fillId="2" borderId="2" xfId="0" applyNumberFormat="1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left" vertical="center" wrapText="1"/>
    </xf>
    <xf numFmtId="43" fontId="16" fillId="2" borderId="0" xfId="1" applyFont="1" applyFill="1" applyBorder="1" applyAlignment="1">
      <alignment horizontal="left" wrapText="1"/>
    </xf>
    <xf numFmtId="0" fontId="8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19" xfId="0" applyFont="1" applyFill="1" applyBorder="1" applyAlignment="1">
      <alignment vertical="center" wrapText="1"/>
    </xf>
    <xf numFmtId="43" fontId="4" fillId="2" borderId="0" xfId="1" applyFont="1" applyFill="1" applyBorder="1" applyAlignment="1">
      <alignment vertical="center" wrapText="1"/>
    </xf>
    <xf numFmtId="43" fontId="4" fillId="2" borderId="1" xfId="1" applyFont="1" applyFill="1" applyBorder="1" applyAlignment="1">
      <alignment horizontal="left" vertical="center" wrapText="1"/>
    </xf>
    <xf numFmtId="43" fontId="4" fillId="2" borderId="2" xfId="1" applyFont="1" applyFill="1" applyBorder="1" applyAlignment="1">
      <alignment horizontal="left" vertical="center" wrapText="1"/>
    </xf>
    <xf numFmtId="43" fontId="4" fillId="2" borderId="0" xfId="31" applyFont="1" applyFill="1" applyAlignment="1">
      <alignment vertical="center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43" fontId="16" fillId="5" borderId="0" xfId="1" applyFont="1" applyFill="1" applyBorder="1" applyAlignment="1">
      <alignment vertical="center"/>
    </xf>
    <xf numFmtId="43" fontId="17" fillId="5" borderId="0" xfId="1" applyFont="1" applyFill="1" applyBorder="1" applyAlignment="1">
      <alignment vertical="center"/>
    </xf>
    <xf numFmtId="0" fontId="14" fillId="5" borderId="0" xfId="0" applyFont="1" applyFill="1" applyAlignment="1">
      <alignment vertical="center"/>
    </xf>
    <xf numFmtId="43" fontId="16" fillId="5" borderId="0" xfId="1" applyFont="1" applyFill="1" applyBorder="1" applyAlignment="1">
      <alignment horizontal="left" vertical="center"/>
    </xf>
    <xf numFmtId="0" fontId="0" fillId="5" borderId="0" xfId="0" applyFill="1" applyAlignment="1">
      <alignment vertical="center"/>
    </xf>
    <xf numFmtId="0" fontId="17" fillId="0" borderId="32" xfId="0" applyFont="1" applyBorder="1" applyAlignment="1">
      <alignment horizontal="center" vertical="center" wrapText="1"/>
    </xf>
    <xf numFmtId="43" fontId="16" fillId="2" borderId="0" xfId="31" applyFont="1" applyFill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43" fontId="4" fillId="5" borderId="0" xfId="1" applyFont="1" applyFill="1" applyBorder="1" applyAlignment="1">
      <alignment vertical="center"/>
    </xf>
    <xf numFmtId="43" fontId="7" fillId="5" borderId="0" xfId="1" applyFont="1" applyFill="1" applyBorder="1" applyAlignment="1">
      <alignment vertical="center"/>
    </xf>
    <xf numFmtId="43" fontId="4" fillId="5" borderId="0" xfId="1" applyFont="1" applyFill="1" applyBorder="1" applyAlignment="1">
      <alignment horizontal="left" vertical="center"/>
    </xf>
    <xf numFmtId="0" fontId="4" fillId="5" borderId="0" xfId="0" applyFont="1" applyFill="1" applyAlignment="1">
      <alignment vertical="center"/>
    </xf>
    <xf numFmtId="0" fontId="17" fillId="0" borderId="17" xfId="0" applyFont="1" applyBorder="1" applyAlignment="1">
      <alignment horizontal="center" vertical="center" wrapText="1"/>
    </xf>
    <xf numFmtId="43" fontId="6" fillId="3" borderId="0" xfId="0" applyNumberFormat="1" applyFont="1" applyFill="1" applyAlignment="1">
      <alignment horizontal="center" vertical="center"/>
    </xf>
    <xf numFmtId="0" fontId="12" fillId="0" borderId="19" xfId="0" applyFont="1" applyBorder="1" applyAlignment="1">
      <alignment horizontal="center" wrapText="1"/>
    </xf>
    <xf numFmtId="0" fontId="12" fillId="0" borderId="0" xfId="0" applyFont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2" fillId="0" borderId="17" xfId="0" applyFont="1" applyBorder="1" applyAlignment="1">
      <alignment horizontal="center"/>
    </xf>
    <xf numFmtId="0" fontId="12" fillId="0" borderId="17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 wrapText="1"/>
    </xf>
    <xf numFmtId="0" fontId="15" fillId="2" borderId="4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15" fillId="3" borderId="15" xfId="0" applyFont="1" applyFill="1" applyBorder="1" applyAlignment="1">
      <alignment horizontal="center" vertical="center"/>
    </xf>
    <xf numFmtId="0" fontId="15" fillId="3" borderId="16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7" fillId="2" borderId="9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</cellXfs>
  <cellStyles count="32">
    <cellStyle name="Millares" xfId="31" builtinId="3"/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727058</xdr:colOff>
      <xdr:row>0</xdr:row>
      <xdr:rowOff>0</xdr:rowOff>
    </xdr:from>
    <xdr:to>
      <xdr:col>1</xdr:col>
      <xdr:colOff>2419894</xdr:colOff>
      <xdr:row>3</xdr:row>
      <xdr:rowOff>115055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9701" y="0"/>
          <a:ext cx="1681406" cy="1067555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351</xdr:row>
      <xdr:rowOff>139472</xdr:rowOff>
    </xdr:from>
    <xdr:to>
      <xdr:col>3</xdr:col>
      <xdr:colOff>1998983</xdr:colOff>
      <xdr:row>354</xdr:row>
      <xdr:rowOff>244204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1F6AB6-596F-5D7F-5F66-78F413CF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12115" y="167779472"/>
          <a:ext cx="1408298" cy="1381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714899</xdr:colOff>
      <xdr:row>0</xdr:row>
      <xdr:rowOff>362160</xdr:rowOff>
    </xdr:from>
    <xdr:to>
      <xdr:col>2</xdr:col>
      <xdr:colOff>60880</xdr:colOff>
      <xdr:row>3</xdr:row>
      <xdr:rowOff>173316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0328" y="362160"/>
          <a:ext cx="1937053" cy="1022192"/>
        </a:xfrm>
        <a:prstGeom prst="rect">
          <a:avLst/>
        </a:prstGeom>
      </xdr:spPr>
    </xdr:pic>
    <xdr:clientData/>
  </xdr:twoCellAnchor>
  <xdr:twoCellAnchor editAs="oneCell">
    <xdr:from>
      <xdr:col>3</xdr:col>
      <xdr:colOff>1056822</xdr:colOff>
      <xdr:row>270</xdr:row>
      <xdr:rowOff>181428</xdr:rowOff>
    </xdr:from>
    <xdr:to>
      <xdr:col>3</xdr:col>
      <xdr:colOff>2456558</xdr:colOff>
      <xdr:row>273</xdr:row>
      <xdr:rowOff>79332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11D36D-35C8-0EE0-0C10-FDD7A9F1B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98572" y="137849428"/>
          <a:ext cx="1408298" cy="142190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153458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  <xdr:twoCellAnchor editAs="oneCell">
    <xdr:from>
      <xdr:col>4</xdr:col>
      <xdr:colOff>912019</xdr:colOff>
      <xdr:row>126</xdr:row>
      <xdr:rowOff>216694</xdr:rowOff>
    </xdr:from>
    <xdr:to>
      <xdr:col>4</xdr:col>
      <xdr:colOff>2320317</xdr:colOff>
      <xdr:row>131</xdr:row>
      <xdr:rowOff>150999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1C16A0C-87E0-2F61-159E-7032F5204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0175" y="36209288"/>
          <a:ext cx="1408298" cy="142258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0</xdr:rowOff>
    </xdr:from>
    <xdr:to>
      <xdr:col>1</xdr:col>
      <xdr:colOff>2516861</xdr:colOff>
      <xdr:row>4</xdr:row>
      <xdr:rowOff>142332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  <xdr:twoCellAnchor editAs="oneCell">
    <xdr:from>
      <xdr:col>3</xdr:col>
      <xdr:colOff>1125435</xdr:colOff>
      <xdr:row>21</xdr:row>
      <xdr:rowOff>320853</xdr:rowOff>
    </xdr:from>
    <xdr:to>
      <xdr:col>3</xdr:col>
      <xdr:colOff>2537543</xdr:colOff>
      <xdr:row>24</xdr:row>
      <xdr:rowOff>177546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61691F-8734-EE63-A27C-EF4A0CB18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69906" y="8814912"/>
          <a:ext cx="1412108" cy="13694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D1000191"/>
  <sheetViews>
    <sheetView showGridLines="0" zoomScale="85" zoomScaleNormal="85" zoomScaleSheetLayoutView="40" workbookViewId="0">
      <pane xSplit="4" ySplit="3" topLeftCell="E344" activePane="bottomRight" state="frozen"/>
      <selection pane="topRight" activeCell="E1" sqref="E1"/>
      <selection pane="bottomLeft" activeCell="A4" sqref="A4"/>
      <selection pane="bottomRight" activeCell="E354" sqref="E354:F355"/>
    </sheetView>
  </sheetViews>
  <sheetFormatPr baseColWidth="10" defaultColWidth="11.42578125" defaultRowHeight="35.1" customHeight="1" x14ac:dyDescent="0.2"/>
  <cols>
    <col min="1" max="1" width="7.140625" style="113" customWidth="1"/>
    <col min="2" max="2" width="41.140625" style="145" customWidth="1"/>
    <col min="3" max="3" width="9.140625" style="113" customWidth="1"/>
    <col min="4" max="4" width="40.5703125" style="145" customWidth="1"/>
    <col min="5" max="5" width="29.28515625" style="145" customWidth="1"/>
    <col min="6" max="6" width="22.7109375" style="111" bestFit="1" customWidth="1"/>
    <col min="7" max="7" width="20.28515625" style="110" customWidth="1"/>
    <col min="8" max="8" width="24" style="110" customWidth="1"/>
    <col min="9" max="9" width="23.140625" style="110" customWidth="1"/>
    <col min="10" max="10" width="21.5703125" style="110" bestFit="1" customWidth="1"/>
    <col min="11" max="11" width="24" style="110" customWidth="1"/>
    <col min="12" max="13" width="22.28515625" style="110" customWidth="1"/>
    <col min="14" max="14" width="19" style="110" customWidth="1"/>
    <col min="15" max="16" width="22.85546875" style="110" customWidth="1"/>
    <col min="17" max="17" width="13.28515625" style="110" bestFit="1" customWidth="1"/>
    <col min="18" max="16384" width="11.42578125" style="110"/>
  </cols>
  <sheetData>
    <row r="1" spans="1:56" ht="26.25" customHeight="1" x14ac:dyDescent="0.2">
      <c r="A1" s="348" t="s">
        <v>335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</row>
    <row r="2" spans="1:56" ht="26.25" customHeight="1" x14ac:dyDescent="0.2">
      <c r="A2" s="349" t="s">
        <v>339</v>
      </c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</row>
    <row r="3" spans="1:56" ht="21.75" customHeight="1" x14ac:dyDescent="0.2">
      <c r="A3" s="350" t="s">
        <v>658</v>
      </c>
      <c r="B3" s="350"/>
      <c r="C3" s="350"/>
      <c r="D3" s="350"/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350"/>
      <c r="P3" s="350"/>
    </row>
    <row r="4" spans="1:56" ht="35.1" customHeight="1" thickBot="1" x14ac:dyDescent="0.25">
      <c r="A4" s="139"/>
      <c r="B4" s="139"/>
      <c r="C4" s="106"/>
      <c r="D4" s="144"/>
      <c r="E4" s="144"/>
      <c r="F4" s="106"/>
    </row>
    <row r="5" spans="1:56" ht="35.1" customHeight="1" thickBot="1" x14ac:dyDescent="0.25">
      <c r="A5" s="210" t="s">
        <v>444</v>
      </c>
      <c r="B5" s="211"/>
      <c r="C5" s="210"/>
      <c r="D5" s="211"/>
      <c r="E5" s="211"/>
      <c r="F5" s="212"/>
      <c r="G5" s="358" t="s">
        <v>99</v>
      </c>
      <c r="H5" s="359"/>
      <c r="I5" s="359"/>
      <c r="J5" s="360"/>
      <c r="K5" s="95"/>
      <c r="L5" s="150"/>
      <c r="M5" s="150"/>
      <c r="N5" s="150"/>
      <c r="O5" s="150"/>
      <c r="P5" s="150"/>
    </row>
    <row r="6" spans="1:56" s="213" customFormat="1" ht="35.1" customHeight="1" thickBot="1" x14ac:dyDescent="0.25">
      <c r="A6" s="19" t="s">
        <v>0</v>
      </c>
      <c r="B6" s="19" t="s">
        <v>301</v>
      </c>
      <c r="C6" s="19" t="s">
        <v>347</v>
      </c>
      <c r="D6" s="19" t="s">
        <v>361</v>
      </c>
      <c r="E6" s="19" t="s">
        <v>93</v>
      </c>
      <c r="F6" s="77" t="s">
        <v>102</v>
      </c>
      <c r="G6" s="78" t="s">
        <v>1</v>
      </c>
      <c r="H6" s="79" t="s">
        <v>2</v>
      </c>
      <c r="I6" s="82" t="s">
        <v>449</v>
      </c>
      <c r="J6" s="83" t="s">
        <v>450</v>
      </c>
      <c r="K6" s="80" t="s">
        <v>451</v>
      </c>
      <c r="L6" s="21" t="s">
        <v>94</v>
      </c>
      <c r="M6" s="21"/>
      <c r="N6" s="21" t="s">
        <v>96</v>
      </c>
      <c r="O6" s="21" t="s">
        <v>3</v>
      </c>
      <c r="P6" s="21" t="s">
        <v>95</v>
      </c>
    </row>
    <row r="7" spans="1:56" s="211" customFormat="1" ht="35.1" customHeight="1" thickBot="1" x14ac:dyDescent="0.25">
      <c r="A7" s="214" t="s">
        <v>205</v>
      </c>
      <c r="B7" s="215"/>
      <c r="C7" s="215"/>
      <c r="D7" s="215"/>
      <c r="E7" s="215"/>
      <c r="F7" s="215"/>
      <c r="G7" s="216"/>
      <c r="H7" s="216"/>
      <c r="I7" s="216"/>
      <c r="J7" s="216"/>
      <c r="K7" s="215"/>
      <c r="L7" s="215"/>
      <c r="M7" s="215"/>
      <c r="N7" s="215"/>
      <c r="O7" s="215"/>
      <c r="P7" s="217"/>
      <c r="Q7" s="218"/>
      <c r="R7" s="218"/>
      <c r="S7" s="218"/>
      <c r="T7" s="218"/>
      <c r="U7" s="218"/>
      <c r="V7" s="218"/>
      <c r="W7" s="218"/>
      <c r="X7" s="218"/>
      <c r="Y7" s="218"/>
      <c r="Z7" s="218"/>
      <c r="AA7" s="218"/>
      <c r="AB7" s="218"/>
      <c r="AC7" s="218"/>
      <c r="AD7" s="218"/>
      <c r="AE7" s="218"/>
      <c r="AF7" s="218"/>
      <c r="AG7" s="218"/>
      <c r="AH7" s="218"/>
      <c r="AI7" s="218"/>
      <c r="AJ7" s="218"/>
      <c r="AK7" s="218"/>
      <c r="AL7" s="218"/>
      <c r="AM7" s="218"/>
      <c r="AN7" s="218"/>
      <c r="AO7" s="218"/>
      <c r="AP7" s="218"/>
      <c r="AQ7" s="218"/>
      <c r="AR7" s="218"/>
      <c r="AS7" s="218"/>
      <c r="AT7" s="218"/>
      <c r="AU7" s="218"/>
      <c r="AV7" s="218"/>
      <c r="AW7" s="218"/>
      <c r="AX7" s="218"/>
      <c r="AY7" s="218"/>
      <c r="AZ7" s="218"/>
      <c r="BA7" s="218"/>
      <c r="BB7" s="218"/>
      <c r="BC7" s="218"/>
      <c r="BD7" s="218"/>
    </row>
    <row r="8" spans="1:56" s="224" customFormat="1" ht="35.1" customHeight="1" x14ac:dyDescent="0.2">
      <c r="A8" s="219">
        <v>1</v>
      </c>
      <c r="B8" s="220" t="s">
        <v>204</v>
      </c>
      <c r="C8" s="219" t="s">
        <v>345</v>
      </c>
      <c r="D8" s="220" t="s">
        <v>200</v>
      </c>
      <c r="E8" s="88" t="s">
        <v>362</v>
      </c>
      <c r="F8" s="221">
        <v>245000</v>
      </c>
      <c r="G8" s="221">
        <f t="shared" ref="G8:G17" si="0">F8*2.87%</f>
        <v>7031.5</v>
      </c>
      <c r="H8" s="222">
        <v>6589.1391999999996</v>
      </c>
      <c r="I8" s="221">
        <v>1919.78</v>
      </c>
      <c r="J8" s="221">
        <f t="shared" ref="J8:J17" si="1">+G8+H8+I8</f>
        <v>15540.4192</v>
      </c>
      <c r="K8" s="221">
        <f t="shared" ref="K8:K17" si="2">+F8-J8</f>
        <v>229459.5808</v>
      </c>
      <c r="L8" s="221">
        <f>+IF(K8*12&lt;=416220.01,0,IF(K8*12&lt;=624329.01,(((K8*12-416220.01)*0.15)/12),IF((K8*12&lt;=867123.01),(31216+0.2*(K8*12-624329.01))/12,((79776+0.25*(K8*12-867123.01))/12))))</f>
        <v>45947.832491666661</v>
      </c>
      <c r="M8" s="221"/>
      <c r="N8" s="223">
        <v>25</v>
      </c>
      <c r="O8" s="221">
        <f t="shared" ref="O8:O17" si="3">+N8+I8+H8+G8+L8</f>
        <v>61513.251691666665</v>
      </c>
      <c r="P8" s="223">
        <f t="shared" ref="P8:P17" si="4">+F8-O8</f>
        <v>183486.74830833334</v>
      </c>
    </row>
    <row r="9" spans="1:56" s="225" customFormat="1" ht="35.1" customHeight="1" x14ac:dyDescent="0.2">
      <c r="A9" s="73">
        <v>2</v>
      </c>
      <c r="B9" s="72" t="s">
        <v>201</v>
      </c>
      <c r="C9" s="73" t="s">
        <v>346</v>
      </c>
      <c r="D9" s="72" t="s">
        <v>85</v>
      </c>
      <c r="E9" s="88" t="s">
        <v>530</v>
      </c>
      <c r="F9" s="222">
        <v>140000</v>
      </c>
      <c r="G9" s="222">
        <f t="shared" si="0"/>
        <v>4018</v>
      </c>
      <c r="H9" s="222">
        <f t="shared" ref="H9:H17" si="5">+F9*3.04%</f>
        <v>4256</v>
      </c>
      <c r="I9" s="221">
        <v>1919.78</v>
      </c>
      <c r="J9" s="221">
        <f t="shared" si="1"/>
        <v>10193.780000000001</v>
      </c>
      <c r="K9" s="221">
        <f t="shared" si="2"/>
        <v>129806.22</v>
      </c>
      <c r="L9" s="221">
        <f t="shared" ref="L9:L17" si="6">+IF(K9*12&lt;=416220.01,0,IF(K9*12&lt;=624329.01,(((K9*12-416220.01)*0.15)/12),IF((K9*12&lt;=867123.01),(31216+0.2*(K9*12-624329.01))/12,((79776+0.25*(K9*12-867123.01))/12))))</f>
        <v>21034.492291666669</v>
      </c>
      <c r="M9" s="221"/>
      <c r="N9" s="227">
        <v>25</v>
      </c>
      <c r="O9" s="221">
        <f t="shared" si="3"/>
        <v>31253.272291666668</v>
      </c>
      <c r="P9" s="223">
        <f t="shared" si="4"/>
        <v>108746.72770833333</v>
      </c>
    </row>
    <row r="10" spans="1:56" s="225" customFormat="1" ht="35.1" customHeight="1" x14ac:dyDescent="0.2">
      <c r="A10" s="219">
        <f t="shared" ref="A10:A17" si="7">+A9+1</f>
        <v>3</v>
      </c>
      <c r="B10" s="220" t="s">
        <v>439</v>
      </c>
      <c r="C10" s="219" t="s">
        <v>346</v>
      </c>
      <c r="D10" s="228" t="s">
        <v>85</v>
      </c>
      <c r="E10" s="72" t="s">
        <v>530</v>
      </c>
      <c r="F10" s="221">
        <v>120000</v>
      </c>
      <c r="G10" s="221">
        <f t="shared" si="0"/>
        <v>3444</v>
      </c>
      <c r="H10" s="221">
        <f t="shared" si="5"/>
        <v>3648</v>
      </c>
      <c r="I10" s="221"/>
      <c r="J10" s="221">
        <f t="shared" si="1"/>
        <v>7092</v>
      </c>
      <c r="K10" s="221">
        <f t="shared" si="2"/>
        <v>112908</v>
      </c>
      <c r="L10" s="221">
        <f t="shared" si="6"/>
        <v>16809.937291666665</v>
      </c>
      <c r="M10" s="221"/>
      <c r="N10" s="227">
        <v>25</v>
      </c>
      <c r="O10" s="221">
        <f t="shared" si="3"/>
        <v>23926.937291666665</v>
      </c>
      <c r="P10" s="223">
        <f t="shared" si="4"/>
        <v>96073.062708333338</v>
      </c>
    </row>
    <row r="11" spans="1:56" s="225" customFormat="1" ht="35.1" customHeight="1" x14ac:dyDescent="0.2">
      <c r="A11" s="73">
        <v>4</v>
      </c>
      <c r="B11" s="220" t="s">
        <v>493</v>
      </c>
      <c r="C11" s="219" t="s">
        <v>346</v>
      </c>
      <c r="D11" s="226" t="s">
        <v>645</v>
      </c>
      <c r="E11" s="72" t="s">
        <v>530</v>
      </c>
      <c r="F11" s="221">
        <v>50000</v>
      </c>
      <c r="G11" s="221">
        <f>F11*2.87%</f>
        <v>1435</v>
      </c>
      <c r="H11" s="221">
        <f>+F11*3.04%</f>
        <v>1520</v>
      </c>
      <c r="I11" s="221"/>
      <c r="J11" s="221">
        <f>+G11+H11+I11</f>
        <v>2955</v>
      </c>
      <c r="K11" s="221">
        <f>+F11-J11</f>
        <v>47045</v>
      </c>
      <c r="L11" s="221">
        <f t="shared" si="6"/>
        <v>1853.9998749999997</v>
      </c>
      <c r="M11" s="221"/>
      <c r="N11" s="227">
        <v>225</v>
      </c>
      <c r="O11" s="221">
        <f t="shared" si="3"/>
        <v>5033.9998749999995</v>
      </c>
      <c r="P11" s="227">
        <f t="shared" si="4"/>
        <v>44966.000124999999</v>
      </c>
    </row>
    <row r="12" spans="1:56" s="225" customFormat="1" ht="35.1" customHeight="1" x14ac:dyDescent="0.2">
      <c r="A12" s="219">
        <f t="shared" si="7"/>
        <v>5</v>
      </c>
      <c r="B12" s="220" t="s">
        <v>202</v>
      </c>
      <c r="C12" s="219" t="s">
        <v>346</v>
      </c>
      <c r="D12" s="226" t="s">
        <v>70</v>
      </c>
      <c r="E12" s="72" t="s">
        <v>101</v>
      </c>
      <c r="F12" s="221">
        <v>41500</v>
      </c>
      <c r="G12" s="221">
        <f t="shared" si="0"/>
        <v>1191.05</v>
      </c>
      <c r="H12" s="221">
        <f t="shared" si="5"/>
        <v>1261.5999999999999</v>
      </c>
      <c r="I12" s="221"/>
      <c r="J12" s="221">
        <f t="shared" si="1"/>
        <v>2452.6499999999996</v>
      </c>
      <c r="K12" s="221">
        <f t="shared" si="2"/>
        <v>39047.35</v>
      </c>
      <c r="L12" s="221">
        <f t="shared" si="6"/>
        <v>654.35237499999926</v>
      </c>
      <c r="M12" s="221"/>
      <c r="N12" s="227">
        <v>5351.93</v>
      </c>
      <c r="O12" s="221">
        <f t="shared" si="3"/>
        <v>8458.9323750000003</v>
      </c>
      <c r="P12" s="227">
        <f t="shared" si="4"/>
        <v>33041.067624999996</v>
      </c>
    </row>
    <row r="13" spans="1:56" s="225" customFormat="1" ht="35.1" customHeight="1" x14ac:dyDescent="0.2">
      <c r="A13" s="73">
        <v>6</v>
      </c>
      <c r="B13" s="220" t="s">
        <v>203</v>
      </c>
      <c r="C13" s="219" t="s">
        <v>346</v>
      </c>
      <c r="D13" s="226" t="s">
        <v>70</v>
      </c>
      <c r="E13" s="72" t="s">
        <v>101</v>
      </c>
      <c r="F13" s="221">
        <v>41500</v>
      </c>
      <c r="G13" s="221">
        <f t="shared" si="0"/>
        <v>1191.05</v>
      </c>
      <c r="H13" s="221">
        <f t="shared" si="5"/>
        <v>1261.5999999999999</v>
      </c>
      <c r="I13" s="221"/>
      <c r="J13" s="221">
        <f t="shared" si="1"/>
        <v>2452.6499999999996</v>
      </c>
      <c r="K13" s="221">
        <f t="shared" si="2"/>
        <v>39047.35</v>
      </c>
      <c r="L13" s="221">
        <f t="shared" si="6"/>
        <v>654.35237499999926</v>
      </c>
      <c r="M13" s="221"/>
      <c r="N13" s="227">
        <v>12937.48</v>
      </c>
      <c r="O13" s="221">
        <f t="shared" si="3"/>
        <v>16044.482374999998</v>
      </c>
      <c r="P13" s="227">
        <f t="shared" si="4"/>
        <v>25455.517625</v>
      </c>
    </row>
    <row r="14" spans="1:56" s="225" customFormat="1" ht="35.1" customHeight="1" x14ac:dyDescent="0.2">
      <c r="A14" s="219">
        <f t="shared" si="7"/>
        <v>7</v>
      </c>
      <c r="B14" s="220" t="s">
        <v>454</v>
      </c>
      <c r="C14" s="219" t="s">
        <v>346</v>
      </c>
      <c r="D14" s="226" t="s">
        <v>70</v>
      </c>
      <c r="E14" s="72" t="s">
        <v>100</v>
      </c>
      <c r="F14" s="221">
        <v>41500</v>
      </c>
      <c r="G14" s="221">
        <f t="shared" si="0"/>
        <v>1191.05</v>
      </c>
      <c r="H14" s="221">
        <f t="shared" si="5"/>
        <v>1261.5999999999999</v>
      </c>
      <c r="I14" s="221"/>
      <c r="J14" s="221">
        <f t="shared" si="1"/>
        <v>2452.6499999999996</v>
      </c>
      <c r="K14" s="221">
        <f t="shared" si="2"/>
        <v>39047.35</v>
      </c>
      <c r="L14" s="221">
        <f t="shared" si="6"/>
        <v>654.35237499999926</v>
      </c>
      <c r="M14" s="221"/>
      <c r="N14" s="227">
        <v>3290.29</v>
      </c>
      <c r="O14" s="221">
        <f t="shared" si="3"/>
        <v>6397.2923749999991</v>
      </c>
      <c r="P14" s="227">
        <f t="shared" si="4"/>
        <v>35102.707625000003</v>
      </c>
    </row>
    <row r="15" spans="1:56" s="225" customFormat="1" ht="35.1" customHeight="1" x14ac:dyDescent="0.2">
      <c r="A15" s="219">
        <f t="shared" si="7"/>
        <v>8</v>
      </c>
      <c r="B15" s="220" t="s">
        <v>181</v>
      </c>
      <c r="C15" s="219" t="s">
        <v>346</v>
      </c>
      <c r="D15" s="226" t="s">
        <v>70</v>
      </c>
      <c r="E15" s="72" t="s">
        <v>100</v>
      </c>
      <c r="F15" s="221">
        <v>38000</v>
      </c>
      <c r="G15" s="221">
        <f t="shared" si="0"/>
        <v>1090.5999999999999</v>
      </c>
      <c r="H15" s="221">
        <f t="shared" si="5"/>
        <v>1155.2</v>
      </c>
      <c r="I15" s="221"/>
      <c r="J15" s="221">
        <f t="shared" si="1"/>
        <v>2245.8000000000002</v>
      </c>
      <c r="K15" s="221">
        <f t="shared" si="2"/>
        <v>35754.199999999997</v>
      </c>
      <c r="L15" s="221">
        <f t="shared" si="6"/>
        <v>160.37987499999943</v>
      </c>
      <c r="M15" s="221"/>
      <c r="N15" s="227">
        <v>8290.2900000000009</v>
      </c>
      <c r="O15" s="221">
        <f t="shared" si="3"/>
        <v>10696.469875000001</v>
      </c>
      <c r="P15" s="227">
        <f t="shared" si="4"/>
        <v>27303.530124999997</v>
      </c>
    </row>
    <row r="16" spans="1:56" s="225" customFormat="1" ht="35.1" customHeight="1" x14ac:dyDescent="0.2">
      <c r="A16" s="219">
        <f t="shared" si="7"/>
        <v>9</v>
      </c>
      <c r="B16" s="220" t="s">
        <v>634</v>
      </c>
      <c r="C16" s="219" t="s">
        <v>346</v>
      </c>
      <c r="D16" s="226" t="s">
        <v>70</v>
      </c>
      <c r="E16" s="72" t="s">
        <v>100</v>
      </c>
      <c r="F16" s="221">
        <v>38000</v>
      </c>
      <c r="G16" s="221">
        <f t="shared" si="0"/>
        <v>1090.5999999999999</v>
      </c>
      <c r="H16" s="221">
        <f t="shared" si="5"/>
        <v>1155.2</v>
      </c>
      <c r="I16" s="221"/>
      <c r="J16" s="221">
        <f t="shared" si="1"/>
        <v>2245.8000000000002</v>
      </c>
      <c r="K16" s="221">
        <f t="shared" si="2"/>
        <v>35754.199999999997</v>
      </c>
      <c r="L16" s="221">
        <f t="shared" si="6"/>
        <v>160.37987499999943</v>
      </c>
      <c r="M16" s="221"/>
      <c r="N16" s="227">
        <v>1290.29</v>
      </c>
      <c r="O16" s="221">
        <f t="shared" si="3"/>
        <v>3696.4698749999993</v>
      </c>
      <c r="P16" s="227">
        <f t="shared" si="4"/>
        <v>34303.530124999997</v>
      </c>
    </row>
    <row r="17" spans="1:17" s="225" customFormat="1" ht="35.1" customHeight="1" x14ac:dyDescent="0.2">
      <c r="A17" s="219">
        <f t="shared" si="7"/>
        <v>10</v>
      </c>
      <c r="B17" s="220" t="s">
        <v>635</v>
      </c>
      <c r="C17" s="219" t="s">
        <v>346</v>
      </c>
      <c r="D17" s="226" t="s">
        <v>70</v>
      </c>
      <c r="E17" s="72" t="s">
        <v>100</v>
      </c>
      <c r="F17" s="221">
        <v>38000</v>
      </c>
      <c r="G17" s="221">
        <f t="shared" si="0"/>
        <v>1090.5999999999999</v>
      </c>
      <c r="H17" s="221">
        <f t="shared" si="5"/>
        <v>1155.2</v>
      </c>
      <c r="I17" s="221"/>
      <c r="J17" s="221">
        <f t="shared" si="1"/>
        <v>2245.8000000000002</v>
      </c>
      <c r="K17" s="221">
        <f t="shared" si="2"/>
        <v>35754.199999999997</v>
      </c>
      <c r="L17" s="221">
        <f t="shared" si="6"/>
        <v>160.37987499999943</v>
      </c>
      <c r="M17" s="221"/>
      <c r="N17" s="227">
        <v>7079.11</v>
      </c>
      <c r="O17" s="221">
        <f t="shared" si="3"/>
        <v>9485.2898749999986</v>
      </c>
      <c r="P17" s="227">
        <f t="shared" si="4"/>
        <v>28514.710125000001</v>
      </c>
    </row>
    <row r="18" spans="1:17" s="225" customFormat="1" ht="35.1" customHeight="1" x14ac:dyDescent="0.2">
      <c r="A18" s="229" t="s">
        <v>103</v>
      </c>
      <c r="B18" s="230"/>
      <c r="C18" s="230"/>
      <c r="D18" s="230"/>
      <c r="E18" s="230"/>
      <c r="F18" s="231">
        <f t="shared" ref="F18:P18" si="8">SUM(F8:F17)</f>
        <v>793500</v>
      </c>
      <c r="G18" s="231">
        <f t="shared" si="8"/>
        <v>22773.449999999993</v>
      </c>
      <c r="H18" s="231">
        <f t="shared" si="8"/>
        <v>23263.539199999999</v>
      </c>
      <c r="I18" s="231">
        <f t="shared" si="8"/>
        <v>3839.56</v>
      </c>
      <c r="J18" s="231">
        <f t="shared" si="8"/>
        <v>49876.549200000016</v>
      </c>
      <c r="K18" s="231">
        <f t="shared" si="8"/>
        <v>743623.45079999976</v>
      </c>
      <c r="L18" s="231">
        <f t="shared" si="8"/>
        <v>88090.458699999988</v>
      </c>
      <c r="M18" s="231">
        <f t="shared" si="8"/>
        <v>0</v>
      </c>
      <c r="N18" s="231">
        <f t="shared" si="8"/>
        <v>38539.39</v>
      </c>
      <c r="O18" s="231">
        <f t="shared" si="8"/>
        <v>176506.39789999998</v>
      </c>
      <c r="P18" s="231">
        <f t="shared" si="8"/>
        <v>616993.60210000013</v>
      </c>
      <c r="Q18" s="329"/>
    </row>
    <row r="19" spans="1:17" s="225" customFormat="1" ht="35.1" customHeight="1" thickBot="1" x14ac:dyDescent="0.25">
      <c r="A19" s="233"/>
      <c r="B19" s="148"/>
      <c r="C19" s="209"/>
      <c r="D19" s="234"/>
      <c r="E19" s="234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</row>
    <row r="20" spans="1:17" s="225" customFormat="1" ht="35.1" customHeight="1" thickBot="1" x14ac:dyDescent="0.25">
      <c r="A20" s="235" t="s">
        <v>126</v>
      </c>
      <c r="B20" s="236"/>
      <c r="C20" s="236"/>
      <c r="D20" s="236"/>
      <c r="E20" s="236"/>
      <c r="F20" s="236"/>
      <c r="G20" s="236"/>
      <c r="H20" s="236"/>
      <c r="I20" s="236"/>
      <c r="J20" s="236"/>
      <c r="K20" s="236"/>
      <c r="L20" s="236"/>
      <c r="M20" s="236"/>
      <c r="N20" s="236"/>
      <c r="O20" s="236"/>
      <c r="P20" s="237"/>
    </row>
    <row r="21" spans="1:17" s="232" customFormat="1" ht="35.1" customHeight="1" x14ac:dyDescent="0.2">
      <c r="A21" s="73">
        <f>+A17+1</f>
        <v>11</v>
      </c>
      <c r="B21" s="220" t="s">
        <v>156</v>
      </c>
      <c r="C21" s="219" t="s">
        <v>346</v>
      </c>
      <c r="D21" s="226" t="s">
        <v>87</v>
      </c>
      <c r="E21" s="72" t="s">
        <v>101</v>
      </c>
      <c r="F21" s="221">
        <v>230000</v>
      </c>
      <c r="G21" s="221">
        <f>F21*2.87%</f>
        <v>6601</v>
      </c>
      <c r="H21" s="221">
        <v>6589.1391999999996</v>
      </c>
      <c r="I21" s="69">
        <v>1919.78</v>
      </c>
      <c r="J21" s="69">
        <f>+G21+H21+I21</f>
        <v>15109.9192</v>
      </c>
      <c r="K21" s="69">
        <f>+F21-J21</f>
        <v>214890.0808</v>
      </c>
      <c r="L21" s="69">
        <f>+IF(K21*12&lt;=416220.01,0,IF(K21*12&lt;=624329.01,(((K21*12-416220.01)*0.15)/12),IF((K21*12&lt;=867123.01),(31216+0.2*(K21*12-624329.01))/12,((79776+0.25*(K21*12-867123.01))/12))))</f>
        <v>42305.457491666668</v>
      </c>
      <c r="M21" s="69"/>
      <c r="N21" s="227">
        <v>25</v>
      </c>
      <c r="O21" s="221">
        <f>+N21+I21+H21+G21+L21</f>
        <v>57440.376691666665</v>
      </c>
      <c r="P21" s="223">
        <f>+F21-O21</f>
        <v>172559.62330833334</v>
      </c>
    </row>
    <row r="22" spans="1:17" s="212" customFormat="1" ht="35.1" customHeight="1" x14ac:dyDescent="0.2">
      <c r="A22" s="73">
        <f>+A21+1</f>
        <v>12</v>
      </c>
      <c r="B22" s="72" t="s">
        <v>40</v>
      </c>
      <c r="C22" s="73" t="s">
        <v>346</v>
      </c>
      <c r="D22" s="239" t="s">
        <v>586</v>
      </c>
      <c r="E22" s="72" t="s">
        <v>101</v>
      </c>
      <c r="F22" s="222">
        <v>120000</v>
      </c>
      <c r="G22" s="222">
        <f>F22*2.87%</f>
        <v>3444</v>
      </c>
      <c r="H22" s="68">
        <f>+F22*3.04%</f>
        <v>3648</v>
      </c>
      <c r="I22" s="68"/>
      <c r="J22" s="69">
        <f>+G22+H22+I22</f>
        <v>7092</v>
      </c>
      <c r="K22" s="69">
        <f>+F22-J22</f>
        <v>112908</v>
      </c>
      <c r="L22" s="69">
        <f>+IF(K22*12&lt;=416220.01,0,IF(K22*12&lt;=624329.01,(((K22*12-416220.01)*0.15)/12),IF((K22*12&lt;=867123.01),(31216+0.2*(K22*12-624329.01))/12,((79776+0.25*(K22*12-867123.01))/12))))</f>
        <v>16809.937291666665</v>
      </c>
      <c r="M22" s="69"/>
      <c r="N22" s="227">
        <v>2290.29</v>
      </c>
      <c r="O22" s="221">
        <f>+N22+I22+H22+G22+L22</f>
        <v>26192.227291666666</v>
      </c>
      <c r="P22" s="84">
        <f>+F22-O22</f>
        <v>93807.77270833333</v>
      </c>
    </row>
    <row r="23" spans="1:17" s="238" customFormat="1" ht="35.1" customHeight="1" x14ac:dyDescent="0.2">
      <c r="A23" s="73">
        <f>+A22+1</f>
        <v>13</v>
      </c>
      <c r="B23" s="72" t="s">
        <v>55</v>
      </c>
      <c r="C23" s="73" t="s">
        <v>346</v>
      </c>
      <c r="D23" s="239" t="s">
        <v>586</v>
      </c>
      <c r="E23" s="72" t="s">
        <v>100</v>
      </c>
      <c r="F23" s="222">
        <v>110000</v>
      </c>
      <c r="G23" s="222">
        <f>F23*2.87%</f>
        <v>3157</v>
      </c>
      <c r="H23" s="222">
        <f>+F23*3.04%</f>
        <v>3344</v>
      </c>
      <c r="I23" s="222"/>
      <c r="J23" s="69">
        <f>+G23+H23+I23</f>
        <v>6501</v>
      </c>
      <c r="K23" s="69">
        <f>+F23-J23</f>
        <v>103499</v>
      </c>
      <c r="L23" s="69">
        <f>+IF(K23*12&lt;=416220.01,0,IF(K23*12&lt;=624329.01,(((K23*12-416220.01)*0.15)/12),IF((K23*12&lt;=867123.01),(31216+0.2*(K23*12-624329.01))/12,((79776+0.25*(K23*12-867123.01))/12))))</f>
        <v>14457.687291666667</v>
      </c>
      <c r="M23" s="69"/>
      <c r="N23" s="227">
        <v>1330.29</v>
      </c>
      <c r="O23" s="221">
        <f>+N23+I23+H23+G23+L23</f>
        <v>22288.977291666666</v>
      </c>
      <c r="P23" s="223">
        <f>+F23-O23</f>
        <v>87711.02270833333</v>
      </c>
    </row>
    <row r="24" spans="1:17" s="149" customFormat="1" ht="35.1" customHeight="1" x14ac:dyDescent="0.2">
      <c r="A24" s="219">
        <f>+A23+1</f>
        <v>14</v>
      </c>
      <c r="B24" s="260" t="s">
        <v>228</v>
      </c>
      <c r="C24" s="261" t="s">
        <v>346</v>
      </c>
      <c r="D24" s="239" t="s">
        <v>586</v>
      </c>
      <c r="E24" s="72" t="s">
        <v>100</v>
      </c>
      <c r="F24" s="262">
        <v>110000</v>
      </c>
      <c r="G24" s="222">
        <f>F24*2.87%</f>
        <v>3157</v>
      </c>
      <c r="H24" s="222">
        <f>+F24*3.04%</f>
        <v>3344</v>
      </c>
      <c r="I24" s="222">
        <v>0</v>
      </c>
      <c r="J24" s="221">
        <f>+G24+H24+I24</f>
        <v>6501</v>
      </c>
      <c r="K24" s="221">
        <f>+F24-J24</f>
        <v>103499</v>
      </c>
      <c r="L24" s="69">
        <f>+IF(K24*12&lt;=416220.01,0,IF(K24*12&lt;=624329.01,(((K24*12-416220.01)*0.15)/12),IF((K24*12&lt;=867123.01),(31216+0.2*(K24*12-624329.01))/12,((79776+0.25*(K24*12-867123.01))/12))))</f>
        <v>14457.687291666667</v>
      </c>
      <c r="M24" s="221"/>
      <c r="N24" s="240">
        <v>25</v>
      </c>
      <c r="O24" s="221">
        <f>+N24+I24+H24+G24+L24</f>
        <v>20983.687291666669</v>
      </c>
      <c r="P24" s="223">
        <f>+F24-O24</f>
        <v>89016.312708333338</v>
      </c>
    </row>
    <row r="25" spans="1:17" s="149" customFormat="1" ht="35.1" customHeight="1" x14ac:dyDescent="0.2">
      <c r="A25" s="219">
        <f>+A24+1</f>
        <v>15</v>
      </c>
      <c r="B25" s="220" t="s">
        <v>415</v>
      </c>
      <c r="C25" s="219" t="s">
        <v>346</v>
      </c>
      <c r="D25" s="239" t="s">
        <v>605</v>
      </c>
      <c r="E25" s="72" t="s">
        <v>101</v>
      </c>
      <c r="F25" s="221">
        <v>90000</v>
      </c>
      <c r="G25" s="221">
        <f>F25*2.87%</f>
        <v>2583</v>
      </c>
      <c r="H25" s="221">
        <f>F25*3.04%</f>
        <v>2736</v>
      </c>
      <c r="I25" s="69">
        <v>0</v>
      </c>
      <c r="J25" s="69">
        <f>+G25+H25+I25</f>
        <v>5319</v>
      </c>
      <c r="K25" s="69">
        <f>+F25-J25</f>
        <v>84681</v>
      </c>
      <c r="L25" s="69">
        <f>+IF(K25*12&lt;=416220.01,0,IF(K25*12&lt;=624329.01,(((K25*12-416220.01)*0.15)/12),IF((K25*12&lt;=867123.01),(31216+0.2*(K25*12-624329.01))/12,((79776+0.25*(K25*12-867123.01))/12))))</f>
        <v>9753.1872916666671</v>
      </c>
      <c r="M25" s="69"/>
      <c r="N25" s="227">
        <v>25</v>
      </c>
      <c r="O25" s="221">
        <f>+N25+I25+H25+G25+L25</f>
        <v>15097.187291666667</v>
      </c>
      <c r="P25" s="223">
        <f>+F25-O25</f>
        <v>74902.812708333338</v>
      </c>
    </row>
    <row r="26" spans="1:17" s="232" customFormat="1" ht="35.1" customHeight="1" x14ac:dyDescent="0.2">
      <c r="A26" s="229" t="s">
        <v>103</v>
      </c>
      <c r="B26" s="230"/>
      <c r="C26" s="230"/>
      <c r="D26" s="230"/>
      <c r="E26" s="230"/>
      <c r="F26" s="231">
        <f t="shared" ref="F26:L26" si="9">SUM(F21:F25)</f>
        <v>660000</v>
      </c>
      <c r="G26" s="231">
        <f t="shared" si="9"/>
        <v>18942</v>
      </c>
      <c r="H26" s="231">
        <f t="shared" si="9"/>
        <v>19661.139199999998</v>
      </c>
      <c r="I26" s="231">
        <f t="shared" si="9"/>
        <v>1919.78</v>
      </c>
      <c r="J26" s="231">
        <f t="shared" si="9"/>
        <v>40522.919200000004</v>
      </c>
      <c r="K26" s="231">
        <f t="shared" si="9"/>
        <v>619477.0808</v>
      </c>
      <c r="L26" s="231">
        <f t="shared" si="9"/>
        <v>97783.956658333322</v>
      </c>
      <c r="M26" s="231"/>
      <c r="N26" s="231">
        <f>SUM(N21:N25)</f>
        <v>3695.58</v>
      </c>
      <c r="O26" s="231">
        <f>SUM(O21:O25)</f>
        <v>142002.45585833333</v>
      </c>
      <c r="P26" s="231">
        <f>SUM(P21:P25)</f>
        <v>517997.54414166673</v>
      </c>
      <c r="Q26" s="330"/>
    </row>
    <row r="27" spans="1:17" s="212" customFormat="1" ht="35.1" customHeight="1" thickBot="1" x14ac:dyDescent="0.25">
      <c r="A27" s="233"/>
      <c r="B27" s="148"/>
      <c r="C27" s="209"/>
      <c r="D27" s="234"/>
      <c r="E27" s="234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</row>
    <row r="28" spans="1:17" s="211" customFormat="1" ht="35.1" customHeight="1" thickBot="1" x14ac:dyDescent="0.25">
      <c r="A28" s="235" t="s">
        <v>152</v>
      </c>
      <c r="B28" s="236"/>
      <c r="C28" s="236"/>
      <c r="D28" s="236"/>
      <c r="E28" s="236"/>
      <c r="F28" s="236"/>
      <c r="G28" s="236"/>
      <c r="H28" s="236"/>
      <c r="I28" s="236"/>
      <c r="J28" s="236"/>
      <c r="K28" s="236"/>
      <c r="L28" s="236"/>
      <c r="M28" s="236"/>
      <c r="N28" s="236"/>
      <c r="O28" s="236"/>
      <c r="P28" s="236"/>
    </row>
    <row r="29" spans="1:17" s="232" customFormat="1" ht="35.1" customHeight="1" x14ac:dyDescent="0.2">
      <c r="A29" s="73">
        <f>+A25+1</f>
        <v>16</v>
      </c>
      <c r="B29" s="72" t="s">
        <v>116</v>
      </c>
      <c r="C29" s="73" t="s">
        <v>346</v>
      </c>
      <c r="D29" s="239" t="s">
        <v>374</v>
      </c>
      <c r="E29" s="72" t="s">
        <v>100</v>
      </c>
      <c r="F29" s="222">
        <v>170500</v>
      </c>
      <c r="G29" s="222">
        <f>F29*2.87%</f>
        <v>4893.3500000000004</v>
      </c>
      <c r="H29" s="221">
        <f>+F29*3.04%</f>
        <v>5183.2</v>
      </c>
      <c r="I29" s="221"/>
      <c r="J29" s="69">
        <f>+G29+H29+I29</f>
        <v>10076.549999999999</v>
      </c>
      <c r="K29" s="69">
        <f>+F29-J29</f>
        <v>160423.45000000001</v>
      </c>
      <c r="L29" s="69">
        <f>+IF(K29*12&lt;=416220.01,0,IF(K29*12&lt;=624329.01,(((K29*12-416220.01)*0.15)/12),IF((K29*12&lt;=867123.01),(31216+0.2*(K29*12-624329.01))/12,((79776+0.25*(K29*12-867123.01))/12))))</f>
        <v>28688.799791666668</v>
      </c>
      <c r="M29" s="69"/>
      <c r="N29" s="227">
        <v>15594.92</v>
      </c>
      <c r="O29" s="221">
        <f>+N29+I29+H29+G29+L29</f>
        <v>54360.269791666666</v>
      </c>
      <c r="P29" s="223">
        <f>+F29-O29</f>
        <v>116139.73020833333</v>
      </c>
    </row>
    <row r="30" spans="1:17" s="232" customFormat="1" ht="35.1" customHeight="1" x14ac:dyDescent="0.2">
      <c r="A30" s="229" t="s">
        <v>103</v>
      </c>
      <c r="B30" s="230"/>
      <c r="C30" s="230"/>
      <c r="D30" s="230"/>
      <c r="E30" s="230"/>
      <c r="F30" s="231">
        <f t="shared" ref="F30:L30" si="10">SUM(F29)</f>
        <v>170500</v>
      </c>
      <c r="G30" s="231">
        <f t="shared" si="10"/>
        <v>4893.3500000000004</v>
      </c>
      <c r="H30" s="231">
        <f t="shared" si="10"/>
        <v>5183.2</v>
      </c>
      <c r="I30" s="231">
        <f t="shared" si="10"/>
        <v>0</v>
      </c>
      <c r="J30" s="231">
        <f t="shared" si="10"/>
        <v>10076.549999999999</v>
      </c>
      <c r="K30" s="231">
        <f t="shared" si="10"/>
        <v>160423.45000000001</v>
      </c>
      <c r="L30" s="231">
        <f t="shared" si="10"/>
        <v>28688.799791666668</v>
      </c>
      <c r="M30" s="231"/>
      <c r="N30" s="231">
        <f>SUM(N29)</f>
        <v>15594.92</v>
      </c>
      <c r="O30" s="231">
        <f>SUM(O29)</f>
        <v>54360.269791666666</v>
      </c>
      <c r="P30" s="231">
        <f>SUM(P29)</f>
        <v>116139.73020833333</v>
      </c>
      <c r="Q30" s="330"/>
    </row>
    <row r="31" spans="1:17" s="212" customFormat="1" ht="35.1" customHeight="1" thickBot="1" x14ac:dyDescent="0.25">
      <c r="A31" s="233"/>
      <c r="B31" s="148"/>
      <c r="C31" s="209"/>
      <c r="D31" s="234"/>
      <c r="E31" s="234"/>
      <c r="F31" s="149"/>
      <c r="G31" s="149"/>
      <c r="H31" s="149"/>
      <c r="I31" s="149"/>
      <c r="J31" s="149"/>
      <c r="K31" s="149"/>
      <c r="L31" s="149"/>
      <c r="M31" s="149"/>
      <c r="N31" s="149"/>
      <c r="O31" s="149"/>
      <c r="P31" s="149"/>
    </row>
    <row r="32" spans="1:17" s="238" customFormat="1" ht="35.1" customHeight="1" thickBot="1" x14ac:dyDescent="0.25">
      <c r="A32" s="235" t="s">
        <v>127</v>
      </c>
      <c r="B32" s="236"/>
      <c r="C32" s="236"/>
      <c r="D32" s="236"/>
      <c r="E32" s="236"/>
      <c r="F32" s="236"/>
      <c r="G32" s="236"/>
      <c r="H32" s="236"/>
      <c r="I32" s="236"/>
      <c r="J32" s="236"/>
      <c r="K32" s="236"/>
      <c r="L32" s="236"/>
      <c r="M32" s="236"/>
      <c r="N32" s="236"/>
      <c r="O32" s="236"/>
      <c r="P32" s="236"/>
    </row>
    <row r="33" spans="1:17" s="149" customFormat="1" ht="35.1" customHeight="1" x14ac:dyDescent="0.2">
      <c r="A33" s="73">
        <f>+A29+1</f>
        <v>17</v>
      </c>
      <c r="B33" s="72" t="s">
        <v>36</v>
      </c>
      <c r="C33" s="73" t="s">
        <v>346</v>
      </c>
      <c r="D33" s="239" t="s">
        <v>605</v>
      </c>
      <c r="E33" s="72" t="s">
        <v>101</v>
      </c>
      <c r="F33" s="222">
        <v>102000</v>
      </c>
      <c r="G33" s="68">
        <v>2927.4</v>
      </c>
      <c r="H33" s="68">
        <v>3100.8</v>
      </c>
      <c r="I33" s="68"/>
      <c r="J33" s="69">
        <v>6028.2000000000007</v>
      </c>
      <c r="K33" s="69">
        <v>95971.8</v>
      </c>
      <c r="L33" s="69">
        <f>+IF(K33*12&lt;=416220.01,0,IF(K33*12&lt;=624329.01,(((K33*12-416220.01)*0.15)/12),IF((K33*12&lt;=867123.01),(31216+0.2*(K33*12-624329.01))/12,((79776+0.25*(K33*12-867123.01))/12))))</f>
        <v>12575.887291666668</v>
      </c>
      <c r="M33" s="69"/>
      <c r="N33" s="240">
        <v>4725</v>
      </c>
      <c r="O33" s="221">
        <f>+N33+I33+H33+G33+L33</f>
        <v>23329.08729166667</v>
      </c>
      <c r="P33" s="84">
        <f>+F33-O33</f>
        <v>78670.91270833333</v>
      </c>
    </row>
    <row r="34" spans="1:17" s="242" customFormat="1" ht="35.1" customHeight="1" x14ac:dyDescent="0.2">
      <c r="A34" s="229" t="s">
        <v>103</v>
      </c>
      <c r="B34" s="230"/>
      <c r="C34" s="230"/>
      <c r="D34" s="230"/>
      <c r="E34" s="246"/>
      <c r="F34" s="231">
        <f t="shared" ref="F34:P34" si="11">+F33</f>
        <v>102000</v>
      </c>
      <c r="G34" s="231">
        <f t="shared" si="11"/>
        <v>2927.4</v>
      </c>
      <c r="H34" s="231">
        <f t="shared" si="11"/>
        <v>3100.8</v>
      </c>
      <c r="I34" s="231">
        <f t="shared" si="11"/>
        <v>0</v>
      </c>
      <c r="J34" s="231">
        <f t="shared" si="11"/>
        <v>6028.2000000000007</v>
      </c>
      <c r="K34" s="231">
        <f t="shared" si="11"/>
        <v>95971.8</v>
      </c>
      <c r="L34" s="231">
        <f t="shared" si="11"/>
        <v>12575.887291666668</v>
      </c>
      <c r="M34" s="231">
        <f t="shared" si="11"/>
        <v>0</v>
      </c>
      <c r="N34" s="231">
        <f t="shared" si="11"/>
        <v>4725</v>
      </c>
      <c r="O34" s="231">
        <f t="shared" si="11"/>
        <v>23329.08729166667</v>
      </c>
      <c r="P34" s="231">
        <f t="shared" si="11"/>
        <v>78670.91270833333</v>
      </c>
      <c r="Q34" s="331"/>
    </row>
    <row r="35" spans="1:17" s="149" customFormat="1" ht="35.1" customHeight="1" thickBot="1" x14ac:dyDescent="0.25">
      <c r="A35" s="147"/>
      <c r="B35" s="147"/>
      <c r="C35" s="147"/>
      <c r="D35" s="147"/>
      <c r="E35" s="147"/>
      <c r="F35" s="232"/>
      <c r="G35" s="232"/>
      <c r="H35" s="232"/>
      <c r="I35" s="98"/>
      <c r="J35" s="98"/>
      <c r="K35" s="98"/>
      <c r="L35" s="98"/>
      <c r="M35" s="98"/>
      <c r="N35" s="98"/>
      <c r="O35" s="98"/>
      <c r="P35" s="98"/>
    </row>
    <row r="36" spans="1:17" s="149" customFormat="1" ht="35.1" customHeight="1" thickBot="1" x14ac:dyDescent="0.25">
      <c r="A36" s="235" t="s">
        <v>128</v>
      </c>
      <c r="B36" s="236"/>
      <c r="C36" s="236"/>
      <c r="D36" s="236"/>
      <c r="E36" s="236"/>
      <c r="F36" s="236"/>
      <c r="G36" s="236"/>
      <c r="H36" s="236"/>
      <c r="I36" s="236"/>
      <c r="J36" s="236"/>
      <c r="K36" s="236"/>
      <c r="L36" s="236"/>
      <c r="M36" s="236"/>
      <c r="N36" s="236"/>
      <c r="O36" s="236"/>
      <c r="P36" s="236"/>
    </row>
    <row r="37" spans="1:17" s="150" customFormat="1" ht="46.5" customHeight="1" x14ac:dyDescent="0.2">
      <c r="A37" s="219">
        <f>+A33+1</f>
        <v>18</v>
      </c>
      <c r="B37" s="220" t="s">
        <v>41</v>
      </c>
      <c r="C37" s="219" t="s">
        <v>346</v>
      </c>
      <c r="D37" s="226" t="s">
        <v>605</v>
      </c>
      <c r="E37" s="72" t="s">
        <v>101</v>
      </c>
      <c r="F37" s="221">
        <v>110000</v>
      </c>
      <c r="G37" s="222">
        <f>F37*2.87%</f>
        <v>3157</v>
      </c>
      <c r="H37" s="222">
        <f>+F37*3.04%</f>
        <v>3344</v>
      </c>
      <c r="I37" s="222">
        <v>0</v>
      </c>
      <c r="J37" s="221">
        <f>+G37+H37+I37</f>
        <v>6501</v>
      </c>
      <c r="K37" s="221">
        <f>+F37-J37</f>
        <v>103499</v>
      </c>
      <c r="L37" s="69">
        <f>+IF(K37*12&lt;=416220.01,0,IF(K37*12&lt;=624329.01,(((K37*12-416220.01)*0.15)/12),IF((K37*12&lt;=867123.01),(31216+0.2*(K37*12-624329.01))/12,((79776+0.25*(K37*12-867123.01))/12))))</f>
        <v>14457.687291666667</v>
      </c>
      <c r="M37" s="221"/>
      <c r="N37" s="227">
        <v>1330.29</v>
      </c>
      <c r="O37" s="221">
        <f>+N37+I37+H37+G37+L37</f>
        <v>22288.977291666666</v>
      </c>
      <c r="P37" s="223">
        <f>+F37-O37</f>
        <v>87711.02270833333</v>
      </c>
    </row>
    <row r="38" spans="1:17" s="149" customFormat="1" ht="35.1" customHeight="1" x14ac:dyDescent="0.2">
      <c r="A38" s="219">
        <f>+A37+1</f>
        <v>19</v>
      </c>
      <c r="B38" s="220" t="s">
        <v>207</v>
      </c>
      <c r="C38" s="219" t="s">
        <v>346</v>
      </c>
      <c r="D38" s="226" t="s">
        <v>605</v>
      </c>
      <c r="E38" s="72" t="s">
        <v>100</v>
      </c>
      <c r="F38" s="221">
        <v>95000</v>
      </c>
      <c r="G38" s="222">
        <f>F38*2.87%</f>
        <v>2726.5</v>
      </c>
      <c r="H38" s="222">
        <f>+F38*3.04%</f>
        <v>2888</v>
      </c>
      <c r="I38" s="222"/>
      <c r="J38" s="221">
        <f>+G38+H38+I38</f>
        <v>5614.5</v>
      </c>
      <c r="K38" s="221">
        <f>+F38-J38</f>
        <v>89385.5</v>
      </c>
      <c r="L38" s="69">
        <f>+IF(K38*12&lt;=416220.01,0,IF(K38*12&lt;=624329.01,(((K38*12-416220.01)*0.15)/12),IF((K38*12&lt;=867123.01),(31216+0.2*(K38*12-624329.01))/12,((79776+0.25*(K38*12-867123.01))/12))))</f>
        <v>10929.312291666667</v>
      </c>
      <c r="M38" s="221"/>
      <c r="N38" s="227">
        <v>225</v>
      </c>
      <c r="O38" s="221">
        <f>+N38+I38+H38+G38+L38</f>
        <v>16768.812291666669</v>
      </c>
      <c r="P38" s="223">
        <f>+F38-O38</f>
        <v>78231.187708333338</v>
      </c>
    </row>
    <row r="39" spans="1:17" s="242" customFormat="1" ht="35.1" customHeight="1" x14ac:dyDescent="0.2">
      <c r="A39" s="219">
        <f>+A38+1</f>
        <v>20</v>
      </c>
      <c r="B39" s="220" t="s">
        <v>373</v>
      </c>
      <c r="C39" s="219" t="s">
        <v>345</v>
      </c>
      <c r="D39" s="226" t="s">
        <v>598</v>
      </c>
      <c r="E39" s="72" t="s">
        <v>101</v>
      </c>
      <c r="F39" s="221">
        <v>85000</v>
      </c>
      <c r="G39" s="222">
        <f>F39*2.87%</f>
        <v>2439.5</v>
      </c>
      <c r="H39" s="222">
        <f>+F39*3.04%</f>
        <v>2584</v>
      </c>
      <c r="I39" s="222"/>
      <c r="J39" s="221">
        <f>+G39+H39+I39</f>
        <v>5023.5</v>
      </c>
      <c r="K39" s="221">
        <f>+F39-J39</f>
        <v>79976.5</v>
      </c>
      <c r="L39" s="69">
        <f>+IF(K39*12&lt;=416220.01,0,IF(K39*12&lt;=624329.01,(((K39*12-416220.01)*0.15)/12),IF((K39*12&lt;=867123.01),(31216+0.2*(K39*12-624329.01))/12,((79776+0.25*(K39*12-867123.01))/12))))</f>
        <v>8577.0622916666671</v>
      </c>
      <c r="M39" s="221"/>
      <c r="N39" s="227">
        <v>11511.38</v>
      </c>
      <c r="O39" s="221">
        <f>+N39+I39+H39+G39+L39</f>
        <v>25111.942291666666</v>
      </c>
      <c r="P39" s="223">
        <f>F39-O39</f>
        <v>59888.057708333334</v>
      </c>
    </row>
    <row r="40" spans="1:17" s="242" customFormat="1" ht="35.1" customHeight="1" x14ac:dyDescent="0.2">
      <c r="A40" s="219">
        <f>+A39+1</f>
        <v>21</v>
      </c>
      <c r="B40" s="220" t="s">
        <v>631</v>
      </c>
      <c r="C40" s="219" t="s">
        <v>346</v>
      </c>
      <c r="D40" s="226" t="s">
        <v>598</v>
      </c>
      <c r="E40" s="72" t="s">
        <v>101</v>
      </c>
      <c r="F40" s="221">
        <v>80000</v>
      </c>
      <c r="G40" s="222">
        <f>F40*2.87%</f>
        <v>2296</v>
      </c>
      <c r="H40" s="222">
        <f>+F40*3.04%</f>
        <v>2432</v>
      </c>
      <c r="I40" s="222"/>
      <c r="J40" s="221">
        <f>+G40+H40+I40</f>
        <v>4728</v>
      </c>
      <c r="K40" s="221">
        <f>+F40-J40</f>
        <v>75272</v>
      </c>
      <c r="L40" s="69">
        <f>+IF(K40*12&lt;=416220.01,0,IF(K40*12&lt;=624329.01,(((K40*12-416220.01)*0.15)/12),IF((K40*12&lt;=867123.01),(31216+0.2*(K40*12-624329.01))/12,((79776+0.25*(K40*12-867123.01))/12))))</f>
        <v>7400.9372916666662</v>
      </c>
      <c r="M40" s="221"/>
      <c r="N40" s="227">
        <v>1290.29</v>
      </c>
      <c r="O40" s="221">
        <f>+N40+I40+H40+G40+L40</f>
        <v>13419.227291666666</v>
      </c>
      <c r="P40" s="223">
        <f>F40-O40</f>
        <v>66580.77270833333</v>
      </c>
    </row>
    <row r="41" spans="1:17" s="247" customFormat="1" ht="35.1" customHeight="1" thickBot="1" x14ac:dyDescent="0.25">
      <c r="A41" s="229" t="s">
        <v>103</v>
      </c>
      <c r="B41" s="230"/>
      <c r="C41" s="230"/>
      <c r="D41" s="230"/>
      <c r="E41" s="246"/>
      <c r="F41" s="231">
        <f>SUM(F37:F40)</f>
        <v>370000</v>
      </c>
      <c r="G41" s="231">
        <f t="shared" ref="G41:P41" si="12">SUM(G37:G40)</f>
        <v>10619</v>
      </c>
      <c r="H41" s="231">
        <f t="shared" si="12"/>
        <v>11248</v>
      </c>
      <c r="I41" s="231">
        <f t="shared" si="12"/>
        <v>0</v>
      </c>
      <c r="J41" s="231">
        <f t="shared" si="12"/>
        <v>21867</v>
      </c>
      <c r="K41" s="231">
        <f t="shared" si="12"/>
        <v>348133</v>
      </c>
      <c r="L41" s="231">
        <f t="shared" si="12"/>
        <v>41364.999166666668</v>
      </c>
      <c r="M41" s="231">
        <f t="shared" si="12"/>
        <v>0</v>
      </c>
      <c r="N41" s="231">
        <f t="shared" si="12"/>
        <v>14356.96</v>
      </c>
      <c r="O41" s="231">
        <f t="shared" si="12"/>
        <v>77588.959166666667</v>
      </c>
      <c r="P41" s="231">
        <f t="shared" si="12"/>
        <v>292411.04083333333</v>
      </c>
      <c r="Q41" s="332"/>
    </row>
    <row r="42" spans="1:17" s="247" customFormat="1" ht="35.1" customHeight="1" thickBot="1" x14ac:dyDescent="0.25">
      <c r="A42" s="235" t="s">
        <v>129</v>
      </c>
      <c r="B42" s="236"/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</row>
    <row r="43" spans="1:17" s="149" customFormat="1" ht="49.5" customHeight="1" x14ac:dyDescent="0.2">
      <c r="A43" s="219">
        <f>+A40+1</f>
        <v>22</v>
      </c>
      <c r="B43" s="220" t="s">
        <v>223</v>
      </c>
      <c r="C43" s="219" t="s">
        <v>346</v>
      </c>
      <c r="D43" s="228" t="s">
        <v>585</v>
      </c>
      <c r="E43" s="72" t="s">
        <v>100</v>
      </c>
      <c r="F43" s="221">
        <v>155000</v>
      </c>
      <c r="G43" s="222">
        <v>4448.5</v>
      </c>
      <c r="H43" s="222">
        <v>4712</v>
      </c>
      <c r="I43" s="222"/>
      <c r="J43" s="221">
        <v>9160.5</v>
      </c>
      <c r="K43" s="221">
        <v>145839.5</v>
      </c>
      <c r="L43" s="69">
        <f>+IF(K43*12&lt;=416220.01,0,IF(K43*12&lt;=624329.01,(((K43*12-416220.01)*0.15)/12),IF((K43*12&lt;=867123.01),(31216+0.2*(K43*12-624329.01))/12,((79776+0.25*(K43*12-867123.01))/12))))</f>
        <v>25042.812291666665</v>
      </c>
      <c r="M43" s="221"/>
      <c r="N43" s="227">
        <v>1290.29</v>
      </c>
      <c r="O43" s="221">
        <f>+N43+I43+H43+G43+L43</f>
        <v>35493.60229166667</v>
      </c>
      <c r="P43" s="223">
        <f>+F43-O43</f>
        <v>119506.39770833333</v>
      </c>
    </row>
    <row r="44" spans="1:17" s="150" customFormat="1" ht="49.5" customHeight="1" x14ac:dyDescent="0.2">
      <c r="A44" s="219">
        <f>+A43+1</f>
        <v>23</v>
      </c>
      <c r="B44" s="220" t="s">
        <v>209</v>
      </c>
      <c r="C44" s="219" t="s">
        <v>346</v>
      </c>
      <c r="D44" s="228" t="s">
        <v>605</v>
      </c>
      <c r="E44" s="72" t="s">
        <v>101</v>
      </c>
      <c r="F44" s="221">
        <v>90000</v>
      </c>
      <c r="G44" s="222">
        <f>F44*2.87%</f>
        <v>2583</v>
      </c>
      <c r="H44" s="222">
        <f>+F44*3.04%</f>
        <v>2736</v>
      </c>
      <c r="I44" s="222"/>
      <c r="J44" s="221">
        <f>+G44+H44+I44</f>
        <v>5319</v>
      </c>
      <c r="K44" s="221">
        <f>+F44-J44</f>
        <v>84681</v>
      </c>
      <c r="L44" s="69">
        <f>+IF(K44*12&lt;=416220.01,0,IF(K44*12&lt;=624329.01,(((K44*12-416220.01)*0.15)/12),IF((K44*12&lt;=867123.01),(31216+0.2*(K44*12-624329.01))/12,((79776+0.25*(K44*12-867123.01))/12))))</f>
        <v>9753.1872916666671</v>
      </c>
      <c r="M44" s="221"/>
      <c r="N44" s="227">
        <v>17660.23</v>
      </c>
      <c r="O44" s="221">
        <f>+N44+I44+H44+G44+L44</f>
        <v>32732.417291666665</v>
      </c>
      <c r="P44" s="223">
        <f>+F44-O44</f>
        <v>57267.582708333335</v>
      </c>
    </row>
    <row r="45" spans="1:17" s="150" customFormat="1" ht="49.5" customHeight="1" x14ac:dyDescent="0.2">
      <c r="A45" s="219">
        <f>+A44+1</f>
        <v>24</v>
      </c>
      <c r="B45" s="220" t="s">
        <v>56</v>
      </c>
      <c r="C45" s="219" t="s">
        <v>345</v>
      </c>
      <c r="D45" s="228" t="s">
        <v>605</v>
      </c>
      <c r="E45" s="72" t="s">
        <v>100</v>
      </c>
      <c r="F45" s="221">
        <v>85000</v>
      </c>
      <c r="G45" s="222">
        <f>F45*2.87%</f>
        <v>2439.5</v>
      </c>
      <c r="H45" s="222">
        <f>+F45*3.04%</f>
        <v>2584</v>
      </c>
      <c r="I45" s="222">
        <v>1919.78</v>
      </c>
      <c r="J45" s="221">
        <f>+G45+H45+I45</f>
        <v>6943.28</v>
      </c>
      <c r="K45" s="221">
        <f>+F45-J45</f>
        <v>78056.72</v>
      </c>
      <c r="L45" s="69">
        <f>+IF(K45*12&lt;=416220.01,0,IF(K45*12&lt;=624329.01,(((K45*12-416220.01)*0.15)/12),IF((K45*12&lt;=867123.01),(31216+0.2*(K45*12-624329.01))/12,((79776+0.25*(K45*12-867123.01))/12))))</f>
        <v>8097.1172916666665</v>
      </c>
      <c r="M45" s="221"/>
      <c r="N45" s="227">
        <v>22904.48</v>
      </c>
      <c r="O45" s="221">
        <f>+N45+I45+H45+G45+L45</f>
        <v>37944.877291666664</v>
      </c>
      <c r="P45" s="223">
        <f>+F45-O45</f>
        <v>47055.122708333336</v>
      </c>
    </row>
    <row r="46" spans="1:17" s="150" customFormat="1" ht="49.5" customHeight="1" x14ac:dyDescent="0.2">
      <c r="A46" s="219">
        <f>+A45+1</f>
        <v>25</v>
      </c>
      <c r="B46" s="220" t="s">
        <v>210</v>
      </c>
      <c r="C46" s="219" t="s">
        <v>346</v>
      </c>
      <c r="D46" s="228" t="s">
        <v>605</v>
      </c>
      <c r="E46" s="72" t="s">
        <v>101</v>
      </c>
      <c r="F46" s="221">
        <v>85000</v>
      </c>
      <c r="G46" s="222">
        <f>F46*2.87%</f>
        <v>2439.5</v>
      </c>
      <c r="H46" s="222">
        <f>+F46*3.04%</f>
        <v>2584</v>
      </c>
      <c r="I46" s="222">
        <v>0</v>
      </c>
      <c r="J46" s="221">
        <f>+G46+H46+I46</f>
        <v>5023.5</v>
      </c>
      <c r="K46" s="221">
        <f>+F46-J46</f>
        <v>79976.5</v>
      </c>
      <c r="L46" s="69">
        <f>+IF(K46*12&lt;=416220.01,0,IF(K46*12&lt;=624329.01,(((K46*12-416220.01)*0.15)/12),IF((K46*12&lt;=867123.01),(31216+0.2*(K46*12-624329.01))/12,((79776+0.25*(K46*12-867123.01))/12))))</f>
        <v>8577.0622916666671</v>
      </c>
      <c r="M46" s="221"/>
      <c r="N46" s="227">
        <v>16998.05</v>
      </c>
      <c r="O46" s="221">
        <f>+N46+I46+H46+G46+L46</f>
        <v>30598.612291666665</v>
      </c>
      <c r="P46" s="223">
        <f>+F46-O46</f>
        <v>54401.387708333335</v>
      </c>
    </row>
    <row r="47" spans="1:17" s="225" customFormat="1" ht="35.1" customHeight="1" x14ac:dyDescent="0.2">
      <c r="A47" s="219">
        <f>+A46+1</f>
        <v>26</v>
      </c>
      <c r="B47" s="220" t="s">
        <v>45</v>
      </c>
      <c r="C47" s="219" t="s">
        <v>346</v>
      </c>
      <c r="D47" s="228" t="s">
        <v>605</v>
      </c>
      <c r="E47" s="72" t="s">
        <v>100</v>
      </c>
      <c r="F47" s="221">
        <v>85000</v>
      </c>
      <c r="G47" s="222">
        <f>F47*2.87%</f>
        <v>2439.5</v>
      </c>
      <c r="H47" s="222">
        <f>+F47*3.04%</f>
        <v>2584</v>
      </c>
      <c r="I47" s="222"/>
      <c r="J47" s="221">
        <f>+G47+H47+I47</f>
        <v>5023.5</v>
      </c>
      <c r="K47" s="221">
        <f>+F47-J47</f>
        <v>79976.5</v>
      </c>
      <c r="L47" s="69">
        <f>+IF(K47*12&lt;=416220.01,0,IF(K47*12&lt;=624329.01,(((K47*12-416220.01)*0.15)/12),IF((K47*12&lt;=867123.01),(31216+0.2*(K47*12-624329.01))/12,((79776+0.25*(K47*12-867123.01))/12))))</f>
        <v>8577.0622916666671</v>
      </c>
      <c r="M47" s="221"/>
      <c r="N47" s="227">
        <v>2370.29</v>
      </c>
      <c r="O47" s="221">
        <f>+N47+I47+H47+G47+L47</f>
        <v>15970.852291666666</v>
      </c>
      <c r="P47" s="223">
        <f>+F47-O47</f>
        <v>69029.14770833333</v>
      </c>
    </row>
    <row r="48" spans="1:17" s="149" customFormat="1" ht="35.1" customHeight="1" x14ac:dyDescent="0.2">
      <c r="A48" s="229" t="s">
        <v>103</v>
      </c>
      <c r="B48" s="230"/>
      <c r="C48" s="230"/>
      <c r="D48" s="230"/>
      <c r="E48" s="246"/>
      <c r="F48" s="231">
        <f t="shared" ref="F48:P48" si="13">SUM(F43:F47)</f>
        <v>500000</v>
      </c>
      <c r="G48" s="231">
        <f t="shared" si="13"/>
        <v>14350</v>
      </c>
      <c r="H48" s="231">
        <f t="shared" si="13"/>
        <v>15200</v>
      </c>
      <c r="I48" s="231">
        <f t="shared" si="13"/>
        <v>1919.78</v>
      </c>
      <c r="J48" s="231">
        <f t="shared" si="13"/>
        <v>31469.78</v>
      </c>
      <c r="K48" s="231">
        <f t="shared" si="13"/>
        <v>468530.22</v>
      </c>
      <c r="L48" s="231">
        <f t="shared" si="13"/>
        <v>60047.241458333338</v>
      </c>
      <c r="M48" s="231">
        <f t="shared" si="13"/>
        <v>0</v>
      </c>
      <c r="N48" s="231">
        <f t="shared" si="13"/>
        <v>61223.340000000004</v>
      </c>
      <c r="O48" s="231">
        <f t="shared" si="13"/>
        <v>152740.36145833333</v>
      </c>
      <c r="P48" s="231">
        <f t="shared" si="13"/>
        <v>347259.63854166667</v>
      </c>
      <c r="Q48" s="329"/>
    </row>
    <row r="49" spans="1:17" s="149" customFormat="1" ht="35.1" customHeight="1" thickBot="1" x14ac:dyDescent="0.25">
      <c r="A49" s="224"/>
      <c r="B49" s="224"/>
      <c r="C49" s="250"/>
      <c r="D49" s="224"/>
      <c r="E49" s="224"/>
      <c r="F49" s="224"/>
      <c r="G49" s="224"/>
      <c r="H49" s="224"/>
      <c r="I49" s="224"/>
      <c r="J49" s="224"/>
      <c r="K49" s="224"/>
      <c r="L49" s="224"/>
      <c r="M49" s="224"/>
      <c r="N49" s="224"/>
      <c r="O49" s="224"/>
      <c r="P49" s="224"/>
    </row>
    <row r="50" spans="1:17" s="247" customFormat="1" ht="35.1" customHeight="1" thickBot="1" x14ac:dyDescent="0.25">
      <c r="A50" s="235" t="s">
        <v>375</v>
      </c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</row>
    <row r="51" spans="1:17" s="149" customFormat="1" ht="35.1" customHeight="1" x14ac:dyDescent="0.2">
      <c r="A51" s="243">
        <f>+A47+1</f>
        <v>27</v>
      </c>
      <c r="B51" s="251" t="s">
        <v>44</v>
      </c>
      <c r="C51" s="243" t="s">
        <v>346</v>
      </c>
      <c r="D51" s="252" t="s">
        <v>154</v>
      </c>
      <c r="E51" s="244" t="s">
        <v>101</v>
      </c>
      <c r="F51" s="69">
        <v>126500</v>
      </c>
      <c r="G51" s="69">
        <v>3630.55</v>
      </c>
      <c r="H51" s="69">
        <v>3845.6</v>
      </c>
      <c r="I51" s="68">
        <v>1919.78</v>
      </c>
      <c r="J51" s="69">
        <f>+G51+H51+I51</f>
        <v>9395.93</v>
      </c>
      <c r="K51" s="69">
        <f>+F51-J51</f>
        <v>117104.07</v>
      </c>
      <c r="L51" s="69">
        <f>+IF(K51*12&lt;=416220.01,0,IF(K51*12&lt;=624329.01,(((K51*12-416220.01)*0.15)/12),IF((K51*12&lt;=867123.01),(31216+0.2*(K51*12-624329.01))/12,((79776+0.25*(K51*12-867123.01))/12))))</f>
        <v>17858.954791666667</v>
      </c>
      <c r="M51" s="69"/>
      <c r="N51" s="223">
        <v>225</v>
      </c>
      <c r="O51" s="221">
        <f>+N51+I51+H51+G51+L51</f>
        <v>27479.884791666667</v>
      </c>
      <c r="P51" s="223">
        <f>+F51-O51</f>
        <v>99020.115208333329</v>
      </c>
    </row>
    <row r="52" spans="1:17" s="149" customFormat="1" ht="35.1" customHeight="1" x14ac:dyDescent="0.2">
      <c r="A52" s="229" t="s">
        <v>103</v>
      </c>
      <c r="B52" s="230"/>
      <c r="C52" s="230"/>
      <c r="D52" s="230"/>
      <c r="E52" s="246"/>
      <c r="F52" s="231">
        <f t="shared" ref="F52:L52" si="14">SUM(F51)</f>
        <v>126500</v>
      </c>
      <c r="G52" s="231">
        <f t="shared" si="14"/>
        <v>3630.55</v>
      </c>
      <c r="H52" s="231">
        <f t="shared" si="14"/>
        <v>3845.6</v>
      </c>
      <c r="I52" s="231">
        <f t="shared" si="14"/>
        <v>1919.78</v>
      </c>
      <c r="J52" s="231">
        <f t="shared" si="14"/>
        <v>9395.93</v>
      </c>
      <c r="K52" s="231">
        <f t="shared" si="14"/>
        <v>117104.07</v>
      </c>
      <c r="L52" s="231">
        <f t="shared" si="14"/>
        <v>17858.954791666667</v>
      </c>
      <c r="M52" s="231"/>
      <c r="N52" s="231">
        <f>SUM(N51)</f>
        <v>225</v>
      </c>
      <c r="O52" s="231">
        <f>SUM(O51)</f>
        <v>27479.884791666667</v>
      </c>
      <c r="P52" s="231">
        <f>SUM(P51)</f>
        <v>99020.115208333329</v>
      </c>
      <c r="Q52" s="329"/>
    </row>
    <row r="53" spans="1:17" s="249" customFormat="1" ht="35.1" customHeight="1" thickBot="1" x14ac:dyDescent="0.25">
      <c r="A53" s="147"/>
      <c r="B53" s="147"/>
      <c r="C53" s="147"/>
      <c r="D53" s="147"/>
      <c r="E53" s="147"/>
      <c r="F53" s="224"/>
      <c r="G53" s="224"/>
      <c r="H53" s="224"/>
      <c r="I53" s="224"/>
      <c r="J53" s="224"/>
      <c r="K53" s="224"/>
      <c r="L53" s="224"/>
      <c r="M53" s="224"/>
      <c r="N53" s="224"/>
      <c r="O53" s="224"/>
      <c r="P53" s="224"/>
    </row>
    <row r="54" spans="1:17" s="249" customFormat="1" ht="35.1" customHeight="1" thickBot="1" x14ac:dyDescent="0.25">
      <c r="A54" s="361" t="s">
        <v>130</v>
      </c>
      <c r="B54" s="362"/>
      <c r="C54" s="253"/>
      <c r="D54" s="253"/>
      <c r="E54" s="253"/>
      <c r="F54" s="253"/>
      <c r="G54" s="253"/>
      <c r="H54" s="253"/>
      <c r="I54" s="253"/>
      <c r="J54" s="253"/>
      <c r="K54" s="253"/>
      <c r="L54" s="253"/>
      <c r="M54" s="253"/>
      <c r="N54" s="253"/>
      <c r="O54" s="253"/>
      <c r="P54" s="253"/>
    </row>
    <row r="55" spans="1:17" s="149" customFormat="1" ht="35.1" customHeight="1" x14ac:dyDescent="0.2">
      <c r="A55" s="241">
        <f>+A51+1</f>
        <v>28</v>
      </c>
      <c r="B55" s="72" t="s">
        <v>155</v>
      </c>
      <c r="C55" s="73" t="s">
        <v>346</v>
      </c>
      <c r="D55" s="239" t="s">
        <v>76</v>
      </c>
      <c r="E55" s="72" t="s">
        <v>101</v>
      </c>
      <c r="F55" s="222">
        <v>60000</v>
      </c>
      <c r="G55" s="68">
        <f>F55*2.87%</f>
        <v>1722</v>
      </c>
      <c r="H55" s="68">
        <f>+F55*3.04%</f>
        <v>1824</v>
      </c>
      <c r="I55" s="68">
        <v>1919.78</v>
      </c>
      <c r="J55" s="69">
        <f>+G55+H55+I55</f>
        <v>5465.78</v>
      </c>
      <c r="K55" s="69">
        <f>+F55-J55</f>
        <v>54534.22</v>
      </c>
      <c r="L55" s="69">
        <f>+IF(K55*12&lt;=416220.01,0,IF(K55*12&lt;=624329.01,(((K55*12-416220.01)*0.15)/12),IF((K55*12&lt;=867123.01),(31216+0.2*(K55*12-624329.01))/12,((79776+0.25*(K55*12-867123.01))/12))))</f>
        <v>3102.6938333333333</v>
      </c>
      <c r="M55" s="69"/>
      <c r="N55" s="68">
        <v>990.29</v>
      </c>
      <c r="O55" s="221">
        <f>+N55+I55+H55+G55+L55</f>
        <v>9558.7638333333325</v>
      </c>
      <c r="P55" s="84">
        <f>+F55-O55</f>
        <v>50441.236166666669</v>
      </c>
    </row>
    <row r="56" spans="1:17" s="149" customFormat="1" ht="35.1" customHeight="1" x14ac:dyDescent="0.2">
      <c r="A56" s="229" t="s">
        <v>103</v>
      </c>
      <c r="B56" s="230"/>
      <c r="C56" s="230"/>
      <c r="D56" s="230"/>
      <c r="E56" s="246"/>
      <c r="F56" s="231">
        <f t="shared" ref="F56:L56" si="15">SUM(F55:F55)</f>
        <v>60000</v>
      </c>
      <c r="G56" s="231">
        <f t="shared" si="15"/>
        <v>1722</v>
      </c>
      <c r="H56" s="231">
        <f t="shared" si="15"/>
        <v>1824</v>
      </c>
      <c r="I56" s="231">
        <f t="shared" si="15"/>
        <v>1919.78</v>
      </c>
      <c r="J56" s="231">
        <f t="shared" si="15"/>
        <v>5465.78</v>
      </c>
      <c r="K56" s="231">
        <f t="shared" si="15"/>
        <v>54534.22</v>
      </c>
      <c r="L56" s="231">
        <f t="shared" si="15"/>
        <v>3102.6938333333333</v>
      </c>
      <c r="M56" s="231"/>
      <c r="N56" s="231">
        <f>SUM(N55:N55)</f>
        <v>990.29</v>
      </c>
      <c r="O56" s="231">
        <f>SUM(O55:O55)</f>
        <v>9558.7638333333325</v>
      </c>
      <c r="P56" s="231">
        <f>SUM(P55:P55)</f>
        <v>50441.236166666669</v>
      </c>
      <c r="Q56" s="329"/>
    </row>
    <row r="57" spans="1:17" s="225" customFormat="1" ht="35.1" customHeight="1" thickBot="1" x14ac:dyDescent="0.25">
      <c r="A57" s="254"/>
      <c r="B57" s="254"/>
      <c r="C57" s="255"/>
      <c r="D57" s="254"/>
      <c r="E57" s="254"/>
      <c r="F57" s="254"/>
      <c r="G57" s="254"/>
      <c r="H57" s="254"/>
      <c r="I57" s="254"/>
      <c r="J57" s="254"/>
      <c r="K57" s="254"/>
      <c r="L57" s="254"/>
      <c r="M57" s="254"/>
      <c r="N57" s="254"/>
      <c r="O57" s="254"/>
      <c r="P57" s="254"/>
    </row>
    <row r="58" spans="1:17" s="225" customFormat="1" ht="35.1" customHeight="1" thickBot="1" x14ac:dyDescent="0.25">
      <c r="A58" s="361" t="s">
        <v>131</v>
      </c>
      <c r="B58" s="362"/>
      <c r="C58" s="253"/>
      <c r="D58" s="253"/>
      <c r="E58" s="253"/>
      <c r="F58" s="253"/>
      <c r="G58" s="253"/>
      <c r="H58" s="253"/>
      <c r="I58" s="253"/>
      <c r="J58" s="253"/>
      <c r="K58" s="253"/>
      <c r="L58" s="253"/>
      <c r="M58" s="253"/>
      <c r="N58" s="256"/>
      <c r="O58" s="253"/>
      <c r="P58" s="253"/>
    </row>
    <row r="59" spans="1:17" s="212" customFormat="1" ht="36.75" customHeight="1" x14ac:dyDescent="0.2">
      <c r="A59" s="219">
        <f>+A55+1</f>
        <v>29</v>
      </c>
      <c r="B59" s="220" t="s">
        <v>212</v>
      </c>
      <c r="C59" s="219" t="s">
        <v>346</v>
      </c>
      <c r="D59" s="228" t="s">
        <v>605</v>
      </c>
      <c r="E59" s="72" t="s">
        <v>101</v>
      </c>
      <c r="F59" s="221">
        <v>110000</v>
      </c>
      <c r="G59" s="221">
        <f>F59*2.87%</f>
        <v>3157</v>
      </c>
      <c r="H59" s="68">
        <f>+F59*3.04%</f>
        <v>3344</v>
      </c>
      <c r="I59" s="69">
        <f>1919.78*2</f>
        <v>3839.56</v>
      </c>
      <c r="J59" s="69">
        <f>+G59+H59+I59</f>
        <v>10340.56</v>
      </c>
      <c r="K59" s="69">
        <f>+F59-J59</f>
        <v>99659.44</v>
      </c>
      <c r="L59" s="69">
        <f>+IF(K59*12&lt;=416220.01,0,IF(K59*12&lt;=624329.01,(((K59*12-416220.01)*0.15)/12),IF((K59*12&lt;=867123.01),(31216+0.2*(K59*12-624329.01))/12,((79776+0.25*(K59*12-867123.01))/12))))</f>
        <v>13497.797291666668</v>
      </c>
      <c r="M59" s="69"/>
      <c r="N59" s="227">
        <v>4771.03</v>
      </c>
      <c r="O59" s="221">
        <f>+N59+I59+H59+G59+L59</f>
        <v>28609.387291666666</v>
      </c>
      <c r="P59" s="84">
        <f>+F59-O59</f>
        <v>81390.612708333327</v>
      </c>
    </row>
    <row r="60" spans="1:17" s="149" customFormat="1" ht="35.1" customHeight="1" x14ac:dyDescent="0.2">
      <c r="A60" s="219">
        <f>+A59+1</f>
        <v>30</v>
      </c>
      <c r="B60" s="220" t="s">
        <v>51</v>
      </c>
      <c r="C60" s="219" t="s">
        <v>345</v>
      </c>
      <c r="D60" s="257" t="s">
        <v>605</v>
      </c>
      <c r="E60" s="220" t="s">
        <v>101</v>
      </c>
      <c r="F60" s="69">
        <v>110000</v>
      </c>
      <c r="G60" s="222">
        <f>F60*2.87%</f>
        <v>3157</v>
      </c>
      <c r="H60" s="68">
        <f>+F60*3.04%</f>
        <v>3344</v>
      </c>
      <c r="I60" s="68"/>
      <c r="J60" s="69">
        <f>+G60+H60+I60</f>
        <v>6501</v>
      </c>
      <c r="K60" s="69">
        <f>+F60-J60</f>
        <v>103499</v>
      </c>
      <c r="L60" s="69">
        <f>+IF(K60*12&lt;=416220.01,0,IF(K60*12&lt;=624329.01,(((K60*12-416220.01)*0.15)/12),IF((K60*12&lt;=867123.01),(31216+0.2*(K60*12-624329.01))/12,((79776+0.25*(K60*12-867123.01))/12))))</f>
        <v>14457.687291666667</v>
      </c>
      <c r="M60" s="69"/>
      <c r="N60" s="240">
        <v>265</v>
      </c>
      <c r="O60" s="221">
        <f>+N60+I60+H60+G60+L60</f>
        <v>21223.687291666669</v>
      </c>
      <c r="P60" s="84">
        <f>+F60-O60</f>
        <v>88776.312708333338</v>
      </c>
    </row>
    <row r="61" spans="1:17" s="149" customFormat="1" ht="35.1" customHeight="1" x14ac:dyDescent="0.2">
      <c r="A61" s="219">
        <f>+A60+1</f>
        <v>31</v>
      </c>
      <c r="B61" s="226" t="s">
        <v>246</v>
      </c>
      <c r="C61" s="219" t="s">
        <v>346</v>
      </c>
      <c r="D61" s="257" t="s">
        <v>605</v>
      </c>
      <c r="E61" s="220" t="s">
        <v>100</v>
      </c>
      <c r="F61" s="69">
        <v>100000</v>
      </c>
      <c r="G61" s="222">
        <f>F61*2.87%</f>
        <v>2870</v>
      </c>
      <c r="H61" s="68">
        <f>+F61*3.04%</f>
        <v>3040</v>
      </c>
      <c r="I61" s="68"/>
      <c r="J61" s="69">
        <f>+G61+H61+I61</f>
        <v>5910</v>
      </c>
      <c r="K61" s="69">
        <f>+F61-J61</f>
        <v>94090</v>
      </c>
      <c r="L61" s="69">
        <f>+IF(K61*12&lt;=416220.01,0,IF(K61*12&lt;=624329.01,(((K61*12-416220.01)*0.15)/12),IF((K61*12&lt;=867123.01),(31216+0.2*(K61*12-624329.01))/12,((79776+0.25*(K61*12-867123.01))/12))))</f>
        <v>12105.437291666667</v>
      </c>
      <c r="M61" s="69"/>
      <c r="N61" s="227">
        <v>18204.63</v>
      </c>
      <c r="O61" s="221">
        <f>+N61+I61+H61+G61+L61</f>
        <v>36220.067291666666</v>
      </c>
      <c r="P61" s="84">
        <f>+F61-O61</f>
        <v>63779.932708333334</v>
      </c>
    </row>
    <row r="62" spans="1:17" s="149" customFormat="1" ht="35.1" customHeight="1" x14ac:dyDescent="0.2">
      <c r="A62" s="229" t="s">
        <v>103</v>
      </c>
      <c r="B62" s="230"/>
      <c r="C62" s="230"/>
      <c r="D62" s="230"/>
      <c r="E62" s="246"/>
      <c r="F62" s="231">
        <f t="shared" ref="F62:P62" si="16">SUM(F59:F61)</f>
        <v>320000</v>
      </c>
      <c r="G62" s="231">
        <f t="shared" si="16"/>
        <v>9184</v>
      </c>
      <c r="H62" s="231">
        <f t="shared" si="16"/>
        <v>9728</v>
      </c>
      <c r="I62" s="231">
        <f t="shared" si="16"/>
        <v>3839.56</v>
      </c>
      <c r="J62" s="231">
        <f t="shared" si="16"/>
        <v>22751.559999999998</v>
      </c>
      <c r="K62" s="231">
        <f t="shared" si="16"/>
        <v>297248.44</v>
      </c>
      <c r="L62" s="231">
        <f t="shared" si="16"/>
        <v>40060.921875</v>
      </c>
      <c r="M62" s="231">
        <f t="shared" si="16"/>
        <v>0</v>
      </c>
      <c r="N62" s="231">
        <f t="shared" si="16"/>
        <v>23240.66</v>
      </c>
      <c r="O62" s="231">
        <f t="shared" si="16"/>
        <v>86053.141875000001</v>
      </c>
      <c r="P62" s="231">
        <f t="shared" si="16"/>
        <v>233946.858125</v>
      </c>
      <c r="Q62" s="329"/>
    </row>
    <row r="63" spans="1:17" s="149" customFormat="1" ht="35.1" customHeight="1" thickBot="1" x14ac:dyDescent="0.25">
      <c r="A63" s="209"/>
      <c r="B63" s="148"/>
      <c r="C63" s="209"/>
      <c r="D63" s="234"/>
      <c r="E63" s="148"/>
    </row>
    <row r="64" spans="1:17" s="149" customFormat="1" ht="35.1" customHeight="1" thickBot="1" x14ac:dyDescent="0.25">
      <c r="A64" s="361" t="s">
        <v>158</v>
      </c>
      <c r="B64" s="362"/>
      <c r="C64" s="253"/>
      <c r="D64" s="253"/>
      <c r="E64" s="253"/>
      <c r="F64" s="253"/>
      <c r="G64" s="253"/>
      <c r="H64" s="253"/>
      <c r="I64" s="253"/>
      <c r="J64" s="253"/>
      <c r="K64" s="253"/>
      <c r="L64" s="253"/>
      <c r="M64" s="253"/>
      <c r="N64" s="253"/>
      <c r="O64" s="253"/>
      <c r="P64" s="258"/>
    </row>
    <row r="65" spans="1:17" s="212" customFormat="1" ht="35.1" customHeight="1" x14ac:dyDescent="0.2">
      <c r="A65" s="241">
        <f>+A61+1</f>
        <v>32</v>
      </c>
      <c r="B65" s="72" t="s">
        <v>217</v>
      </c>
      <c r="C65" s="73" t="s">
        <v>346</v>
      </c>
      <c r="D65" s="239" t="s">
        <v>605</v>
      </c>
      <c r="E65" s="72" t="s">
        <v>101</v>
      </c>
      <c r="F65" s="222">
        <v>104000</v>
      </c>
      <c r="G65" s="68">
        <f>F65*2.87%</f>
        <v>2984.8</v>
      </c>
      <c r="H65" s="68">
        <f>+F65*3.04%</f>
        <v>3161.6</v>
      </c>
      <c r="I65" s="68">
        <f>1919.78*2</f>
        <v>3839.56</v>
      </c>
      <c r="J65" s="69">
        <f>+G65+H65+I65</f>
        <v>9985.9599999999991</v>
      </c>
      <c r="K65" s="69">
        <f>+F65-J65</f>
        <v>94014.040000000008</v>
      </c>
      <c r="L65" s="69">
        <f>+IF(K65*12&lt;=416220.01,0,IF(K65*12&lt;=624329.01,(((K65*12-416220.01)*0.15)/12),IF((K65*12&lt;=867123.01),(31216+0.2*(K65*12-624329.01))/12,((79776+0.25*(K65*12-867123.01))/12))))</f>
        <v>12086.447291666665</v>
      </c>
      <c r="M65" s="69"/>
      <c r="N65" s="240">
        <v>17647.05</v>
      </c>
      <c r="O65" s="221">
        <f>+N65+I65+H65+G65+L65</f>
        <v>39719.457291666666</v>
      </c>
      <c r="P65" s="84">
        <f>+F65-O65</f>
        <v>64280.542708333334</v>
      </c>
    </row>
    <row r="66" spans="1:17" s="249" customFormat="1" ht="35.1" customHeight="1" x14ac:dyDescent="0.2">
      <c r="A66" s="219">
        <f>+A65+1</f>
        <v>33</v>
      </c>
      <c r="B66" s="72" t="s">
        <v>43</v>
      </c>
      <c r="C66" s="73" t="s">
        <v>345</v>
      </c>
      <c r="D66" s="239" t="s">
        <v>605</v>
      </c>
      <c r="E66" s="72" t="s">
        <v>100</v>
      </c>
      <c r="F66" s="222">
        <v>100000</v>
      </c>
      <c r="G66" s="222">
        <f>F66*2.87%</f>
        <v>2870</v>
      </c>
      <c r="H66" s="68">
        <f>+F66*3.04%</f>
        <v>3040</v>
      </c>
      <c r="I66" s="68">
        <v>1919.78</v>
      </c>
      <c r="J66" s="69">
        <f>+G66+H66+I66</f>
        <v>7829.78</v>
      </c>
      <c r="K66" s="69">
        <f>+F66-J66</f>
        <v>92170.22</v>
      </c>
      <c r="L66" s="69">
        <f>+IF(K66*12&lt;=416220.01,0,IF(K66*12&lt;=624329.01,(((K66*12-416220.01)*0.15)/12),IF((K66*12&lt;=867123.01),(31216+0.2*(K66*12-624329.01))/12,((79776+0.25*(K66*12-867123.01))/12))))</f>
        <v>11625.492291666669</v>
      </c>
      <c r="M66" s="69"/>
      <c r="N66" s="227">
        <v>5333.45</v>
      </c>
      <c r="O66" s="221">
        <f>+N66+I66+H66+G66+L66</f>
        <v>24788.722291666669</v>
      </c>
      <c r="P66" s="84">
        <f>+F66-O66</f>
        <v>75211.277708333335</v>
      </c>
    </row>
    <row r="67" spans="1:17" s="249" customFormat="1" ht="35.1" customHeight="1" x14ac:dyDescent="0.2">
      <c r="A67" s="219">
        <f>+A66+1</f>
        <v>34</v>
      </c>
      <c r="B67" s="72" t="s">
        <v>216</v>
      </c>
      <c r="C67" s="73" t="s">
        <v>345</v>
      </c>
      <c r="D67" s="239" t="s">
        <v>605</v>
      </c>
      <c r="E67" s="72" t="s">
        <v>100</v>
      </c>
      <c r="F67" s="222">
        <v>90000</v>
      </c>
      <c r="G67" s="222">
        <f>F67*2.87%</f>
        <v>2583</v>
      </c>
      <c r="H67" s="68">
        <f>+F67*3.04%</f>
        <v>2736</v>
      </c>
      <c r="I67" s="68">
        <f>1919.78*2</f>
        <v>3839.56</v>
      </c>
      <c r="J67" s="69">
        <f>+G67+H67+I67</f>
        <v>9158.56</v>
      </c>
      <c r="K67" s="69">
        <f>+F67-J67</f>
        <v>80841.440000000002</v>
      </c>
      <c r="L67" s="69">
        <f>+IF(K67*12&lt;=416220.01,0,IF(K67*12&lt;=624329.01,(((K67*12-416220.01)*0.15)/12),IF((K67*12&lt;=867123.01),(31216+0.2*(K67*12-624329.01))/12,((79776+0.25*(K67*12-867123.01))/12))))</f>
        <v>8793.2972916666677</v>
      </c>
      <c r="M67" s="69"/>
      <c r="N67" s="227">
        <v>5567.54</v>
      </c>
      <c r="O67" s="221">
        <f>+N67+I67+H67+G67+L67</f>
        <v>23519.397291666668</v>
      </c>
      <c r="P67" s="84">
        <f>+F67-O67</f>
        <v>66480.602708333332</v>
      </c>
    </row>
    <row r="68" spans="1:17" s="149" customFormat="1" ht="45.75" customHeight="1" thickBot="1" x14ac:dyDescent="0.25">
      <c r="A68" s="229" t="s">
        <v>103</v>
      </c>
      <c r="B68" s="230"/>
      <c r="C68" s="230"/>
      <c r="D68" s="230"/>
      <c r="E68" s="246"/>
      <c r="F68" s="231">
        <f t="shared" ref="F68:P68" si="17">SUM(F65:F67)</f>
        <v>294000</v>
      </c>
      <c r="G68" s="231">
        <f t="shared" si="17"/>
        <v>8437.7999999999993</v>
      </c>
      <c r="H68" s="231">
        <f t="shared" si="17"/>
        <v>8937.6</v>
      </c>
      <c r="I68" s="231">
        <f t="shared" si="17"/>
        <v>9598.9</v>
      </c>
      <c r="J68" s="231">
        <f t="shared" si="17"/>
        <v>26974.299999999996</v>
      </c>
      <c r="K68" s="231">
        <f t="shared" si="17"/>
        <v>267025.7</v>
      </c>
      <c r="L68" s="231">
        <f t="shared" si="17"/>
        <v>32505.236875000002</v>
      </c>
      <c r="M68" s="231">
        <f t="shared" si="17"/>
        <v>0</v>
      </c>
      <c r="N68" s="231">
        <f t="shared" si="17"/>
        <v>28548.04</v>
      </c>
      <c r="O68" s="231">
        <f t="shared" si="17"/>
        <v>88027.576874999999</v>
      </c>
      <c r="P68" s="231">
        <f t="shared" si="17"/>
        <v>205972.42312500003</v>
      </c>
      <c r="Q68" s="329"/>
    </row>
    <row r="69" spans="1:17" s="232" customFormat="1" ht="35.1" customHeight="1" thickBot="1" x14ac:dyDescent="0.25">
      <c r="A69" s="361" t="s">
        <v>132</v>
      </c>
      <c r="B69" s="362"/>
      <c r="C69" s="362"/>
      <c r="D69" s="253"/>
      <c r="E69" s="253"/>
      <c r="F69" s="253"/>
      <c r="G69" s="253"/>
      <c r="H69" s="253"/>
      <c r="I69" s="253"/>
      <c r="J69" s="253"/>
      <c r="K69" s="253"/>
      <c r="L69" s="253"/>
      <c r="M69" s="253"/>
      <c r="N69" s="256"/>
      <c r="O69" s="253"/>
      <c r="P69" s="253"/>
    </row>
    <row r="70" spans="1:17" s="149" customFormat="1" ht="35.1" customHeight="1" x14ac:dyDescent="0.2">
      <c r="A70" s="243">
        <f>+A67+1</f>
        <v>35</v>
      </c>
      <c r="B70" s="251" t="s">
        <v>50</v>
      </c>
      <c r="C70" s="243" t="s">
        <v>346</v>
      </c>
      <c r="D70" s="257" t="s">
        <v>159</v>
      </c>
      <c r="E70" s="244" t="s">
        <v>101</v>
      </c>
      <c r="F70" s="69">
        <v>138000</v>
      </c>
      <c r="G70" s="68">
        <f>F70*2.87%</f>
        <v>3960.6</v>
      </c>
      <c r="H70" s="68">
        <f>+F70*3.04%</f>
        <v>4195.2</v>
      </c>
      <c r="I70" s="69"/>
      <c r="J70" s="69">
        <f>+G70+H70+I70</f>
        <v>8155.7999999999993</v>
      </c>
      <c r="K70" s="69">
        <f>+F70-J70</f>
        <v>129844.2</v>
      </c>
      <c r="L70" s="69">
        <f>+IF(K70*12&lt;=416220.01,0,IF(K70*12&lt;=624329.01,(((K70*12-416220.01)*0.15)/12),IF((K70*12&lt;=867123.01),(31216+0.2*(K70*12-624329.01))/12,((79776+0.25*(K70*12-867123.01))/12))))</f>
        <v>21043.987291666665</v>
      </c>
      <c r="M70" s="69"/>
      <c r="N70" s="223">
        <v>36346.53</v>
      </c>
      <c r="O70" s="221">
        <f>+N70+I70+H70+G70+L70</f>
        <v>65546.317291666666</v>
      </c>
      <c r="P70" s="223">
        <f>+F70-O70</f>
        <v>72453.682708333334</v>
      </c>
    </row>
    <row r="71" spans="1:17" s="259" customFormat="1" ht="35.1" customHeight="1" x14ac:dyDescent="0.2">
      <c r="A71" s="241">
        <f>+A70+1</f>
        <v>36</v>
      </c>
      <c r="B71" s="72" t="s">
        <v>49</v>
      </c>
      <c r="C71" s="73" t="s">
        <v>346</v>
      </c>
      <c r="D71" s="239" t="s">
        <v>76</v>
      </c>
      <c r="E71" s="72" t="s">
        <v>100</v>
      </c>
      <c r="F71" s="222">
        <v>60000</v>
      </c>
      <c r="G71" s="222">
        <f>F71*2.87%</f>
        <v>1722</v>
      </c>
      <c r="H71" s="68">
        <f>+F71*3.04%</f>
        <v>1824</v>
      </c>
      <c r="I71" s="68"/>
      <c r="J71" s="69">
        <f>+G71+H71+I71</f>
        <v>3546</v>
      </c>
      <c r="K71" s="69">
        <f>+F71-J71</f>
        <v>56454</v>
      </c>
      <c r="L71" s="69">
        <f>+IF(K71*12&lt;=416220.01,0,IF(K71*12&lt;=624329.01,(((K71*12-416220.01)*0.15)/12),IF((K71*12&lt;=867123.01),(31216+0.2*(K71*12-624329.01))/12,((79776+0.25*(K71*12-867123.01))/12))))</f>
        <v>3486.6498333333329</v>
      </c>
      <c r="M71" s="69"/>
      <c r="N71" s="84">
        <v>1290.29</v>
      </c>
      <c r="O71" s="221">
        <f>+N71+I71+H71+G71+L71</f>
        <v>8322.9398333333338</v>
      </c>
      <c r="P71" s="84">
        <f>+F71-O71</f>
        <v>51677.060166666663</v>
      </c>
    </row>
    <row r="72" spans="1:17" s="225" customFormat="1" ht="35.1" customHeight="1" x14ac:dyDescent="0.2">
      <c r="A72" s="229" t="s">
        <v>103</v>
      </c>
      <c r="B72" s="230"/>
      <c r="C72" s="230"/>
      <c r="D72" s="230"/>
      <c r="E72" s="246"/>
      <c r="F72" s="231">
        <f t="shared" ref="F72:L72" si="18">SUM(F70:F71)</f>
        <v>198000</v>
      </c>
      <c r="G72" s="231">
        <f t="shared" si="18"/>
        <v>5682.6</v>
      </c>
      <c r="H72" s="231">
        <f t="shared" si="18"/>
        <v>6019.2</v>
      </c>
      <c r="I72" s="231">
        <f t="shared" si="18"/>
        <v>0</v>
      </c>
      <c r="J72" s="231">
        <f t="shared" si="18"/>
        <v>11701.8</v>
      </c>
      <c r="K72" s="231">
        <f t="shared" si="18"/>
        <v>186298.2</v>
      </c>
      <c r="L72" s="231">
        <f t="shared" si="18"/>
        <v>24530.637124999997</v>
      </c>
      <c r="M72" s="231"/>
      <c r="N72" s="231">
        <f>SUM(N70:N71)</f>
        <v>37636.82</v>
      </c>
      <c r="O72" s="231">
        <f>SUM(O70:O71)</f>
        <v>73869.257125000004</v>
      </c>
      <c r="P72" s="231">
        <f>SUM(P70:P71)</f>
        <v>124130.742875</v>
      </c>
      <c r="Q72" s="329"/>
    </row>
    <row r="73" spans="1:17" s="249" customFormat="1" ht="35.1" customHeight="1" thickBot="1" x14ac:dyDescent="0.25">
      <c r="A73" s="209"/>
      <c r="B73" s="148"/>
      <c r="C73" s="209"/>
      <c r="D73" s="148"/>
      <c r="E73" s="148"/>
      <c r="F73" s="149"/>
      <c r="G73" s="149"/>
      <c r="H73" s="149"/>
      <c r="I73" s="149"/>
      <c r="J73" s="149"/>
      <c r="K73" s="149"/>
      <c r="L73" s="149"/>
      <c r="M73" s="149"/>
      <c r="N73" s="149"/>
      <c r="O73" s="149"/>
      <c r="P73" s="149"/>
    </row>
    <row r="74" spans="1:17" s="224" customFormat="1" ht="35.1" customHeight="1" thickBot="1" x14ac:dyDescent="0.25">
      <c r="A74" s="361" t="s">
        <v>133</v>
      </c>
      <c r="B74" s="362"/>
      <c r="C74" s="362"/>
      <c r="D74" s="362"/>
      <c r="E74" s="253"/>
      <c r="F74" s="253"/>
      <c r="G74" s="253"/>
      <c r="H74" s="253"/>
      <c r="I74" s="253"/>
      <c r="J74" s="253"/>
      <c r="K74" s="253"/>
      <c r="L74" s="253"/>
      <c r="M74" s="253"/>
      <c r="N74" s="253"/>
      <c r="O74" s="253"/>
      <c r="P74" s="253"/>
    </row>
    <row r="75" spans="1:17" s="249" customFormat="1" ht="35.1" customHeight="1" x14ac:dyDescent="0.2">
      <c r="A75" s="241">
        <f>+A71+1</f>
        <v>37</v>
      </c>
      <c r="B75" s="72" t="s">
        <v>446</v>
      </c>
      <c r="C75" s="73" t="s">
        <v>346</v>
      </c>
      <c r="D75" s="239" t="s">
        <v>605</v>
      </c>
      <c r="E75" s="72" t="s">
        <v>484</v>
      </c>
      <c r="F75" s="222">
        <v>110000</v>
      </c>
      <c r="G75" s="69">
        <f>F75*2.87%</f>
        <v>3157</v>
      </c>
      <c r="H75" s="69">
        <f>+F75*3.04%</f>
        <v>3344</v>
      </c>
      <c r="I75" s="68">
        <v>1919.78</v>
      </c>
      <c r="J75" s="69">
        <f>+G75+H75+I75</f>
        <v>8420.7800000000007</v>
      </c>
      <c r="K75" s="69">
        <f>+F75-J75</f>
        <v>101579.22</v>
      </c>
      <c r="L75" s="69">
        <f>+IF(K75*12&lt;=416220.01,0,IF(K75*12&lt;=624329.01,(((K75*12-416220.01)*0.15)/12),IF((K75*12&lt;=867123.01),(31216+0.2*(K75*12-624329.01))/12,((79776+0.25*(K75*12-867123.01))/12))))</f>
        <v>13977.742291666669</v>
      </c>
      <c r="M75" s="69"/>
      <c r="N75" s="84">
        <v>25</v>
      </c>
      <c r="O75" s="221">
        <f>+N75+I75+H75+G75+L75</f>
        <v>22423.522291666668</v>
      </c>
      <c r="P75" s="84">
        <f>+F75-O75</f>
        <v>87576.477708333332</v>
      </c>
    </row>
    <row r="76" spans="1:17" s="225" customFormat="1" ht="35.1" customHeight="1" x14ac:dyDescent="0.2">
      <c r="A76" s="241">
        <f>+A75+1</f>
        <v>38</v>
      </c>
      <c r="B76" s="72" t="s">
        <v>238</v>
      </c>
      <c r="C76" s="73" t="s">
        <v>346</v>
      </c>
      <c r="D76" s="239" t="s">
        <v>605</v>
      </c>
      <c r="E76" s="72" t="s">
        <v>100</v>
      </c>
      <c r="F76" s="222">
        <v>90000</v>
      </c>
      <c r="G76" s="222">
        <f>F76*2.87%</f>
        <v>2583</v>
      </c>
      <c r="H76" s="68">
        <f>+F76*3.04%</f>
        <v>2736</v>
      </c>
      <c r="I76" s="68">
        <v>1919.78</v>
      </c>
      <c r="J76" s="69">
        <f>+G76+H76+I76</f>
        <v>7238.78</v>
      </c>
      <c r="K76" s="69">
        <f>+F76-J76</f>
        <v>82761.22</v>
      </c>
      <c r="L76" s="69">
        <f>+IF(K76*12&lt;=416220.01,0,IF(K76*12&lt;=624329.01,(((K76*12-416220.01)*0.15)/12),IF((K76*12&lt;=867123.01),(31216+0.2*(K76*12-624329.01))/12,((79776+0.25*(K76*12-867123.01))/12))))</f>
        <v>9273.2422916666674</v>
      </c>
      <c r="M76" s="69"/>
      <c r="N76" s="223">
        <v>6450.29</v>
      </c>
      <c r="O76" s="221">
        <f>+N76+I76+H76+G76+L76</f>
        <v>22962.312291666669</v>
      </c>
      <c r="P76" s="84">
        <f>+F76-O76</f>
        <v>67037.687708333338</v>
      </c>
    </row>
    <row r="77" spans="1:17" s="149" customFormat="1" ht="35.1" customHeight="1" x14ac:dyDescent="0.2">
      <c r="A77" s="241">
        <f>+A76+1</f>
        <v>39</v>
      </c>
      <c r="B77" s="72" t="s">
        <v>381</v>
      </c>
      <c r="C77" s="73" t="s">
        <v>345</v>
      </c>
      <c r="D77" s="239" t="s">
        <v>605</v>
      </c>
      <c r="E77" s="72" t="s">
        <v>484</v>
      </c>
      <c r="F77" s="222">
        <v>90000</v>
      </c>
      <c r="G77" s="69">
        <f>F77*2.87%</f>
        <v>2583</v>
      </c>
      <c r="H77" s="69">
        <f>+F77*3.04%</f>
        <v>2736</v>
      </c>
      <c r="I77" s="69"/>
      <c r="J77" s="69">
        <f>+G77+H77+I77</f>
        <v>5319</v>
      </c>
      <c r="K77" s="69">
        <f>+F77-J77</f>
        <v>84681</v>
      </c>
      <c r="L77" s="69">
        <f>+IF(K77*12&lt;=416220.01,0,IF(K77*12&lt;=624329.01,(((K77*12-416220.01)*0.15)/12),IF((K77*12&lt;=867123.01),(31216+0.2*(K77*12-624329.01))/12,((79776+0.25*(K77*12-867123.01))/12))))</f>
        <v>9753.1872916666671</v>
      </c>
      <c r="M77" s="69"/>
      <c r="N77" s="84">
        <v>1290.29</v>
      </c>
      <c r="O77" s="221">
        <f>+N77+I77+H77+G77+L77</f>
        <v>16362.477291666666</v>
      </c>
      <c r="P77" s="84">
        <f>+F77-O77</f>
        <v>73637.52270833333</v>
      </c>
    </row>
    <row r="78" spans="1:17" s="149" customFormat="1" ht="35.1" customHeight="1" x14ac:dyDescent="0.2">
      <c r="A78" s="241">
        <f>+A77+1</f>
        <v>40</v>
      </c>
      <c r="B78" s="72" t="s">
        <v>623</v>
      </c>
      <c r="C78" s="73" t="s">
        <v>346</v>
      </c>
      <c r="D78" s="239" t="s">
        <v>605</v>
      </c>
      <c r="E78" s="72" t="s">
        <v>484</v>
      </c>
      <c r="F78" s="222">
        <v>80000</v>
      </c>
      <c r="G78" s="69">
        <f>F78*2.87%</f>
        <v>2296</v>
      </c>
      <c r="H78" s="69">
        <f>+F78*3.04%</f>
        <v>2432</v>
      </c>
      <c r="I78" s="69"/>
      <c r="J78" s="69">
        <f>+G78+H78+I78</f>
        <v>4728</v>
      </c>
      <c r="K78" s="69">
        <f>+F78-J78</f>
        <v>75272</v>
      </c>
      <c r="L78" s="69">
        <f>+IF(K78*12&lt;=416220.01,0,IF(K78*12&lt;=624329.01,(((K78*12-416220.01)*0.15)/12),IF((K78*12&lt;=867123.01),(31216+0.2*(K78*12-624329.01))/12,((79776+0.25*(K78*12-867123.01))/12))))</f>
        <v>7400.9372916666662</v>
      </c>
      <c r="M78" s="69"/>
      <c r="N78" s="84">
        <v>225</v>
      </c>
      <c r="O78" s="221">
        <f>+N78+I78+H78+G78+L78</f>
        <v>12353.937291666665</v>
      </c>
      <c r="P78" s="84">
        <f>+F78-O78</f>
        <v>67646.062708333338</v>
      </c>
    </row>
    <row r="79" spans="1:17" s="149" customFormat="1" ht="35.1" customHeight="1" x14ac:dyDescent="0.2">
      <c r="A79" s="229" t="s">
        <v>103</v>
      </c>
      <c r="B79" s="230"/>
      <c r="C79" s="230"/>
      <c r="D79" s="230"/>
      <c r="E79" s="246"/>
      <c r="F79" s="231">
        <f>SUM(F75:F78)</f>
        <v>370000</v>
      </c>
      <c r="G79" s="231">
        <f t="shared" ref="G79:P79" si="19">SUM(G75:G78)</f>
        <v>10619</v>
      </c>
      <c r="H79" s="231">
        <f t="shared" si="19"/>
        <v>11248</v>
      </c>
      <c r="I79" s="231">
        <f t="shared" si="19"/>
        <v>3839.56</v>
      </c>
      <c r="J79" s="231">
        <f t="shared" si="19"/>
        <v>25706.560000000001</v>
      </c>
      <c r="K79" s="231">
        <f t="shared" si="19"/>
        <v>344293.44</v>
      </c>
      <c r="L79" s="231">
        <f t="shared" si="19"/>
        <v>40405.109166666676</v>
      </c>
      <c r="M79" s="231">
        <f t="shared" si="19"/>
        <v>0</v>
      </c>
      <c r="N79" s="231">
        <f t="shared" si="19"/>
        <v>7990.58</v>
      </c>
      <c r="O79" s="231">
        <f t="shared" si="19"/>
        <v>74102.249166666661</v>
      </c>
      <c r="P79" s="231">
        <f t="shared" si="19"/>
        <v>295897.75083333335</v>
      </c>
      <c r="Q79" s="329"/>
    </row>
    <row r="80" spans="1:17" s="225" customFormat="1" ht="35.1" customHeight="1" thickBot="1" x14ac:dyDescent="0.25">
      <c r="A80" s="209"/>
      <c r="B80" s="148"/>
      <c r="C80" s="209"/>
      <c r="D80" s="234"/>
      <c r="E80" s="148"/>
      <c r="F80" s="149"/>
      <c r="G80" s="149"/>
      <c r="H80" s="149"/>
      <c r="I80" s="149"/>
      <c r="J80" s="149"/>
      <c r="K80" s="149"/>
      <c r="L80" s="149"/>
      <c r="M80" s="149"/>
      <c r="N80" s="149"/>
      <c r="O80" s="149"/>
      <c r="P80" s="149"/>
    </row>
    <row r="81" spans="1:17" s="225" customFormat="1" ht="35.1" customHeight="1" thickBot="1" x14ac:dyDescent="0.25">
      <c r="A81" s="361" t="s">
        <v>134</v>
      </c>
      <c r="B81" s="362"/>
      <c r="C81" s="362"/>
      <c r="D81" s="362"/>
      <c r="E81" s="253"/>
      <c r="F81" s="253"/>
      <c r="G81" s="253"/>
      <c r="H81" s="253"/>
      <c r="I81" s="253"/>
      <c r="J81" s="253"/>
      <c r="K81" s="253"/>
      <c r="L81" s="253"/>
      <c r="M81" s="253"/>
      <c r="N81" s="253"/>
      <c r="O81" s="253"/>
      <c r="P81" s="253"/>
    </row>
    <row r="82" spans="1:17" s="149" customFormat="1" ht="35.1" customHeight="1" x14ac:dyDescent="0.2">
      <c r="A82" s="73">
        <f>+A78+1</f>
        <v>41</v>
      </c>
      <c r="B82" s="260" t="s">
        <v>135</v>
      </c>
      <c r="C82" s="261" t="s">
        <v>346</v>
      </c>
      <c r="D82" s="72" t="s">
        <v>605</v>
      </c>
      <c r="E82" s="72" t="s">
        <v>101</v>
      </c>
      <c r="F82" s="262">
        <v>100000</v>
      </c>
      <c r="G82" s="222">
        <f>F82*2.87%</f>
        <v>2870</v>
      </c>
      <c r="H82" s="222">
        <f>+F82*3.04%</f>
        <v>3040</v>
      </c>
      <c r="I82" s="222">
        <f>1919.78*2</f>
        <v>3839.56</v>
      </c>
      <c r="J82" s="222">
        <f>+G82+H82+I82</f>
        <v>9749.56</v>
      </c>
      <c r="K82" s="222">
        <f>+F82-J82</f>
        <v>90250.44</v>
      </c>
      <c r="L82" s="222">
        <f>+IF(K82*12&lt;=416220.01,0,IF(K82*12&lt;=624329.01,(((K82*12-416220.01)*0.15)/12),IF((K82*12&lt;=867123.01),(31216+0.2*(K82*12-624329.01))/12,((79776+0.25*(K82*12-867123.01))/12))))-M82</f>
        <v>11145.547291666668</v>
      </c>
      <c r="M82" s="222"/>
      <c r="N82" s="227">
        <v>4743.3599999999997</v>
      </c>
      <c r="O82" s="222">
        <f>+N82+I82+H82+G82+L82</f>
        <v>25638.467291666668</v>
      </c>
      <c r="P82" s="227">
        <f>+F82-O82</f>
        <v>74361.53270833334</v>
      </c>
    </row>
    <row r="83" spans="1:17" s="149" customFormat="1" ht="35.1" customHeight="1" x14ac:dyDescent="0.2">
      <c r="A83" s="73">
        <f>+A82+1</f>
        <v>42</v>
      </c>
      <c r="B83" s="260" t="s">
        <v>37</v>
      </c>
      <c r="C83" s="261" t="s">
        <v>346</v>
      </c>
      <c r="D83" s="72" t="s">
        <v>605</v>
      </c>
      <c r="E83" s="72" t="s">
        <v>101</v>
      </c>
      <c r="F83" s="262">
        <v>95000</v>
      </c>
      <c r="G83" s="222">
        <f>F83*2.87%</f>
        <v>2726.5</v>
      </c>
      <c r="H83" s="222">
        <f>+F83*3.04%</f>
        <v>2888</v>
      </c>
      <c r="I83" s="222"/>
      <c r="J83" s="222">
        <f>+G83+H83+I83</f>
        <v>5614.5</v>
      </c>
      <c r="K83" s="222">
        <f>+F83-J83</f>
        <v>89385.5</v>
      </c>
      <c r="L83" s="222">
        <f>+IF(K83*12&lt;=416220.01,0,IF(K83*12&lt;=624329.01,(((K83*12-416220.01)*0.15)/12),IF((K83*12&lt;=867123.01),(31216+0.2*(K83*12-624329.01))/12,((79776+0.25*(K83*12-867123.01))/12))))-M83</f>
        <v>10929.312291666667</v>
      </c>
      <c r="M83" s="222"/>
      <c r="N83" s="227">
        <v>225</v>
      </c>
      <c r="O83" s="222">
        <f>+N83+I83+H83+G83+L83</f>
        <v>16768.812291666669</v>
      </c>
      <c r="P83" s="227">
        <f>+F83-O83</f>
        <v>78231.187708333338</v>
      </c>
    </row>
    <row r="84" spans="1:17" s="149" customFormat="1" ht="35.1" customHeight="1" x14ac:dyDescent="0.2">
      <c r="A84" s="219">
        <f>+A83+1</f>
        <v>43</v>
      </c>
      <c r="B84" s="260" t="s">
        <v>63</v>
      </c>
      <c r="C84" s="261" t="s">
        <v>346</v>
      </c>
      <c r="D84" s="72" t="s">
        <v>605</v>
      </c>
      <c r="E84" s="72" t="s">
        <v>100</v>
      </c>
      <c r="F84" s="262">
        <v>90000</v>
      </c>
      <c r="G84" s="222">
        <f>F84*2.87%</f>
        <v>2583</v>
      </c>
      <c r="H84" s="222">
        <f>+F84*3.04%</f>
        <v>2736</v>
      </c>
      <c r="I84" s="222">
        <v>1919.78</v>
      </c>
      <c r="J84" s="221">
        <f>+G84+H84+I84</f>
        <v>7238.78</v>
      </c>
      <c r="K84" s="221">
        <f>+F84-J84</f>
        <v>82761.22</v>
      </c>
      <c r="L84" s="222">
        <f>+IF(K84*12&lt;=416220.01,0,IF(K84*12&lt;=624329.01,(((K84*12-416220.01)*0.15)/12),IF((K84*12&lt;=867123.01),(31216+0.2*(K84*12-624329.01))/12,((79776+0.25*(K84*12-867123.01))/12))))-M84</f>
        <v>9273.2422916666674</v>
      </c>
      <c r="M84" s="221"/>
      <c r="N84" s="227">
        <v>11013.52</v>
      </c>
      <c r="O84" s="221">
        <f>+N84+I84+H84+G84+L84</f>
        <v>27525.542291666672</v>
      </c>
      <c r="P84" s="223">
        <f>+F84-O84</f>
        <v>62474.457708333328</v>
      </c>
    </row>
    <row r="85" spans="1:17" s="149" customFormat="1" ht="35.1" customHeight="1" x14ac:dyDescent="0.2">
      <c r="A85" s="229" t="s">
        <v>103</v>
      </c>
      <c r="B85" s="230"/>
      <c r="C85" s="230"/>
      <c r="D85" s="230"/>
      <c r="E85" s="246"/>
      <c r="F85" s="231">
        <f t="shared" ref="F85:P85" si="20">SUM(F82:F84)</f>
        <v>285000</v>
      </c>
      <c r="G85" s="231">
        <f t="shared" si="20"/>
        <v>8179.5</v>
      </c>
      <c r="H85" s="231">
        <f t="shared" si="20"/>
        <v>8664</v>
      </c>
      <c r="I85" s="231">
        <f t="shared" si="20"/>
        <v>5759.34</v>
      </c>
      <c r="J85" s="231">
        <f t="shared" si="20"/>
        <v>22602.84</v>
      </c>
      <c r="K85" s="231">
        <f t="shared" si="20"/>
        <v>262397.16000000003</v>
      </c>
      <c r="L85" s="231">
        <f t="shared" si="20"/>
        <v>31348.101875</v>
      </c>
      <c r="M85" s="231">
        <f t="shared" si="20"/>
        <v>0</v>
      </c>
      <c r="N85" s="231">
        <f t="shared" si="20"/>
        <v>15981.880000000001</v>
      </c>
      <c r="O85" s="231">
        <f t="shared" si="20"/>
        <v>69932.821875000009</v>
      </c>
      <c r="P85" s="231">
        <f t="shared" si="20"/>
        <v>215067.17812500001</v>
      </c>
      <c r="Q85" s="329"/>
    </row>
    <row r="86" spans="1:17" s="149" customFormat="1" ht="35.1" customHeight="1" thickBot="1" x14ac:dyDescent="0.25">
      <c r="A86" s="209"/>
      <c r="B86" s="148"/>
      <c r="C86" s="209"/>
      <c r="D86" s="234"/>
      <c r="E86" s="148"/>
    </row>
    <row r="87" spans="1:17" s="149" customFormat="1" ht="35.1" customHeight="1" thickBot="1" x14ac:dyDescent="0.25">
      <c r="A87" s="356" t="s">
        <v>136</v>
      </c>
      <c r="B87" s="357"/>
      <c r="C87" s="357"/>
      <c r="D87" s="357"/>
      <c r="E87" s="253"/>
      <c r="F87" s="253"/>
      <c r="G87" s="253"/>
      <c r="H87" s="253"/>
      <c r="I87" s="253"/>
      <c r="J87" s="253"/>
      <c r="K87" s="253"/>
      <c r="L87" s="253"/>
      <c r="M87" s="253"/>
      <c r="N87" s="253"/>
      <c r="O87" s="253"/>
      <c r="P87" s="253"/>
    </row>
    <row r="88" spans="1:17" s="149" customFormat="1" ht="35.1" customHeight="1" x14ac:dyDescent="0.2">
      <c r="A88" s="241">
        <f>+A84+1</f>
        <v>44</v>
      </c>
      <c r="B88" s="244" t="s">
        <v>71</v>
      </c>
      <c r="C88" s="241" t="s">
        <v>346</v>
      </c>
      <c r="D88" s="257" t="s">
        <v>605</v>
      </c>
      <c r="E88" s="244" t="s">
        <v>101</v>
      </c>
      <c r="F88" s="68">
        <v>100000</v>
      </c>
      <c r="G88" s="222">
        <f>F88*2.87%</f>
        <v>2870</v>
      </c>
      <c r="H88" s="222">
        <f>+F88*3.04%</f>
        <v>3040</v>
      </c>
      <c r="I88" s="68">
        <v>0</v>
      </c>
      <c r="J88" s="69">
        <f>+G88+H88+I88</f>
        <v>5910</v>
      </c>
      <c r="K88" s="69">
        <f>+F88-J88</f>
        <v>94090</v>
      </c>
      <c r="L88" s="221">
        <f>+IF(K88*12&lt;=416220.01,0,IF(K88*12&lt;=624329.01,(((K88*12-416220.01)*0.15)/12),IF((K88*12&lt;=867123.01),(31216+0.2*(K88*12-624329.01))/12,((79776+0.25*(K88*12-867123.01))/12))))-M88</f>
        <v>12105.437291666667</v>
      </c>
      <c r="M88" s="221"/>
      <c r="N88" s="227">
        <v>12126.21</v>
      </c>
      <c r="O88" s="221">
        <f>+N88+I88+H88+G88+L88</f>
        <v>30141.647291666668</v>
      </c>
      <c r="P88" s="84">
        <f>+F88-O88</f>
        <v>69858.352708333332</v>
      </c>
    </row>
    <row r="89" spans="1:17" s="149" customFormat="1" ht="35.1" customHeight="1" x14ac:dyDescent="0.2">
      <c r="A89" s="241">
        <f>+A88+1</f>
        <v>45</v>
      </c>
      <c r="B89" s="244" t="s">
        <v>221</v>
      </c>
      <c r="C89" s="241" t="s">
        <v>346</v>
      </c>
      <c r="D89" s="257" t="s">
        <v>605</v>
      </c>
      <c r="E89" s="244" t="s">
        <v>100</v>
      </c>
      <c r="F89" s="68">
        <v>95000</v>
      </c>
      <c r="G89" s="222">
        <f>F89*2.87%</f>
        <v>2726.5</v>
      </c>
      <c r="H89" s="222">
        <f>+F89*3.04%</f>
        <v>2888</v>
      </c>
      <c r="I89" s="222"/>
      <c r="J89" s="69">
        <f>+G89+H89+I89</f>
        <v>5614.5</v>
      </c>
      <c r="K89" s="69">
        <f>+F89-J89</f>
        <v>89385.5</v>
      </c>
      <c r="L89" s="221">
        <f>+IF(K89*12&lt;=416220.01,0,IF(K89*12&lt;=624329.01,(((K89*12-416220.01)*0.15)/12),IF((K89*12&lt;=867123.01),(31216+0.2*(K89*12-624329.01))/12,((79776+0.25*(K89*12-867123.01))/12))))-M89</f>
        <v>10929.312291666667</v>
      </c>
      <c r="M89" s="221"/>
      <c r="N89" s="227">
        <v>9314.56</v>
      </c>
      <c r="O89" s="221">
        <f>+N89+I89+H89+G89+L89</f>
        <v>25858.372291666667</v>
      </c>
      <c r="P89" s="84">
        <f>+F89-O89</f>
        <v>69141.627708333341</v>
      </c>
    </row>
    <row r="90" spans="1:17" s="149" customFormat="1" ht="35.1" customHeight="1" x14ac:dyDescent="0.2">
      <c r="A90" s="241">
        <f>+A89+1</f>
        <v>46</v>
      </c>
      <c r="B90" s="244" t="s">
        <v>219</v>
      </c>
      <c r="C90" s="241" t="s">
        <v>346</v>
      </c>
      <c r="D90" s="257" t="s">
        <v>605</v>
      </c>
      <c r="E90" s="244" t="s">
        <v>100</v>
      </c>
      <c r="F90" s="68">
        <v>85000</v>
      </c>
      <c r="G90" s="68">
        <v>2439.5</v>
      </c>
      <c r="H90" s="68">
        <v>2584</v>
      </c>
      <c r="I90" s="68"/>
      <c r="J90" s="69">
        <f>+G90+H90+I90</f>
        <v>5023.5</v>
      </c>
      <c r="K90" s="69">
        <f>+F90-J90</f>
        <v>79976.5</v>
      </c>
      <c r="L90" s="221">
        <f>+IF(K90*12&lt;=416220.01,0,IF(K90*12&lt;=624329.01,(((K90*12-416220.01)*0.15)/12),IF((K90*12&lt;=867123.01),(31216+0.2*(K90*12-624329.01))/12,((79776+0.25*(K90*12-867123.01))/12))))-M90</f>
        <v>8577.0622916666671</v>
      </c>
      <c r="M90" s="221"/>
      <c r="N90" s="227">
        <v>1290.29</v>
      </c>
      <c r="O90" s="221">
        <f>+N90+I90+H90+G90+L90</f>
        <v>14890.852291666666</v>
      </c>
      <c r="P90" s="84">
        <f>+F90-O90</f>
        <v>70109.14770833333</v>
      </c>
    </row>
    <row r="91" spans="1:17" s="212" customFormat="1" ht="35.1" customHeight="1" x14ac:dyDescent="0.2">
      <c r="A91" s="229" t="s">
        <v>103</v>
      </c>
      <c r="B91" s="230"/>
      <c r="C91" s="230"/>
      <c r="D91" s="230"/>
      <c r="E91" s="246"/>
      <c r="F91" s="231">
        <f t="shared" ref="F91:P91" si="21">SUM(F88:F90)</f>
        <v>280000</v>
      </c>
      <c r="G91" s="231">
        <f t="shared" si="21"/>
        <v>8036</v>
      </c>
      <c r="H91" s="231">
        <f t="shared" si="21"/>
        <v>8512</v>
      </c>
      <c r="I91" s="231">
        <f t="shared" si="21"/>
        <v>0</v>
      </c>
      <c r="J91" s="231">
        <f t="shared" si="21"/>
        <v>16548</v>
      </c>
      <c r="K91" s="231">
        <f t="shared" si="21"/>
        <v>263452</v>
      </c>
      <c r="L91" s="231">
        <f t="shared" si="21"/>
        <v>31611.811874999999</v>
      </c>
      <c r="M91" s="231">
        <f t="shared" si="21"/>
        <v>0</v>
      </c>
      <c r="N91" s="231">
        <f t="shared" si="21"/>
        <v>22731.059999999998</v>
      </c>
      <c r="O91" s="231">
        <f t="shared" si="21"/>
        <v>70890.871874999997</v>
      </c>
      <c r="P91" s="231">
        <f t="shared" si="21"/>
        <v>209109.12812499999</v>
      </c>
      <c r="Q91" s="331"/>
    </row>
    <row r="92" spans="1:17" s="225" customFormat="1" ht="35.1" customHeight="1" thickBot="1" x14ac:dyDescent="0.25">
      <c r="A92" s="209"/>
      <c r="B92" s="148"/>
      <c r="C92" s="209"/>
      <c r="D92" s="148"/>
      <c r="E92" s="148"/>
      <c r="F92" s="149"/>
      <c r="G92" s="150"/>
      <c r="H92" s="150"/>
      <c r="I92" s="150"/>
      <c r="J92" s="150"/>
      <c r="K92" s="150"/>
      <c r="L92" s="150"/>
      <c r="M92" s="150"/>
      <c r="N92" s="150"/>
      <c r="O92" s="150"/>
      <c r="P92" s="150"/>
    </row>
    <row r="93" spans="1:17" s="225" customFormat="1" ht="35.1" customHeight="1" thickBot="1" x14ac:dyDescent="0.25">
      <c r="A93" s="354" t="s">
        <v>138</v>
      </c>
      <c r="B93" s="355"/>
      <c r="C93" s="355"/>
      <c r="D93" s="355"/>
      <c r="E93" s="355"/>
      <c r="F93" s="253"/>
      <c r="G93" s="253"/>
      <c r="H93" s="253"/>
      <c r="I93" s="253"/>
      <c r="J93" s="253"/>
      <c r="K93" s="253"/>
      <c r="L93" s="253"/>
      <c r="M93" s="253"/>
      <c r="N93" s="253"/>
      <c r="O93" s="253"/>
      <c r="P93" s="253"/>
    </row>
    <row r="94" spans="1:17" s="149" customFormat="1" ht="35.1" customHeight="1" x14ac:dyDescent="0.2">
      <c r="A94" s="243">
        <f>+A90+1</f>
        <v>47</v>
      </c>
      <c r="B94" s="251" t="s">
        <v>53</v>
      </c>
      <c r="C94" s="243" t="s">
        <v>346</v>
      </c>
      <c r="D94" s="263" t="s">
        <v>161</v>
      </c>
      <c r="E94" s="244" t="s">
        <v>101</v>
      </c>
      <c r="F94" s="69">
        <v>155250</v>
      </c>
      <c r="G94" s="69">
        <v>4455.6750000000002</v>
      </c>
      <c r="H94" s="68">
        <f>+F94*3.04%</f>
        <v>4719.6000000000004</v>
      </c>
      <c r="I94" s="222">
        <v>0</v>
      </c>
      <c r="J94" s="69">
        <f>+G94+H94+I94</f>
        <v>9175.2750000000015</v>
      </c>
      <c r="K94" s="69">
        <f>+F94-J94</f>
        <v>146074.72500000001</v>
      </c>
      <c r="L94" s="221">
        <f>+IF(K94*12&lt;=416220.01,0,IF(K94*12&lt;=624329.01,(((K94*12-416220.01)*0.15)/12),IF((K94*12&lt;=867123.01),(31216+0.2*(K94*12-624329.01))/12,((79776+0.25*(K94*12-867123.01))/12))))-M94</f>
        <v>25101.61854166667</v>
      </c>
      <c r="M94" s="69"/>
      <c r="N94" s="240">
        <v>10290.290000000001</v>
      </c>
      <c r="O94" s="221">
        <f>+N94+I94+H94+G94+L94</f>
        <v>44567.183541666673</v>
      </c>
      <c r="P94" s="84">
        <f>+F94-O94</f>
        <v>110682.81645833333</v>
      </c>
    </row>
    <row r="95" spans="1:17" s="149" customFormat="1" ht="35.1" customHeight="1" x14ac:dyDescent="0.2">
      <c r="A95" s="229" t="s">
        <v>103</v>
      </c>
      <c r="B95" s="230"/>
      <c r="C95" s="230"/>
      <c r="D95" s="230"/>
      <c r="E95" s="246"/>
      <c r="F95" s="231">
        <f t="shared" ref="F95:L95" si="22">SUM(F94:F94)</f>
        <v>155250</v>
      </c>
      <c r="G95" s="231">
        <f t="shared" si="22"/>
        <v>4455.6750000000002</v>
      </c>
      <c r="H95" s="231">
        <f t="shared" si="22"/>
        <v>4719.6000000000004</v>
      </c>
      <c r="I95" s="231">
        <f t="shared" si="22"/>
        <v>0</v>
      </c>
      <c r="J95" s="231">
        <f t="shared" si="22"/>
        <v>9175.2750000000015</v>
      </c>
      <c r="K95" s="231">
        <f t="shared" si="22"/>
        <v>146074.72500000001</v>
      </c>
      <c r="L95" s="231">
        <f t="shared" si="22"/>
        <v>25101.61854166667</v>
      </c>
      <c r="M95" s="231"/>
      <c r="N95" s="231">
        <f>SUM(N94:N94)</f>
        <v>10290.290000000001</v>
      </c>
      <c r="O95" s="231">
        <f>SUM(O94:O94)</f>
        <v>44567.183541666673</v>
      </c>
      <c r="P95" s="231">
        <f>SUM(P94:P94)</f>
        <v>110682.81645833333</v>
      </c>
      <c r="Q95" s="329"/>
    </row>
    <row r="96" spans="1:17" s="149" customFormat="1" ht="35.1" customHeight="1" thickBot="1" x14ac:dyDescent="0.25">
      <c r="A96" s="224"/>
      <c r="B96" s="224"/>
      <c r="C96" s="250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</row>
    <row r="97" spans="1:17" s="259" customFormat="1" ht="35.1" customHeight="1" thickBot="1" x14ac:dyDescent="0.25">
      <c r="A97" s="354" t="s">
        <v>140</v>
      </c>
      <c r="B97" s="355"/>
      <c r="C97" s="355"/>
      <c r="D97" s="355"/>
      <c r="E97" s="355"/>
      <c r="F97" s="253"/>
      <c r="G97" s="253"/>
      <c r="H97" s="253"/>
      <c r="I97" s="253"/>
      <c r="J97" s="253"/>
      <c r="K97" s="253"/>
      <c r="L97" s="253"/>
      <c r="M97" s="253"/>
      <c r="N97" s="253"/>
      <c r="O97" s="253"/>
      <c r="P97" s="253"/>
    </row>
    <row r="98" spans="1:17" s="225" customFormat="1" ht="35.1" customHeight="1" x14ac:dyDescent="0.2">
      <c r="A98" s="219">
        <f>+A94+1</f>
        <v>48</v>
      </c>
      <c r="B98" s="220" t="s">
        <v>222</v>
      </c>
      <c r="C98" s="219" t="s">
        <v>345</v>
      </c>
      <c r="D98" s="228" t="s">
        <v>605</v>
      </c>
      <c r="E98" s="220" t="s">
        <v>100</v>
      </c>
      <c r="F98" s="221">
        <v>100000</v>
      </c>
      <c r="G98" s="68">
        <f>F98*2.87%</f>
        <v>2870</v>
      </c>
      <c r="H98" s="222">
        <f>+F98*3.04%</f>
        <v>3040</v>
      </c>
      <c r="I98" s="222"/>
      <c r="J98" s="221">
        <f>+G98+H98+I98</f>
        <v>5910</v>
      </c>
      <c r="K98" s="221">
        <f>+F98-J98</f>
        <v>94090</v>
      </c>
      <c r="L98" s="221">
        <f>+IF(K98*12&lt;=416220.01,0,IF(K98*12&lt;=624329.01,(((K98*12-416220.01)*0.15)/12),IF((K98*12&lt;=867123.01),(31216+0.2*(K98*12-624329.01))/12,((79776+0.25*(K98*12-867123.01))/12))))-M98</f>
        <v>12105.437291666667</v>
      </c>
      <c r="M98" s="221"/>
      <c r="N98" s="227">
        <v>8763.9500000000007</v>
      </c>
      <c r="O98" s="221">
        <f>+N98+I98+H98+G98+L98</f>
        <v>26779.387291666666</v>
      </c>
      <c r="P98" s="223">
        <f>+F98-O98</f>
        <v>73220.612708333327</v>
      </c>
    </row>
    <row r="99" spans="1:17" s="149" customFormat="1" ht="35.1" customHeight="1" x14ac:dyDescent="0.2">
      <c r="A99" s="219">
        <f>+A98+1</f>
        <v>49</v>
      </c>
      <c r="B99" s="220" t="s">
        <v>224</v>
      </c>
      <c r="C99" s="219" t="s">
        <v>346</v>
      </c>
      <c r="D99" s="228" t="s">
        <v>605</v>
      </c>
      <c r="E99" s="220" t="s">
        <v>100</v>
      </c>
      <c r="F99" s="221">
        <v>95000</v>
      </c>
      <c r="G99" s="222">
        <f>F99*2.87%</f>
        <v>2726.5</v>
      </c>
      <c r="H99" s="222">
        <f>+F99*3.04%</f>
        <v>2888</v>
      </c>
      <c r="I99" s="222"/>
      <c r="J99" s="221">
        <f>+G99+H99+I99</f>
        <v>5614.5</v>
      </c>
      <c r="K99" s="221">
        <f>+F99-J99</f>
        <v>89385.5</v>
      </c>
      <c r="L99" s="221">
        <f>+IF(K99*12&lt;=416220.01,0,IF(K99*12&lt;=624329.01,(((K99*12-416220.01)*0.15)/12),IF((K99*12&lt;=867123.01),(31216+0.2*(K99*12-624329.01))/12,((79776+0.25*(K99*12-867123.01))/12))))-M99</f>
        <v>10929.312291666667</v>
      </c>
      <c r="M99" s="221"/>
      <c r="N99" s="227">
        <v>225</v>
      </c>
      <c r="O99" s="221">
        <f>+N99+I99+H99+G99+L99</f>
        <v>16768.812291666669</v>
      </c>
      <c r="P99" s="223">
        <f>+F99-O99</f>
        <v>78231.187708333338</v>
      </c>
    </row>
    <row r="100" spans="1:17" ht="35.1" customHeight="1" x14ac:dyDescent="0.2">
      <c r="A100" s="219">
        <f>+A99+1</f>
        <v>50</v>
      </c>
      <c r="B100" s="220" t="s">
        <v>117</v>
      </c>
      <c r="C100" s="219" t="s">
        <v>346</v>
      </c>
      <c r="D100" s="228" t="s">
        <v>605</v>
      </c>
      <c r="E100" s="220" t="s">
        <v>100</v>
      </c>
      <c r="F100" s="221">
        <v>90000</v>
      </c>
      <c r="G100" s="222">
        <f>F100*2.87%</f>
        <v>2583</v>
      </c>
      <c r="H100" s="222">
        <f>+F100*3.04%</f>
        <v>2736</v>
      </c>
      <c r="I100" s="222"/>
      <c r="J100" s="221">
        <f>+G100+H100+I100</f>
        <v>5319</v>
      </c>
      <c r="K100" s="221">
        <f>+F100-J100</f>
        <v>84681</v>
      </c>
      <c r="L100" s="221">
        <f>+IF(K100*12&lt;=416220.01,0,IF(K100*12&lt;=624329.01,(((K100*12-416220.01)*0.15)/12),IF((K100*12&lt;=867123.01),(31216+0.2*(K100*12-624329.01))/12,((79776+0.25*(K100*12-867123.01))/12))))-M100</f>
        <v>9753.1872916666671</v>
      </c>
      <c r="M100" s="221"/>
      <c r="N100" s="240">
        <v>225</v>
      </c>
      <c r="O100" s="221">
        <f>+N100+I100+H100+G100+L100</f>
        <v>15297.187291666667</v>
      </c>
      <c r="P100" s="223">
        <f>+F100-O100</f>
        <v>74702.812708333338</v>
      </c>
    </row>
    <row r="101" spans="1:17" s="149" customFormat="1" ht="35.1" customHeight="1" x14ac:dyDescent="0.2">
      <c r="A101" s="219">
        <f>+A100+1</f>
        <v>51</v>
      </c>
      <c r="B101" s="72" t="s">
        <v>38</v>
      </c>
      <c r="C101" s="73" t="s">
        <v>346</v>
      </c>
      <c r="D101" s="72" t="s">
        <v>605</v>
      </c>
      <c r="E101" s="72" t="s">
        <v>169</v>
      </c>
      <c r="F101" s="222">
        <v>90000</v>
      </c>
      <c r="G101" s="68">
        <f>+F101*2.87%</f>
        <v>2583</v>
      </c>
      <c r="H101" s="68">
        <f>+F101*3.04%</f>
        <v>2736</v>
      </c>
      <c r="I101" s="68"/>
      <c r="J101" s="69">
        <f>+G101+H101+I101</f>
        <v>5319</v>
      </c>
      <c r="K101" s="69">
        <f>+F101-J101</f>
        <v>84681</v>
      </c>
      <c r="L101" s="221">
        <f>+IF(K101*12&lt;=416220.01,0,IF(K101*12&lt;=624329.01,(((K101*12-416220.01)*0.15)/12),IF((K101*12&lt;=867123.01),(31216+0.2*(K101*12-624329.01))/12,((79776+0.25*(K101*12-867123.01))/12))))-M101</f>
        <v>9753.1872916666671</v>
      </c>
      <c r="M101" s="69"/>
      <c r="N101" s="227">
        <v>225</v>
      </c>
      <c r="O101" s="221">
        <f>+N101+I101+H101+G101+L101</f>
        <v>15297.187291666667</v>
      </c>
      <c r="P101" s="240">
        <f>+F101-O101</f>
        <v>74702.812708333338</v>
      </c>
    </row>
    <row r="102" spans="1:17" s="149" customFormat="1" ht="35.1" customHeight="1" x14ac:dyDescent="0.2">
      <c r="A102" s="219">
        <f>+A101+1</f>
        <v>52</v>
      </c>
      <c r="B102" s="72" t="s">
        <v>624</v>
      </c>
      <c r="C102" s="310" t="s">
        <v>345</v>
      </c>
      <c r="D102" s="72" t="s">
        <v>605</v>
      </c>
      <c r="E102" s="270" t="s">
        <v>101</v>
      </c>
      <c r="F102" s="222">
        <v>80000</v>
      </c>
      <c r="G102" s="68">
        <f>+F102*2.87%</f>
        <v>2296</v>
      </c>
      <c r="H102" s="68">
        <f>+F102*3.04%</f>
        <v>2432</v>
      </c>
      <c r="I102" s="68"/>
      <c r="J102" s="69">
        <f>+G102+H102+I102</f>
        <v>4728</v>
      </c>
      <c r="K102" s="69">
        <f>+F102-J102</f>
        <v>75272</v>
      </c>
      <c r="L102" s="221">
        <f>+IF(K102*12&lt;=416220.01,0,IF(K102*12&lt;=624329.01,(((K102*12-416220.01)*0.15)/12),IF((K102*12&lt;=867123.01),(31216+0.2*(K102*12-624329.01))/12,((79776+0.25*(K102*12-867123.01))/12))))-M102</f>
        <v>7400.9372916666662</v>
      </c>
      <c r="M102" s="69"/>
      <c r="N102" s="227">
        <v>2845.5</v>
      </c>
      <c r="O102" s="221">
        <f>+N102+I102+H102+G102+L102</f>
        <v>14974.437291666665</v>
      </c>
      <c r="P102" s="240">
        <f>+F102-O102</f>
        <v>65025.562708333338</v>
      </c>
    </row>
    <row r="103" spans="1:17" s="225" customFormat="1" ht="35.1" customHeight="1" x14ac:dyDescent="0.2">
      <c r="A103" s="73"/>
      <c r="B103" s="264"/>
      <c r="C103" s="265"/>
      <c r="D103" s="229" t="s">
        <v>103</v>
      </c>
      <c r="E103" s="246"/>
      <c r="F103" s="231">
        <f>SUM(F98:F102)</f>
        <v>455000</v>
      </c>
      <c r="G103" s="231">
        <f t="shared" ref="G103:M103" si="23">SUM(G98:G101)</f>
        <v>10762.5</v>
      </c>
      <c r="H103" s="231">
        <f>SUM(H98:H102)</f>
        <v>13832</v>
      </c>
      <c r="I103" s="231">
        <f t="shared" si="23"/>
        <v>0</v>
      </c>
      <c r="J103" s="231">
        <f t="shared" si="23"/>
        <v>22162.5</v>
      </c>
      <c r="K103" s="231">
        <f t="shared" si="23"/>
        <v>352837.5</v>
      </c>
      <c r="L103" s="231">
        <f t="shared" si="23"/>
        <v>42541.124166666668</v>
      </c>
      <c r="M103" s="231">
        <f t="shared" si="23"/>
        <v>0</v>
      </c>
      <c r="N103" s="231">
        <f>SUM(N98:N102)</f>
        <v>12284.45</v>
      </c>
      <c r="O103" s="231">
        <f>SUM(O98:O102)</f>
        <v>89117.011458333334</v>
      </c>
      <c r="P103" s="231">
        <f>SUM(P98:P102)</f>
        <v>365882.98854166665</v>
      </c>
      <c r="Q103" s="329"/>
    </row>
    <row r="104" spans="1:17" s="225" customFormat="1" ht="35.1" customHeight="1" thickBot="1" x14ac:dyDescent="0.25">
      <c r="A104" s="209"/>
      <c r="B104" s="148"/>
      <c r="C104" s="209"/>
      <c r="D104" s="234"/>
      <c r="E104" s="148"/>
      <c r="F104" s="149"/>
      <c r="G104" s="149"/>
      <c r="H104" s="149"/>
      <c r="I104" s="149"/>
      <c r="J104" s="149"/>
      <c r="K104" s="149"/>
      <c r="L104" s="149"/>
      <c r="M104" s="149"/>
      <c r="N104" s="149"/>
      <c r="O104" s="149"/>
      <c r="P104" s="149"/>
    </row>
    <row r="105" spans="1:17" s="149" customFormat="1" ht="35.1" customHeight="1" thickBot="1" x14ac:dyDescent="0.25">
      <c r="A105" s="354" t="s">
        <v>141</v>
      </c>
      <c r="B105" s="355"/>
      <c r="C105" s="355"/>
      <c r="D105" s="355"/>
      <c r="E105" s="355"/>
      <c r="F105" s="253"/>
      <c r="G105" s="253"/>
      <c r="H105" s="253"/>
      <c r="I105" s="253"/>
      <c r="J105" s="253"/>
      <c r="K105" s="253"/>
      <c r="L105" s="253"/>
      <c r="M105" s="253"/>
      <c r="N105" s="253"/>
      <c r="O105" s="253"/>
      <c r="P105" s="253"/>
    </row>
    <row r="106" spans="1:17" s="225" customFormat="1" ht="35.1" customHeight="1" x14ac:dyDescent="0.2">
      <c r="A106" s="241">
        <f>+A102+1</f>
        <v>53</v>
      </c>
      <c r="B106" s="72" t="s">
        <v>478</v>
      </c>
      <c r="C106" s="73" t="s">
        <v>345</v>
      </c>
      <c r="D106" s="239" t="s">
        <v>479</v>
      </c>
      <c r="E106" s="244" t="s">
        <v>101</v>
      </c>
      <c r="F106" s="68">
        <v>190000</v>
      </c>
      <c r="G106" s="68">
        <f>F106*2.87%</f>
        <v>5453</v>
      </c>
      <c r="H106" s="68">
        <v>5776</v>
      </c>
      <c r="I106" s="68"/>
      <c r="J106" s="69">
        <f>+G106+H106+I106</f>
        <v>11229</v>
      </c>
      <c r="K106" s="69">
        <f>+F106-J106</f>
        <v>178771</v>
      </c>
      <c r="L106" s="69">
        <f>+IF(K106*12&lt;=416220.01,0,IF(K106*12&lt;=624329.01,(((K106*12-416220.01)*0.15)/12),IF((K106*12&lt;=867123.01),(31216+0.2*(K106*12-624329.01))/12,((79776+0.25*(K106*12-867123.01))/12))))-M106</f>
        <v>33275.687291666669</v>
      </c>
      <c r="M106" s="69"/>
      <c r="N106" s="240">
        <v>25</v>
      </c>
      <c r="O106" s="221">
        <f>+N106+I106+H106+G106+L106</f>
        <v>44529.687291666669</v>
      </c>
      <c r="P106" s="84">
        <f>+F106-O106</f>
        <v>145470.31270833334</v>
      </c>
    </row>
    <row r="107" spans="1:17" s="225" customFormat="1" ht="35.1" customHeight="1" x14ac:dyDescent="0.2">
      <c r="A107" s="241">
        <f>+A106+1</f>
        <v>54</v>
      </c>
      <c r="B107" s="72" t="s">
        <v>61</v>
      </c>
      <c r="C107" s="73" t="s">
        <v>345</v>
      </c>
      <c r="D107" s="239" t="s">
        <v>441</v>
      </c>
      <c r="E107" s="244" t="s">
        <v>101</v>
      </c>
      <c r="F107" s="68">
        <v>115000</v>
      </c>
      <c r="G107" s="68">
        <f>F107*2.87%</f>
        <v>3300.5</v>
      </c>
      <c r="H107" s="68">
        <f>+F107*3.04%</f>
        <v>3496</v>
      </c>
      <c r="I107" s="68">
        <v>1919.78</v>
      </c>
      <c r="J107" s="69">
        <f>+G107+H107+I107</f>
        <v>8716.2800000000007</v>
      </c>
      <c r="K107" s="69">
        <f>+F107-J107</f>
        <v>106283.72</v>
      </c>
      <c r="L107" s="69">
        <f>+IF(K107*12&lt;=416220.01,0,IF(K107*12&lt;=624329.01,(((K107*12-416220.01)*0.15)/12),IF((K107*12&lt;=867123.01),(31216+0.2*(K107*12-624329.01))/12,((79776+0.25*(K107*12-867123.01))/12))))-M107</f>
        <v>15153.867291666669</v>
      </c>
      <c r="M107" s="69"/>
      <c r="N107" s="240">
        <v>12663.37</v>
      </c>
      <c r="O107" s="221">
        <f>+N107+I107+H107+G107+L107</f>
        <v>36533.517291666671</v>
      </c>
      <c r="P107" s="84">
        <f>+F107-O107</f>
        <v>78466.482708333322</v>
      </c>
    </row>
    <row r="108" spans="1:17" s="98" customFormat="1" ht="35.1" customHeight="1" x14ac:dyDescent="0.2">
      <c r="A108" s="229" t="s">
        <v>103</v>
      </c>
      <c r="B108" s="230"/>
      <c r="C108" s="230"/>
      <c r="D108" s="230"/>
      <c r="E108" s="246"/>
      <c r="F108" s="231">
        <f t="shared" ref="F108:L108" si="24">SUM(F106:F107)</f>
        <v>305000</v>
      </c>
      <c r="G108" s="231">
        <f t="shared" si="24"/>
        <v>8753.5</v>
      </c>
      <c r="H108" s="231">
        <f t="shared" si="24"/>
        <v>9272</v>
      </c>
      <c r="I108" s="231">
        <f t="shared" si="24"/>
        <v>1919.78</v>
      </c>
      <c r="J108" s="231">
        <f t="shared" si="24"/>
        <v>19945.28</v>
      </c>
      <c r="K108" s="231">
        <f t="shared" si="24"/>
        <v>285054.71999999997</v>
      </c>
      <c r="L108" s="231">
        <f t="shared" si="24"/>
        <v>48429.554583333338</v>
      </c>
      <c r="M108" s="231"/>
      <c r="N108" s="231">
        <f>SUM(N106:N107)</f>
        <v>12688.37</v>
      </c>
      <c r="O108" s="231">
        <f>SUM(O106:O107)</f>
        <v>81063.20458333334</v>
      </c>
      <c r="P108" s="231">
        <f>SUM(P106:P107)</f>
        <v>223936.79541666666</v>
      </c>
      <c r="Q108" s="333"/>
    </row>
    <row r="109" spans="1:17" s="149" customFormat="1" ht="42.75" customHeight="1" thickBot="1" x14ac:dyDescent="0.25">
      <c r="A109" s="233"/>
      <c r="B109" s="267"/>
      <c r="C109" s="268"/>
      <c r="D109" s="267"/>
      <c r="E109" s="267"/>
      <c r="F109" s="269"/>
    </row>
    <row r="110" spans="1:17" s="249" customFormat="1" ht="35.1" customHeight="1" thickBot="1" x14ac:dyDescent="0.25">
      <c r="A110" s="354" t="s">
        <v>142</v>
      </c>
      <c r="B110" s="355"/>
      <c r="C110" s="355"/>
      <c r="D110" s="355"/>
      <c r="E110" s="355"/>
      <c r="F110" s="253"/>
      <c r="G110" s="253"/>
      <c r="H110" s="253"/>
      <c r="I110" s="253"/>
      <c r="J110" s="253"/>
      <c r="K110" s="253"/>
      <c r="L110" s="253"/>
      <c r="M110" s="253"/>
      <c r="N110" s="253"/>
      <c r="O110" s="253"/>
      <c r="P110" s="253"/>
    </row>
    <row r="111" spans="1:17" s="225" customFormat="1" ht="35.1" customHeight="1" x14ac:dyDescent="0.2">
      <c r="A111" s="241">
        <f>+A107+1</f>
        <v>55</v>
      </c>
      <c r="B111" s="72" t="s">
        <v>226</v>
      </c>
      <c r="C111" s="73" t="s">
        <v>346</v>
      </c>
      <c r="D111" s="239" t="s">
        <v>605</v>
      </c>
      <c r="E111" s="72" t="s">
        <v>101</v>
      </c>
      <c r="F111" s="222">
        <v>95000</v>
      </c>
      <c r="G111" s="222">
        <f>F111*2.87%</f>
        <v>2726.5</v>
      </c>
      <c r="H111" s="222">
        <f>+F111*3.04%</f>
        <v>2888</v>
      </c>
      <c r="I111" s="222"/>
      <c r="J111" s="221">
        <f>+G111+H111+I111</f>
        <v>5614.5</v>
      </c>
      <c r="K111" s="221">
        <f>+F111-J111</f>
        <v>89385.5</v>
      </c>
      <c r="L111" s="69">
        <f>+IF(K111*12&lt;=416220.01,0,IF(K111*12&lt;=624329.01,(((K111*12-416220.01)*0.15)/12),IF((K111*12&lt;=867123.01),(31216+0.2*(K111*12-624329.01))/12,((79776+0.25*(K111*12-867123.01))/12))))-M111</f>
        <v>10929.312291666667</v>
      </c>
      <c r="M111" s="221"/>
      <c r="N111" s="221">
        <v>23740.03</v>
      </c>
      <c r="O111" s="221">
        <f>+N111+I111+H111+G111+L111</f>
        <v>40283.842291666668</v>
      </c>
      <c r="P111" s="223">
        <f>+F111-O111</f>
        <v>54716.157708333332</v>
      </c>
    </row>
    <row r="112" spans="1:17" s="225" customFormat="1" ht="35.1" customHeight="1" x14ac:dyDescent="0.2">
      <c r="A112" s="241">
        <f>+A111+1</f>
        <v>56</v>
      </c>
      <c r="B112" s="72" t="s">
        <v>52</v>
      </c>
      <c r="C112" s="73" t="s">
        <v>346</v>
      </c>
      <c r="D112" s="239" t="s">
        <v>605</v>
      </c>
      <c r="E112" s="72" t="s">
        <v>100</v>
      </c>
      <c r="F112" s="222">
        <v>85000</v>
      </c>
      <c r="G112" s="69">
        <f>F112*2.87%</f>
        <v>2439.5</v>
      </c>
      <c r="H112" s="69">
        <f>+F112*3.04%</f>
        <v>2584</v>
      </c>
      <c r="I112" s="69"/>
      <c r="J112" s="69">
        <f>+G112+H112+I112</f>
        <v>5023.5</v>
      </c>
      <c r="K112" s="69">
        <f>+F112-J112</f>
        <v>79976.5</v>
      </c>
      <c r="L112" s="69">
        <f>+IF(K112*12&lt;=416220.01,0,IF(K112*12&lt;=624329.01,(((K112*12-416220.01)*0.15)/12),IF((K112*12&lt;=867123.01),(31216+0.2*(K112*12-624329.01))/12,((79776+0.25*(K112*12-867123.01))/12))))-M112</f>
        <v>8577.0622916666671</v>
      </c>
      <c r="M112" s="69"/>
      <c r="N112" s="69">
        <v>12547.12</v>
      </c>
      <c r="O112" s="69">
        <f>+N112+I112+H112+G112+L112</f>
        <v>26147.682291666672</v>
      </c>
      <c r="P112" s="223">
        <f>+F112-O112</f>
        <v>58852.317708333328</v>
      </c>
    </row>
    <row r="113" spans="1:17" s="225" customFormat="1" ht="35.1" customHeight="1" x14ac:dyDescent="0.2">
      <c r="A113" s="73">
        <f>+A112+1</f>
        <v>57</v>
      </c>
      <c r="B113" s="72" t="s">
        <v>233</v>
      </c>
      <c r="C113" s="73" t="s">
        <v>345</v>
      </c>
      <c r="D113" s="239" t="s">
        <v>605</v>
      </c>
      <c r="E113" s="72" t="s">
        <v>100</v>
      </c>
      <c r="F113" s="222">
        <v>80000</v>
      </c>
      <c r="G113" s="222">
        <f>F113*2.87%</f>
        <v>2296</v>
      </c>
      <c r="H113" s="222">
        <f>+F113*3.04%</f>
        <v>2432</v>
      </c>
      <c r="I113" s="222"/>
      <c r="J113" s="221">
        <f>+G113+H113+I113</f>
        <v>4728</v>
      </c>
      <c r="K113" s="221">
        <f>+F113-J113</f>
        <v>75272</v>
      </c>
      <c r="L113" s="69">
        <f>+IF(K113*12&lt;=416220.01,0,IF(K113*12&lt;=624329.01,(((K113*12-416220.01)*0.15)/12),IF((K113*12&lt;=867123.01),(31216+0.2*(K113*12-624329.01))/12,((79776+0.25*(K113*12-867123.01))/12))))-M113</f>
        <v>7400.9372916666662</v>
      </c>
      <c r="M113" s="221"/>
      <c r="N113" s="227">
        <v>25</v>
      </c>
      <c r="O113" s="221">
        <f>+N113+I113+H113+G113+L113</f>
        <v>12153.937291666665</v>
      </c>
      <c r="P113" s="223">
        <f>+F113-O113</f>
        <v>67846.062708333338</v>
      </c>
    </row>
    <row r="114" spans="1:17" s="225" customFormat="1" ht="35.1" customHeight="1" x14ac:dyDescent="0.2">
      <c r="A114" s="73">
        <f>+A113+1</f>
        <v>58</v>
      </c>
      <c r="B114" s="72" t="s">
        <v>42</v>
      </c>
      <c r="C114" s="73" t="s">
        <v>612</v>
      </c>
      <c r="D114" s="239" t="s">
        <v>605</v>
      </c>
      <c r="E114" s="72" t="s">
        <v>100</v>
      </c>
      <c r="F114" s="222">
        <v>95000</v>
      </c>
      <c r="G114" s="222">
        <f>F114*2.87%</f>
        <v>2726.5</v>
      </c>
      <c r="H114" s="222">
        <f>+F114*3.04%</f>
        <v>2888</v>
      </c>
      <c r="I114" s="222"/>
      <c r="J114" s="221">
        <f>+G114+H114+I114</f>
        <v>5614.5</v>
      </c>
      <c r="K114" s="221">
        <f>+F114-J114</f>
        <v>89385.5</v>
      </c>
      <c r="L114" s="69">
        <f>+IF(K114*12&lt;=416220.01,0,IF(K114*12&lt;=624329.01,(((K114*12-416220.01)*0.15)/12),IF((K114*12&lt;=867123.01),(31216+0.2*(K114*12-624329.01))/12,((79776+0.25*(K114*12-867123.01))/12))))-M114</f>
        <v>10929.312291666667</v>
      </c>
      <c r="M114" s="221"/>
      <c r="N114" s="227">
        <v>4821.12</v>
      </c>
      <c r="O114" s="221">
        <f>+N114+I114+H114+G114+L114</f>
        <v>21364.932291666664</v>
      </c>
      <c r="P114" s="223">
        <f>+F114-O114</f>
        <v>73635.067708333343</v>
      </c>
    </row>
    <row r="115" spans="1:17" s="225" customFormat="1" ht="35.1" customHeight="1" thickBot="1" x14ac:dyDescent="0.25">
      <c r="A115" s="229" t="s">
        <v>103</v>
      </c>
      <c r="B115" s="230"/>
      <c r="C115" s="230"/>
      <c r="D115" s="230"/>
      <c r="E115" s="246"/>
      <c r="F115" s="231">
        <f>SUM(F111:F114)</f>
        <v>355000</v>
      </c>
      <c r="G115" s="231">
        <f t="shared" ref="G115:O115" si="25">SUM(G111:G114)</f>
        <v>10188.5</v>
      </c>
      <c r="H115" s="231">
        <f t="shared" si="25"/>
        <v>10792</v>
      </c>
      <c r="I115" s="231">
        <f t="shared" si="25"/>
        <v>0</v>
      </c>
      <c r="J115" s="231">
        <f t="shared" si="25"/>
        <v>20980.5</v>
      </c>
      <c r="K115" s="231">
        <f t="shared" si="25"/>
        <v>334019.5</v>
      </c>
      <c r="L115" s="231">
        <f t="shared" si="25"/>
        <v>37836.624166666668</v>
      </c>
      <c r="M115" s="231">
        <f t="shared" si="25"/>
        <v>0</v>
      </c>
      <c r="N115" s="231">
        <f>SUM(N111:N114)</f>
        <v>41133.270000000004</v>
      </c>
      <c r="O115" s="231">
        <f t="shared" si="25"/>
        <v>99950.394166666665</v>
      </c>
      <c r="P115" s="231">
        <f>SUM(P111:P114)</f>
        <v>255049.60583333333</v>
      </c>
      <c r="Q115" s="329"/>
    </row>
    <row r="116" spans="1:17" s="247" customFormat="1" ht="35.1" customHeight="1" thickBot="1" x14ac:dyDescent="0.25">
      <c r="A116" s="354" t="s">
        <v>143</v>
      </c>
      <c r="B116" s="355"/>
      <c r="C116" s="355"/>
      <c r="D116" s="355"/>
      <c r="E116" s="355"/>
      <c r="F116" s="253"/>
      <c r="G116" s="253"/>
      <c r="H116" s="253"/>
      <c r="I116" s="253"/>
      <c r="J116" s="253"/>
      <c r="K116" s="253"/>
      <c r="L116" s="253"/>
      <c r="M116" s="253"/>
      <c r="N116" s="253"/>
      <c r="O116" s="253"/>
      <c r="P116" s="253"/>
    </row>
    <row r="117" spans="1:17" s="149" customFormat="1" ht="35.1" customHeight="1" x14ac:dyDescent="0.2">
      <c r="A117" s="73">
        <f>+A114+1</f>
        <v>59</v>
      </c>
      <c r="B117" s="72" t="s">
        <v>403</v>
      </c>
      <c r="C117" s="73" t="s">
        <v>345</v>
      </c>
      <c r="D117" s="239" t="s">
        <v>605</v>
      </c>
      <c r="E117" s="72" t="s">
        <v>101</v>
      </c>
      <c r="F117" s="222">
        <v>95000</v>
      </c>
      <c r="G117" s="222">
        <f>F117*2.87%</f>
        <v>2726.5</v>
      </c>
      <c r="H117" s="68">
        <f>+F117*3.04%</f>
        <v>2888</v>
      </c>
      <c r="I117" s="68"/>
      <c r="J117" s="69">
        <f>+G117+H117+I117</f>
        <v>5614.5</v>
      </c>
      <c r="K117" s="69">
        <f>+F117-J117</f>
        <v>89385.5</v>
      </c>
      <c r="L117" s="69">
        <f>+IF(K117*12&lt;=416220.01,0,IF(K117*12&lt;=624329.01,(((K117*12-416220.01)*0.15)/12),IF((K117*12&lt;=867123.01),(31216+0.2*(K117*12-624329.01))/12,((79776+0.25*(K117*12-867123.01))/12))))-M117</f>
        <v>10929.312291666667</v>
      </c>
      <c r="M117" s="69"/>
      <c r="N117" s="221">
        <v>10290.290000000001</v>
      </c>
      <c r="O117" s="221">
        <f>+N117+I117+H117+G117+L117</f>
        <v>26834.10229166667</v>
      </c>
      <c r="P117" s="84">
        <f>+F117-O117</f>
        <v>68165.89770833333</v>
      </c>
    </row>
    <row r="118" spans="1:17" s="149" customFormat="1" ht="35.1" customHeight="1" x14ac:dyDescent="0.2">
      <c r="A118" s="73">
        <f>+A117+1</f>
        <v>60</v>
      </c>
      <c r="B118" s="72" t="s">
        <v>494</v>
      </c>
      <c r="C118" s="73" t="s">
        <v>346</v>
      </c>
      <c r="D118" s="239" t="s">
        <v>605</v>
      </c>
      <c r="E118" s="72" t="s">
        <v>101</v>
      </c>
      <c r="F118" s="222">
        <v>95000</v>
      </c>
      <c r="G118" s="222">
        <f>F118*2.87%</f>
        <v>2726.5</v>
      </c>
      <c r="H118" s="68">
        <f>+F118*3.04%</f>
        <v>2888</v>
      </c>
      <c r="I118" s="68"/>
      <c r="J118" s="69">
        <f>+G118+H118+I118</f>
        <v>5614.5</v>
      </c>
      <c r="K118" s="69">
        <f>+F118-J118</f>
        <v>89385.5</v>
      </c>
      <c r="L118" s="69">
        <f t="shared" ref="L118:L120" si="26">+IF(K118*12&lt;=416220.01,0,IF(K118*12&lt;=624329.01,(((K118*12-416220.01)*0.15)/12),IF((K118*12&lt;=867123.01),(31216+0.2*(K118*12-624329.01))/12,((79776+0.25*(K118*12-867123.01))/12))))-M118</f>
        <v>10929.312291666667</v>
      </c>
      <c r="M118" s="69"/>
      <c r="N118" s="227">
        <v>6377.9</v>
      </c>
      <c r="O118" s="221">
        <f>+N118+I118+H118+G118+L118</f>
        <v>22921.712291666667</v>
      </c>
      <c r="P118" s="84">
        <f>+F118-O118</f>
        <v>72078.28770833333</v>
      </c>
    </row>
    <row r="119" spans="1:17" s="149" customFormat="1" ht="35.1" customHeight="1" x14ac:dyDescent="0.2">
      <c r="A119" s="73">
        <f>+A118+1</f>
        <v>61</v>
      </c>
      <c r="B119" s="72" t="s">
        <v>237</v>
      </c>
      <c r="C119" s="73" t="s">
        <v>346</v>
      </c>
      <c r="D119" s="239" t="s">
        <v>605</v>
      </c>
      <c r="E119" s="72" t="s">
        <v>101</v>
      </c>
      <c r="F119" s="222">
        <v>95000</v>
      </c>
      <c r="G119" s="222">
        <f>F119*2.87%</f>
        <v>2726.5</v>
      </c>
      <c r="H119" s="68">
        <f>+F119*3.04%</f>
        <v>2888</v>
      </c>
      <c r="I119" s="68"/>
      <c r="J119" s="69">
        <f>+G119+H119+I119</f>
        <v>5614.5</v>
      </c>
      <c r="K119" s="69">
        <f>+F119-J119</f>
        <v>89385.5</v>
      </c>
      <c r="L119" s="69">
        <f t="shared" si="26"/>
        <v>10929.312291666667</v>
      </c>
      <c r="M119" s="69"/>
      <c r="N119" s="227">
        <v>1290.29</v>
      </c>
      <c r="O119" s="221">
        <f>+N119+I119+H119+G119+L119</f>
        <v>17834.102291666666</v>
      </c>
      <c r="P119" s="84">
        <f>+F119-O119</f>
        <v>77165.89770833333</v>
      </c>
    </row>
    <row r="120" spans="1:17" s="247" customFormat="1" ht="35.1" customHeight="1" x14ac:dyDescent="0.2">
      <c r="A120" s="73">
        <f>+A119+1</f>
        <v>62</v>
      </c>
      <c r="B120" s="72" t="s">
        <v>167</v>
      </c>
      <c r="C120" s="73" t="s">
        <v>345</v>
      </c>
      <c r="D120" s="239" t="s">
        <v>605</v>
      </c>
      <c r="E120" s="72" t="s">
        <v>101</v>
      </c>
      <c r="F120" s="222">
        <v>80000</v>
      </c>
      <c r="G120" s="68">
        <v>2296</v>
      </c>
      <c r="H120" s="68">
        <v>2432</v>
      </c>
      <c r="I120" s="68">
        <v>1919.78</v>
      </c>
      <c r="J120" s="69">
        <f>+G120+H120+I120</f>
        <v>6647.78</v>
      </c>
      <c r="K120" s="69">
        <f>+F120-J120</f>
        <v>73352.22</v>
      </c>
      <c r="L120" s="69">
        <f t="shared" si="26"/>
        <v>6920.9922916666665</v>
      </c>
      <c r="M120" s="69"/>
      <c r="N120" s="240">
        <v>38765.760000000002</v>
      </c>
      <c r="O120" s="221">
        <f>+N120+I120+H120+G120+L120</f>
        <v>52334.53229166667</v>
      </c>
      <c r="P120" s="84">
        <f>+F120-O120</f>
        <v>27665.46770833333</v>
      </c>
    </row>
    <row r="121" spans="1:17" s="149" customFormat="1" ht="35.1" customHeight="1" x14ac:dyDescent="0.2">
      <c r="A121" s="229" t="s">
        <v>103</v>
      </c>
      <c r="B121" s="230"/>
      <c r="C121" s="230"/>
      <c r="D121" s="230"/>
      <c r="E121" s="246"/>
      <c r="F121" s="231">
        <f t="shared" ref="F121:L121" si="27">SUM(F117:F120)</f>
        <v>365000</v>
      </c>
      <c r="G121" s="231">
        <f t="shared" si="27"/>
        <v>10475.5</v>
      </c>
      <c r="H121" s="231">
        <f t="shared" si="27"/>
        <v>11096</v>
      </c>
      <c r="I121" s="231">
        <f t="shared" si="27"/>
        <v>1919.78</v>
      </c>
      <c r="J121" s="231">
        <f t="shared" si="27"/>
        <v>23491.279999999999</v>
      </c>
      <c r="K121" s="231">
        <f t="shared" si="27"/>
        <v>341508.72</v>
      </c>
      <c r="L121" s="231">
        <f t="shared" si="27"/>
        <v>39708.929166666669</v>
      </c>
      <c r="M121" s="231"/>
      <c r="N121" s="231">
        <f>SUM(N117:N120)</f>
        <v>56724.240000000005</v>
      </c>
      <c r="O121" s="231">
        <f>SUM(O117:O120)</f>
        <v>119924.44916666669</v>
      </c>
      <c r="P121" s="231">
        <f>SUM(P117:P120)</f>
        <v>245075.55083333334</v>
      </c>
      <c r="Q121" s="329"/>
    </row>
    <row r="122" spans="1:17" s="149" customFormat="1" ht="35.1" customHeight="1" thickBot="1" x14ac:dyDescent="0.25">
      <c r="A122" s="209"/>
      <c r="B122" s="148"/>
      <c r="C122" s="209"/>
      <c r="D122" s="148"/>
      <c r="E122" s="148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</row>
    <row r="123" spans="1:17" s="149" customFormat="1" ht="35.1" customHeight="1" thickBot="1" x14ac:dyDescent="0.25">
      <c r="A123" s="354" t="s">
        <v>144</v>
      </c>
      <c r="B123" s="355"/>
      <c r="C123" s="355"/>
      <c r="D123" s="355"/>
      <c r="E123" s="355"/>
      <c r="F123" s="253"/>
      <c r="G123" s="253"/>
      <c r="H123" s="253"/>
      <c r="I123" s="253"/>
      <c r="J123" s="253"/>
      <c r="K123" s="253"/>
      <c r="L123" s="253"/>
      <c r="M123" s="253"/>
      <c r="N123" s="253"/>
      <c r="O123" s="253"/>
      <c r="P123" s="253"/>
    </row>
    <row r="124" spans="1:17" s="149" customFormat="1" ht="35.1" customHeight="1" x14ac:dyDescent="0.2">
      <c r="A124" s="73">
        <f>+A120+1</f>
        <v>63</v>
      </c>
      <c r="B124" s="244" t="s">
        <v>4</v>
      </c>
      <c r="C124" s="241" t="s">
        <v>346</v>
      </c>
      <c r="D124" s="257" t="s">
        <v>605</v>
      </c>
      <c r="E124" s="244" t="s">
        <v>101</v>
      </c>
      <c r="F124" s="68">
        <v>95000</v>
      </c>
      <c r="G124" s="68">
        <f>F124*2.87%</f>
        <v>2726.5</v>
      </c>
      <c r="H124" s="68">
        <f>+F124*3.04%</f>
        <v>2888</v>
      </c>
      <c r="I124" s="222"/>
      <c r="J124" s="221">
        <f>+G124+H124+I124</f>
        <v>5614.5</v>
      </c>
      <c r="K124" s="221">
        <f>+F124-J124</f>
        <v>89385.5</v>
      </c>
      <c r="L124" s="221">
        <f>+IF(K124*12&lt;=416220.01,0,IF(K124*12&lt;=624329.01,(((K124*12-416220.01)*0.15)/12),IF((K124*12&lt;=867123.01),(31216+0.2*(K124*12-624329.01))/12,((79776+0.25*(K124*12-867123.01))/12))))-M124</f>
        <v>10929.312291666667</v>
      </c>
      <c r="M124" s="221"/>
      <c r="N124" s="223">
        <v>21095.19</v>
      </c>
      <c r="O124" s="221">
        <f>+N124+I124+H124+G124+L124</f>
        <v>37639.002291666664</v>
      </c>
      <c r="P124" s="223">
        <f>+F124-O124</f>
        <v>57360.997708333336</v>
      </c>
    </row>
    <row r="125" spans="1:17" s="149" customFormat="1" ht="35.1" customHeight="1" x14ac:dyDescent="0.2">
      <c r="A125" s="73">
        <f>+A124+1</f>
        <v>64</v>
      </c>
      <c r="B125" s="244" t="s">
        <v>232</v>
      </c>
      <c r="C125" s="241" t="s">
        <v>346</v>
      </c>
      <c r="D125" s="257" t="s">
        <v>605</v>
      </c>
      <c r="E125" s="244" t="s">
        <v>101</v>
      </c>
      <c r="F125" s="68">
        <v>95000</v>
      </c>
      <c r="G125" s="68">
        <f>F125*2.87%</f>
        <v>2726.5</v>
      </c>
      <c r="H125" s="68">
        <f>+F125*3.04%</f>
        <v>2888</v>
      </c>
      <c r="I125" s="222">
        <v>1919.78</v>
      </c>
      <c r="J125" s="221">
        <f>+G125+H125+I125</f>
        <v>7534.28</v>
      </c>
      <c r="K125" s="221">
        <f>+F125-J125</f>
        <v>87465.72</v>
      </c>
      <c r="L125" s="221">
        <f t="shared" ref="L125:L127" si="28">+IF(K125*12&lt;=416220.01,0,IF(K125*12&lt;=624329.01,(((K125*12-416220.01)*0.15)/12),IF((K125*12&lt;=867123.01),(31216+0.2*(K125*12-624329.01))/12,((79776+0.25*(K125*12-867123.01))/12))))-M125</f>
        <v>10449.367291666669</v>
      </c>
      <c r="M125" s="221"/>
      <c r="N125" s="223">
        <v>225</v>
      </c>
      <c r="O125" s="221">
        <f>+N125+I125+H125+G125+L125</f>
        <v>18208.647291666668</v>
      </c>
      <c r="P125" s="223">
        <f>+F125-O125</f>
        <v>76791.352708333332</v>
      </c>
    </row>
    <row r="126" spans="1:17" s="249" customFormat="1" ht="35.1" customHeight="1" x14ac:dyDescent="0.2">
      <c r="A126" s="73">
        <f>+A125+1</f>
        <v>65</v>
      </c>
      <c r="B126" s="72" t="s">
        <v>83</v>
      </c>
      <c r="C126" s="73" t="s">
        <v>346</v>
      </c>
      <c r="D126" s="239" t="s">
        <v>605</v>
      </c>
      <c r="E126" s="72" t="s">
        <v>100</v>
      </c>
      <c r="F126" s="222">
        <v>90000</v>
      </c>
      <c r="G126" s="222">
        <f>F126*2.87%</f>
        <v>2583</v>
      </c>
      <c r="H126" s="222">
        <f>+F126*3.04%</f>
        <v>2736</v>
      </c>
      <c r="I126" s="222"/>
      <c r="J126" s="221">
        <f>+G126+H126+I126</f>
        <v>5319</v>
      </c>
      <c r="K126" s="221">
        <f>+F126-J126</f>
        <v>84681</v>
      </c>
      <c r="L126" s="221">
        <f t="shared" si="28"/>
        <v>9753.1872916666671</v>
      </c>
      <c r="M126" s="221"/>
      <c r="N126" s="227">
        <v>265</v>
      </c>
      <c r="O126" s="221">
        <f>+N126+I126+H126+G126+L126</f>
        <v>15337.187291666667</v>
      </c>
      <c r="P126" s="223">
        <f>+F126-O126</f>
        <v>74662.812708333338</v>
      </c>
    </row>
    <row r="127" spans="1:17" s="149" customFormat="1" ht="35.1" customHeight="1" x14ac:dyDescent="0.2">
      <c r="A127" s="73">
        <f>+A126+1</f>
        <v>66</v>
      </c>
      <c r="B127" s="72" t="s">
        <v>230</v>
      </c>
      <c r="C127" s="73" t="s">
        <v>345</v>
      </c>
      <c r="D127" s="239" t="s">
        <v>605</v>
      </c>
      <c r="E127" s="72" t="s">
        <v>100</v>
      </c>
      <c r="F127" s="222">
        <v>90000</v>
      </c>
      <c r="G127" s="222">
        <f>F127*2.87%</f>
        <v>2583</v>
      </c>
      <c r="H127" s="222">
        <f>+F127*3.04%</f>
        <v>2736</v>
      </c>
      <c r="I127" s="222">
        <f>1919.78*2</f>
        <v>3839.56</v>
      </c>
      <c r="J127" s="221">
        <f>+G127+H127+I127</f>
        <v>9158.56</v>
      </c>
      <c r="K127" s="221">
        <f>+F127-J127</f>
        <v>80841.440000000002</v>
      </c>
      <c r="L127" s="221">
        <f t="shared" si="28"/>
        <v>8793.2972916666677</v>
      </c>
      <c r="M127" s="221"/>
      <c r="N127" s="227">
        <v>225</v>
      </c>
      <c r="O127" s="221">
        <f>+N127+I127+H127+G127+L127</f>
        <v>18176.857291666667</v>
      </c>
      <c r="P127" s="223">
        <f>+F127-O127</f>
        <v>71823.142708333326</v>
      </c>
    </row>
    <row r="128" spans="1:17" s="225" customFormat="1" ht="35.1" customHeight="1" x14ac:dyDescent="0.2">
      <c r="A128" s="229" t="s">
        <v>103</v>
      </c>
      <c r="B128" s="230"/>
      <c r="C128" s="230"/>
      <c r="D128" s="230"/>
      <c r="E128" s="246"/>
      <c r="F128" s="231">
        <f>SUM(F124:F127)</f>
        <v>370000</v>
      </c>
      <c r="G128" s="231">
        <f t="shared" ref="G128:P128" si="29">SUM(G124:G127)</f>
        <v>10619</v>
      </c>
      <c r="H128" s="231">
        <f t="shared" si="29"/>
        <v>11248</v>
      </c>
      <c r="I128" s="231">
        <f t="shared" si="29"/>
        <v>5759.34</v>
      </c>
      <c r="J128" s="231">
        <f t="shared" si="29"/>
        <v>27626.339999999997</v>
      </c>
      <c r="K128" s="231">
        <f t="shared" si="29"/>
        <v>342373.66000000003</v>
      </c>
      <c r="L128" s="231">
        <f t="shared" si="29"/>
        <v>39925.164166666676</v>
      </c>
      <c r="M128" s="231">
        <f t="shared" si="29"/>
        <v>0</v>
      </c>
      <c r="N128" s="231">
        <f t="shared" si="29"/>
        <v>21810.19</v>
      </c>
      <c r="O128" s="231">
        <f t="shared" si="29"/>
        <v>89361.694166666653</v>
      </c>
      <c r="P128" s="231">
        <f t="shared" si="29"/>
        <v>280638.30583333329</v>
      </c>
      <c r="Q128" s="329"/>
    </row>
    <row r="129" spans="1:17" s="247" customFormat="1" ht="35.1" customHeight="1" thickBot="1" x14ac:dyDescent="0.25">
      <c r="A129" s="209"/>
      <c r="B129" s="148"/>
      <c r="C129" s="209"/>
      <c r="D129" s="148"/>
      <c r="E129" s="148"/>
      <c r="F129" s="149"/>
      <c r="G129" s="150"/>
      <c r="H129" s="150"/>
      <c r="I129" s="150"/>
      <c r="J129" s="150"/>
      <c r="K129" s="150"/>
      <c r="L129" s="150"/>
      <c r="M129" s="150"/>
      <c r="N129" s="150"/>
      <c r="O129" s="150"/>
      <c r="P129" s="150"/>
    </row>
    <row r="130" spans="1:17" s="149" customFormat="1" ht="35.1" customHeight="1" thickBot="1" x14ac:dyDescent="0.25">
      <c r="A130" s="354" t="s">
        <v>145</v>
      </c>
      <c r="B130" s="355"/>
      <c r="C130" s="355"/>
      <c r="D130" s="355"/>
      <c r="E130" s="355"/>
      <c r="F130" s="253"/>
      <c r="G130" s="253"/>
      <c r="H130" s="253"/>
      <c r="I130" s="253"/>
      <c r="J130" s="253"/>
      <c r="K130" s="253"/>
      <c r="L130" s="253"/>
      <c r="M130" s="253"/>
      <c r="N130" s="253"/>
      <c r="O130" s="253"/>
      <c r="P130" s="253"/>
    </row>
    <row r="131" spans="1:17" s="225" customFormat="1" ht="35.1" customHeight="1" x14ac:dyDescent="0.2">
      <c r="A131" s="73">
        <f>+A127+1</f>
        <v>67</v>
      </c>
      <c r="B131" s="72" t="s">
        <v>47</v>
      </c>
      <c r="C131" s="73" t="s">
        <v>346</v>
      </c>
      <c r="D131" s="239" t="s">
        <v>605</v>
      </c>
      <c r="E131" s="72" t="s">
        <v>101</v>
      </c>
      <c r="F131" s="222">
        <v>95000</v>
      </c>
      <c r="G131" s="222">
        <f>F131*2.87%</f>
        <v>2726.5</v>
      </c>
      <c r="H131" s="222">
        <f>+F131*3.04%</f>
        <v>2888</v>
      </c>
      <c r="I131" s="68">
        <v>3839.56</v>
      </c>
      <c r="J131" s="221">
        <f>+G131+H131+I131</f>
        <v>9454.06</v>
      </c>
      <c r="K131" s="221">
        <f>+F131-J131</f>
        <v>85545.94</v>
      </c>
      <c r="L131" s="221">
        <f t="shared" ref="L131:L132" si="30">+IF(K131*12&lt;=416220.01,0,IF(K131*12&lt;=624329.01,(((K131*12-416220.01)*0.15)/12),IF((K131*12&lt;=867123.01),(31216+0.2*(K131*12-624329.01))/12,((79776+0.25*(K131*12-867123.01))/12))))-M131</f>
        <v>9969.4222916666677</v>
      </c>
      <c r="M131" s="221"/>
      <c r="N131" s="227">
        <v>2290.29</v>
      </c>
      <c r="O131" s="221">
        <f>+N131+I131+H131+G131+L131</f>
        <v>21713.772291666668</v>
      </c>
      <c r="P131" s="223">
        <f>+F131-O131</f>
        <v>73286.227708333332</v>
      </c>
    </row>
    <row r="132" spans="1:17" s="225" customFormat="1" ht="35.1" customHeight="1" x14ac:dyDescent="0.2">
      <c r="A132" s="73">
        <f>+A131+1</f>
        <v>68</v>
      </c>
      <c r="B132" s="72" t="s">
        <v>231</v>
      </c>
      <c r="C132" s="73" t="s">
        <v>346</v>
      </c>
      <c r="D132" s="239" t="s">
        <v>605</v>
      </c>
      <c r="E132" s="72" t="s">
        <v>101</v>
      </c>
      <c r="F132" s="222">
        <v>90000</v>
      </c>
      <c r="G132" s="222">
        <f>F132*2.87%</f>
        <v>2583</v>
      </c>
      <c r="H132" s="222">
        <f>+F132*3.04%</f>
        <v>2736</v>
      </c>
      <c r="I132" s="68">
        <v>0</v>
      </c>
      <c r="J132" s="221">
        <f>+G132+H132+I132</f>
        <v>5319</v>
      </c>
      <c r="K132" s="221">
        <f>+F132-J132</f>
        <v>84681</v>
      </c>
      <c r="L132" s="221">
        <f t="shared" si="30"/>
        <v>9753.1872916666671</v>
      </c>
      <c r="M132" s="221"/>
      <c r="N132" s="227">
        <v>12415.18</v>
      </c>
      <c r="O132" s="221">
        <f>+N132+I132+H132+G132+L132</f>
        <v>27487.367291666669</v>
      </c>
      <c r="P132" s="223">
        <f>+F132-O132</f>
        <v>62512.632708333331</v>
      </c>
    </row>
    <row r="133" spans="1:17" s="225" customFormat="1" ht="35.1" customHeight="1" x14ac:dyDescent="0.2">
      <c r="A133" s="229" t="s">
        <v>103</v>
      </c>
      <c r="B133" s="230"/>
      <c r="C133" s="230"/>
      <c r="D133" s="230"/>
      <c r="E133" s="246"/>
      <c r="F133" s="231">
        <f>SUM(F131:F132)</f>
        <v>185000</v>
      </c>
      <c r="G133" s="231">
        <f t="shared" ref="G133:P133" si="31">SUM(G131:G132)</f>
        <v>5309.5</v>
      </c>
      <c r="H133" s="231">
        <f t="shared" si="31"/>
        <v>5624</v>
      </c>
      <c r="I133" s="231">
        <f t="shared" si="31"/>
        <v>3839.56</v>
      </c>
      <c r="J133" s="231">
        <f t="shared" si="31"/>
        <v>14773.06</v>
      </c>
      <c r="K133" s="231">
        <f t="shared" si="31"/>
        <v>170226.94</v>
      </c>
      <c r="L133" s="231">
        <f t="shared" si="31"/>
        <v>19722.609583333335</v>
      </c>
      <c r="M133" s="231">
        <f t="shared" si="31"/>
        <v>0</v>
      </c>
      <c r="N133" s="231">
        <f t="shared" si="31"/>
        <v>14705.470000000001</v>
      </c>
      <c r="O133" s="231">
        <f t="shared" si="31"/>
        <v>49201.139583333337</v>
      </c>
      <c r="P133" s="231">
        <f t="shared" si="31"/>
        <v>135798.86041666666</v>
      </c>
      <c r="Q133" s="329"/>
    </row>
    <row r="134" spans="1:17" s="149" customFormat="1" ht="35.1" customHeight="1" thickBot="1" x14ac:dyDescent="0.25">
      <c r="A134" s="209"/>
      <c r="B134" s="148"/>
      <c r="C134" s="209"/>
      <c r="D134" s="148"/>
      <c r="E134" s="148"/>
      <c r="G134" s="150"/>
      <c r="H134" s="150"/>
      <c r="I134" s="150"/>
      <c r="J134" s="150"/>
      <c r="K134" s="150"/>
      <c r="L134" s="150"/>
      <c r="M134" s="150"/>
      <c r="N134" s="150"/>
      <c r="O134" s="150"/>
      <c r="P134" s="150"/>
    </row>
    <row r="135" spans="1:17" s="247" customFormat="1" ht="35.1" customHeight="1" thickBot="1" x14ac:dyDescent="0.25">
      <c r="A135" s="354" t="s">
        <v>146</v>
      </c>
      <c r="B135" s="355"/>
      <c r="C135" s="355"/>
      <c r="D135" s="355"/>
      <c r="E135" s="355"/>
      <c r="F135" s="253"/>
      <c r="G135" s="253"/>
      <c r="H135" s="253"/>
      <c r="I135" s="253"/>
      <c r="J135" s="253"/>
      <c r="K135" s="253"/>
      <c r="L135" s="253"/>
      <c r="M135" s="253"/>
      <c r="N135" s="253"/>
      <c r="O135" s="253"/>
      <c r="P135" s="253"/>
    </row>
    <row r="136" spans="1:17" ht="35.1" customHeight="1" x14ac:dyDescent="0.2">
      <c r="A136" s="243">
        <f>+A132+1</f>
        <v>69</v>
      </c>
      <c r="B136" s="220" t="s">
        <v>234</v>
      </c>
      <c r="C136" s="219" t="s">
        <v>345</v>
      </c>
      <c r="D136" s="228" t="s">
        <v>235</v>
      </c>
      <c r="E136" s="72" t="s">
        <v>101</v>
      </c>
      <c r="F136" s="221">
        <v>126500</v>
      </c>
      <c r="G136" s="68">
        <v>3630.55</v>
      </c>
      <c r="H136" s="68">
        <v>3845.6</v>
      </c>
      <c r="I136" s="68">
        <v>1919.78</v>
      </c>
      <c r="J136" s="69">
        <f>+G136+H136+I136</f>
        <v>9395.93</v>
      </c>
      <c r="K136" s="69">
        <f>+F136-J136</f>
        <v>117104.07</v>
      </c>
      <c r="L136" s="69">
        <f>+IF(K136*12&lt;=416220.01,0,IF(K136*12&lt;=624329.01,(((K136*12-416220.01)*0.15)/12),IF((K136*12&lt;=867123.01),(31216+0.2*(K136*12-624329.01))/12,((79776+0.25*(K136*12-867123.01))/12))))-M136</f>
        <v>17858.954791666667</v>
      </c>
      <c r="M136" s="69"/>
      <c r="N136" s="240">
        <v>1290.29</v>
      </c>
      <c r="O136" s="221">
        <f>+N136+I136+H136+G136+L136</f>
        <v>28545.174791666668</v>
      </c>
      <c r="P136" s="84">
        <f>+F136-O136</f>
        <v>97954.825208333335</v>
      </c>
    </row>
    <row r="137" spans="1:17" s="149" customFormat="1" ht="35.1" customHeight="1" x14ac:dyDescent="0.2">
      <c r="A137" s="243">
        <f>+A136+1</f>
        <v>70</v>
      </c>
      <c r="B137" s="220" t="s">
        <v>236</v>
      </c>
      <c r="C137" s="219" t="s">
        <v>346</v>
      </c>
      <c r="D137" s="228" t="s">
        <v>605</v>
      </c>
      <c r="E137" s="72" t="s">
        <v>101</v>
      </c>
      <c r="F137" s="221">
        <v>95000</v>
      </c>
      <c r="G137" s="222">
        <f>F137*2.87%</f>
        <v>2726.5</v>
      </c>
      <c r="H137" s="68">
        <f>+F137*3.04%</f>
        <v>2888</v>
      </c>
      <c r="I137" s="68"/>
      <c r="J137" s="69">
        <f>+G137+H137+I137</f>
        <v>5614.5</v>
      </c>
      <c r="K137" s="69">
        <f>+F137-J137</f>
        <v>89385.5</v>
      </c>
      <c r="L137" s="69">
        <f t="shared" ref="L137:L139" si="32">+IF(K137*12&lt;=416220.01,0,IF(K137*12&lt;=624329.01,(((K137*12-416220.01)*0.15)/12),IF((K137*12&lt;=867123.01),(31216+0.2*(K137*12-624329.01))/12,((79776+0.25*(K137*12-867123.01))/12))))-M137</f>
        <v>10929.312291666667</v>
      </c>
      <c r="M137" s="69"/>
      <c r="N137" s="240">
        <v>25</v>
      </c>
      <c r="O137" s="221">
        <f>+N137+I137+H137+G137+L137</f>
        <v>16568.812291666669</v>
      </c>
      <c r="P137" s="84">
        <f>+F137-O137</f>
        <v>78431.187708333338</v>
      </c>
    </row>
    <row r="138" spans="1:17" ht="35.1" customHeight="1" x14ac:dyDescent="0.2">
      <c r="A138" s="243">
        <f>+A137+1</f>
        <v>71</v>
      </c>
      <c r="B138" s="220" t="s">
        <v>162</v>
      </c>
      <c r="C138" s="219" t="s">
        <v>345</v>
      </c>
      <c r="D138" s="228" t="s">
        <v>605</v>
      </c>
      <c r="E138" s="72" t="s">
        <v>100</v>
      </c>
      <c r="F138" s="221">
        <v>95000</v>
      </c>
      <c r="G138" s="68">
        <f>F138*2.87%</f>
        <v>2726.5</v>
      </c>
      <c r="H138" s="68">
        <f>+F138*3.04%</f>
        <v>2888</v>
      </c>
      <c r="I138" s="68"/>
      <c r="J138" s="69">
        <f>+G138+H138+I138</f>
        <v>5614.5</v>
      </c>
      <c r="K138" s="69">
        <f>+F138-J138</f>
        <v>89385.5</v>
      </c>
      <c r="L138" s="69">
        <f t="shared" si="32"/>
        <v>10929.312291666667</v>
      </c>
      <c r="M138" s="69"/>
      <c r="N138" s="240">
        <v>25</v>
      </c>
      <c r="O138" s="221">
        <f>+N138+I138+H138+G138+L138</f>
        <v>16568.812291666669</v>
      </c>
      <c r="P138" s="84">
        <f>+F138-O138</f>
        <v>78431.187708333338</v>
      </c>
    </row>
    <row r="139" spans="1:17" s="247" customFormat="1" ht="35.1" customHeight="1" x14ac:dyDescent="0.2">
      <c r="A139" s="243">
        <f>+A138+1</f>
        <v>72</v>
      </c>
      <c r="B139" s="220" t="s">
        <v>58</v>
      </c>
      <c r="C139" s="219" t="s">
        <v>345</v>
      </c>
      <c r="D139" s="228" t="s">
        <v>605</v>
      </c>
      <c r="E139" s="72" t="s">
        <v>101</v>
      </c>
      <c r="F139" s="221">
        <v>95000</v>
      </c>
      <c r="G139" s="222">
        <f>F139*2.87%</f>
        <v>2726.5</v>
      </c>
      <c r="H139" s="68">
        <f>+F139*3.04%</f>
        <v>2888</v>
      </c>
      <c r="I139" s="68">
        <f>1919.78*2</f>
        <v>3839.56</v>
      </c>
      <c r="J139" s="69">
        <f>+G139+H139+I139</f>
        <v>9454.06</v>
      </c>
      <c r="K139" s="69">
        <f>+F139-J139</f>
        <v>85545.94</v>
      </c>
      <c r="L139" s="69">
        <f t="shared" si="32"/>
        <v>9969.4222916666677</v>
      </c>
      <c r="M139" s="69"/>
      <c r="N139" s="227">
        <v>1790.29</v>
      </c>
      <c r="O139" s="221">
        <f>+N139+I139+H139+G139+L139</f>
        <v>21213.772291666668</v>
      </c>
      <c r="P139" s="84">
        <f>+F139-O139</f>
        <v>73786.227708333332</v>
      </c>
    </row>
    <row r="140" spans="1:17" s="225" customFormat="1" ht="35.1" customHeight="1" x14ac:dyDescent="0.2">
      <c r="A140" s="229" t="s">
        <v>103</v>
      </c>
      <c r="B140" s="230"/>
      <c r="C140" s="230"/>
      <c r="D140" s="230"/>
      <c r="E140" s="246"/>
      <c r="F140" s="231">
        <f>SUM(F136:F139)</f>
        <v>411500</v>
      </c>
      <c r="G140" s="231">
        <f t="shared" ref="G140:P140" si="33">SUM(G136:G139)</f>
        <v>11810.05</v>
      </c>
      <c r="H140" s="231">
        <f t="shared" si="33"/>
        <v>12509.6</v>
      </c>
      <c r="I140" s="231">
        <f t="shared" si="33"/>
        <v>5759.34</v>
      </c>
      <c r="J140" s="231">
        <f t="shared" si="33"/>
        <v>30078.989999999998</v>
      </c>
      <c r="K140" s="231">
        <f t="shared" si="33"/>
        <v>381421.01</v>
      </c>
      <c r="L140" s="231">
        <f t="shared" si="33"/>
        <v>49687.001666666671</v>
      </c>
      <c r="M140" s="231">
        <f t="shared" si="33"/>
        <v>0</v>
      </c>
      <c r="N140" s="231">
        <f t="shared" si="33"/>
        <v>3130.58</v>
      </c>
      <c r="O140" s="231">
        <f t="shared" si="33"/>
        <v>82896.571666666685</v>
      </c>
      <c r="P140" s="231">
        <f t="shared" si="33"/>
        <v>328603.42833333334</v>
      </c>
      <c r="Q140" s="329"/>
    </row>
    <row r="141" spans="1:17" s="225" customFormat="1" ht="35.1" customHeight="1" thickBot="1" x14ac:dyDescent="0.25">
      <c r="A141" s="147"/>
      <c r="B141" s="147"/>
      <c r="C141" s="147"/>
      <c r="D141" s="147"/>
      <c r="E141" s="147"/>
      <c r="F141" s="232"/>
      <c r="G141" s="232"/>
      <c r="H141" s="232"/>
      <c r="I141" s="232"/>
      <c r="J141" s="232"/>
      <c r="K141" s="232"/>
      <c r="L141" s="232"/>
      <c r="M141" s="232"/>
      <c r="N141" s="232"/>
      <c r="O141" s="232"/>
      <c r="P141" s="232"/>
    </row>
    <row r="142" spans="1:17" s="225" customFormat="1" ht="35.1" customHeight="1" thickBot="1" x14ac:dyDescent="0.25">
      <c r="A142" s="235" t="s">
        <v>147</v>
      </c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</row>
    <row r="143" spans="1:17" s="149" customFormat="1" ht="35.1" customHeight="1" x14ac:dyDescent="0.2">
      <c r="A143" s="73">
        <f>+A139+1</f>
        <v>73</v>
      </c>
      <c r="B143" s="72" t="s">
        <v>59</v>
      </c>
      <c r="C143" s="73" t="s">
        <v>346</v>
      </c>
      <c r="D143" s="239" t="s">
        <v>172</v>
      </c>
      <c r="E143" s="72" t="s">
        <v>101</v>
      </c>
      <c r="F143" s="222">
        <v>148500</v>
      </c>
      <c r="G143" s="68">
        <v>4261.95</v>
      </c>
      <c r="H143" s="68">
        <v>4514.3999999999996</v>
      </c>
      <c r="I143" s="68"/>
      <c r="J143" s="69">
        <f>+G143+H143+I143</f>
        <v>8776.3499999999985</v>
      </c>
      <c r="K143" s="69">
        <f>+F143-J143</f>
        <v>139723.65</v>
      </c>
      <c r="L143" s="69">
        <f>+IF(K143*12&lt;=416220.01,0,IF(K143*12&lt;=624329.01,(((K143*12-416220.01)*0.15)/12),IF((K143*12&lt;=867123.01),(31216+0.2*(K143*12-624329.01))/12,((79776+0.25*(K143*12-867123.01))/12))))-M143</f>
        <v>23513.849791666664</v>
      </c>
      <c r="M143" s="69"/>
      <c r="N143" s="227">
        <v>18699.22</v>
      </c>
      <c r="O143" s="221">
        <f>+N143+I143+H143+G143+L143</f>
        <v>50989.419791666667</v>
      </c>
      <c r="P143" s="240">
        <f>+F143-O143</f>
        <v>97510.580208333326</v>
      </c>
    </row>
    <row r="144" spans="1:17" s="149" customFormat="1" ht="35.1" customHeight="1" x14ac:dyDescent="0.2">
      <c r="A144" s="73">
        <f>+A143+1</f>
        <v>74</v>
      </c>
      <c r="B144" s="72" t="s">
        <v>371</v>
      </c>
      <c r="C144" s="73" t="s">
        <v>346</v>
      </c>
      <c r="D144" s="239" t="s">
        <v>54</v>
      </c>
      <c r="E144" s="72" t="s">
        <v>196</v>
      </c>
      <c r="F144" s="222">
        <v>50000</v>
      </c>
      <c r="G144" s="68">
        <f>+F144*2.87%</f>
        <v>1435</v>
      </c>
      <c r="H144" s="68">
        <f>+F144*3.04%</f>
        <v>1520</v>
      </c>
      <c r="I144" s="68"/>
      <c r="J144" s="69">
        <f>+G144+H144+I144</f>
        <v>2955</v>
      </c>
      <c r="K144" s="69">
        <f>+F144-J144</f>
        <v>47045</v>
      </c>
      <c r="L144" s="69">
        <f>+IF(K144*12&lt;=416220.01,0,IF(K144*12&lt;=624329.01,(((K144*12-416220.01)*0.15)/12),IF((K144*12&lt;=867123.01),(31216+0.2*(K144*12-624329.01))/12,((79776+0.25*(K144*12-867123.01))/12))))-M144</f>
        <v>1853.9998749999997</v>
      </c>
      <c r="M144" s="69"/>
      <c r="N144" s="227">
        <v>225</v>
      </c>
      <c r="O144" s="221">
        <f>+N144+I144+H144+G144+L144</f>
        <v>5033.9998749999995</v>
      </c>
      <c r="P144" s="240">
        <f>+F144-O144</f>
        <v>44966.000124999999</v>
      </c>
    </row>
    <row r="145" spans="1:17" s="225" customFormat="1" ht="35.1" customHeight="1" x14ac:dyDescent="0.2">
      <c r="A145" s="229" t="s">
        <v>103</v>
      </c>
      <c r="B145" s="230"/>
      <c r="C145" s="230"/>
      <c r="D145" s="230"/>
      <c r="E145" s="246"/>
      <c r="F145" s="231">
        <f t="shared" ref="F145:L145" si="34">SUM(F143:F144)</f>
        <v>198500</v>
      </c>
      <c r="G145" s="231">
        <f t="shared" si="34"/>
        <v>5696.95</v>
      </c>
      <c r="H145" s="231">
        <f t="shared" si="34"/>
        <v>6034.4</v>
      </c>
      <c r="I145" s="231">
        <f t="shared" si="34"/>
        <v>0</v>
      </c>
      <c r="J145" s="231">
        <f t="shared" si="34"/>
        <v>11731.349999999999</v>
      </c>
      <c r="K145" s="231">
        <f t="shared" si="34"/>
        <v>186768.65</v>
      </c>
      <c r="L145" s="231">
        <f t="shared" si="34"/>
        <v>25367.849666666665</v>
      </c>
      <c r="M145" s="231"/>
      <c r="N145" s="231">
        <f>SUM(N143:N144)</f>
        <v>18924.22</v>
      </c>
      <c r="O145" s="231">
        <f t="shared" ref="O145:P145" si="35">SUM(O143:O144)</f>
        <v>56023.419666666668</v>
      </c>
      <c r="P145" s="231">
        <f t="shared" si="35"/>
        <v>142476.58033333332</v>
      </c>
      <c r="Q145" s="329"/>
    </row>
    <row r="146" spans="1:17" s="259" customFormat="1" ht="35.1" customHeight="1" thickBot="1" x14ac:dyDescent="0.25">
      <c r="A146" s="146"/>
      <c r="B146" s="146"/>
      <c r="C146" s="146"/>
      <c r="D146" s="146"/>
      <c r="E146" s="146"/>
      <c r="F146" s="232"/>
      <c r="G146" s="232"/>
      <c r="H146" s="232"/>
      <c r="I146" s="232"/>
      <c r="J146" s="232"/>
      <c r="K146" s="232"/>
      <c r="L146" s="232"/>
      <c r="M146" s="232"/>
      <c r="N146" s="232"/>
      <c r="O146" s="232"/>
      <c r="P146" s="232"/>
    </row>
    <row r="147" spans="1:17" s="247" customFormat="1" ht="35.1" customHeight="1" thickBot="1" x14ac:dyDescent="0.25">
      <c r="A147" s="235" t="s">
        <v>608</v>
      </c>
      <c r="B147" s="236"/>
      <c r="C147" s="236"/>
      <c r="D147" s="236"/>
      <c r="E147" s="236"/>
      <c r="F147" s="236"/>
      <c r="G147" s="236"/>
      <c r="H147" s="236"/>
      <c r="I147" s="236"/>
      <c r="J147" s="236"/>
      <c r="K147" s="236"/>
      <c r="L147" s="236"/>
      <c r="M147" s="236"/>
      <c r="N147" s="236"/>
      <c r="O147" s="236"/>
      <c r="P147" s="236"/>
    </row>
    <row r="148" spans="1:17" s="225" customFormat="1" ht="35.1" customHeight="1" x14ac:dyDescent="0.2">
      <c r="A148" s="241">
        <f>+A144+1</f>
        <v>75</v>
      </c>
      <c r="B148" s="72" t="s">
        <v>208</v>
      </c>
      <c r="C148" s="73" t="s">
        <v>346</v>
      </c>
      <c r="D148" s="239" t="s">
        <v>605</v>
      </c>
      <c r="E148" s="72" t="s">
        <v>100</v>
      </c>
      <c r="F148" s="222">
        <v>95000</v>
      </c>
      <c r="G148" s="222">
        <f>F148*2.87%</f>
        <v>2726.5</v>
      </c>
      <c r="H148" s="68">
        <f>+F148*3.04%</f>
        <v>2888</v>
      </c>
      <c r="I148" s="68">
        <v>1919.78</v>
      </c>
      <c r="J148" s="69">
        <f>+G148+H148+I148</f>
        <v>7534.28</v>
      </c>
      <c r="K148" s="69">
        <f>+F148-J148</f>
        <v>87465.72</v>
      </c>
      <c r="L148" s="69">
        <f>+IF(K148*12&lt;=416220.01,0,IF(K148*12&lt;=624329.01,(((K148*12-416220.01)*0.15)/12),IF((K148*12&lt;=867123.01),(31216+0.2*(K148*12-624329.01))/12,((79776+0.25*(K148*12-867123.01))/12))))-M148</f>
        <v>10449.367291666669</v>
      </c>
      <c r="M148" s="69"/>
      <c r="N148" s="227">
        <v>11027.78</v>
      </c>
      <c r="O148" s="221">
        <f>+N148+I148+H148+G148+L148</f>
        <v>29011.42729166667</v>
      </c>
      <c r="P148" s="84">
        <f>+F148-O148</f>
        <v>65988.572708333333</v>
      </c>
    </row>
    <row r="149" spans="1:17" s="149" customFormat="1" ht="35.1" customHeight="1" x14ac:dyDescent="0.2">
      <c r="A149" s="229" t="s">
        <v>103</v>
      </c>
      <c r="B149" s="230"/>
      <c r="C149" s="230"/>
      <c r="D149" s="230"/>
      <c r="E149" s="246"/>
      <c r="F149" s="231">
        <f t="shared" ref="F149:L149" si="36">SUM(F148:F148)</f>
        <v>95000</v>
      </c>
      <c r="G149" s="231">
        <f t="shared" si="36"/>
        <v>2726.5</v>
      </c>
      <c r="H149" s="231">
        <f t="shared" si="36"/>
        <v>2888</v>
      </c>
      <c r="I149" s="231">
        <f t="shared" si="36"/>
        <v>1919.78</v>
      </c>
      <c r="J149" s="231">
        <f t="shared" si="36"/>
        <v>7534.28</v>
      </c>
      <c r="K149" s="231">
        <f t="shared" si="36"/>
        <v>87465.72</v>
      </c>
      <c r="L149" s="231">
        <f t="shared" si="36"/>
        <v>10449.367291666669</v>
      </c>
      <c r="M149" s="231"/>
      <c r="N149" s="231">
        <f>SUM(N148:N148)</f>
        <v>11027.78</v>
      </c>
      <c r="O149" s="231">
        <f>SUM(O148:O148)</f>
        <v>29011.42729166667</v>
      </c>
      <c r="P149" s="231">
        <f>SUM(P148:P148)</f>
        <v>65988.572708333333</v>
      </c>
      <c r="Q149" s="329"/>
    </row>
    <row r="150" spans="1:17" s="225" customFormat="1" ht="35.1" customHeight="1" thickBot="1" x14ac:dyDescent="0.25">
      <c r="A150" s="224"/>
      <c r="B150" s="224"/>
      <c r="C150" s="250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</row>
    <row r="151" spans="1:17" s="225" customFormat="1" ht="35.1" customHeight="1" thickBot="1" x14ac:dyDescent="0.25">
      <c r="A151" s="356" t="s">
        <v>148</v>
      </c>
      <c r="B151" s="357"/>
      <c r="C151" s="357"/>
      <c r="D151" s="357"/>
      <c r="E151" s="357"/>
      <c r="F151" s="253"/>
      <c r="G151" s="253"/>
      <c r="H151" s="253"/>
      <c r="I151" s="253"/>
      <c r="J151" s="253"/>
      <c r="K151" s="253"/>
      <c r="L151" s="253"/>
      <c r="M151" s="253"/>
      <c r="N151" s="253"/>
      <c r="O151" s="253"/>
      <c r="P151" s="253"/>
    </row>
    <row r="152" spans="1:17" s="225" customFormat="1" ht="35.1" customHeight="1" x14ac:dyDescent="0.2">
      <c r="A152" s="241">
        <f>+A148+1</f>
        <v>76</v>
      </c>
      <c r="B152" s="72" t="s">
        <v>239</v>
      </c>
      <c r="C152" s="73" t="s">
        <v>345</v>
      </c>
      <c r="D152" s="239" t="s">
        <v>605</v>
      </c>
      <c r="E152" s="72" t="s">
        <v>101</v>
      </c>
      <c r="F152" s="222">
        <v>95000</v>
      </c>
      <c r="G152" s="222">
        <f>F152*2.87%</f>
        <v>2726.5</v>
      </c>
      <c r="H152" s="68">
        <f>F152*3.04%</f>
        <v>2888</v>
      </c>
      <c r="I152" s="68"/>
      <c r="J152" s="69">
        <f>+G152+H152+I152</f>
        <v>5614.5</v>
      </c>
      <c r="K152" s="69">
        <f>+F152-J152</f>
        <v>89385.5</v>
      </c>
      <c r="L152" s="69">
        <f>+IF(K152*12&lt;=416220.01,0,IF(K152*12&lt;=624329.01,(((K152*12-416220.01)*0.15)/12),IF((K152*12&lt;=867123.01),(31216+0.2*(K152*12-624329.01))/12,((79776+0.25*(K152*12-867123.01))/12))))-M152</f>
        <v>10929.312291666667</v>
      </c>
      <c r="M152" s="69"/>
      <c r="N152" s="227">
        <v>265</v>
      </c>
      <c r="O152" s="221">
        <f>+N152+I152+H152+G152+L152</f>
        <v>16808.812291666669</v>
      </c>
      <c r="P152" s="84">
        <f>+F152-O152</f>
        <v>78191.187708333338</v>
      </c>
    </row>
    <row r="153" spans="1:17" s="225" customFormat="1" ht="41.25" customHeight="1" x14ac:dyDescent="0.2">
      <c r="A153" s="229" t="s">
        <v>103</v>
      </c>
      <c r="B153" s="230"/>
      <c r="C153" s="230"/>
      <c r="D153" s="230"/>
      <c r="E153" s="246"/>
      <c r="F153" s="231">
        <f t="shared" ref="F153:L153" si="37">SUM(F152:F152)</f>
        <v>95000</v>
      </c>
      <c r="G153" s="231">
        <f t="shared" si="37"/>
        <v>2726.5</v>
      </c>
      <c r="H153" s="231">
        <f t="shared" si="37"/>
        <v>2888</v>
      </c>
      <c r="I153" s="231">
        <f t="shared" si="37"/>
        <v>0</v>
      </c>
      <c r="J153" s="231">
        <f t="shared" si="37"/>
        <v>5614.5</v>
      </c>
      <c r="K153" s="231">
        <f t="shared" si="37"/>
        <v>89385.5</v>
      </c>
      <c r="L153" s="231">
        <f t="shared" si="37"/>
        <v>10929.312291666667</v>
      </c>
      <c r="M153" s="231"/>
      <c r="N153" s="231">
        <f>SUM(N152:N152)</f>
        <v>265</v>
      </c>
      <c r="O153" s="231">
        <f t="shared" ref="O153:P153" si="38">SUM(O152:O152)</f>
        <v>16808.812291666669</v>
      </c>
      <c r="P153" s="231">
        <f t="shared" si="38"/>
        <v>78191.187708333338</v>
      </c>
      <c r="Q153" s="329"/>
    </row>
    <row r="154" spans="1:17" s="225" customFormat="1" ht="35.1" customHeight="1" thickBot="1" x14ac:dyDescent="0.25">
      <c r="A154" s="146"/>
      <c r="B154" s="146"/>
      <c r="C154" s="146"/>
      <c r="D154" s="146"/>
      <c r="E154" s="146"/>
      <c r="F154" s="232"/>
      <c r="G154" s="232"/>
      <c r="H154" s="232"/>
      <c r="I154" s="232"/>
      <c r="J154" s="232"/>
      <c r="K154" s="232"/>
      <c r="L154" s="232"/>
      <c r="M154" s="232"/>
      <c r="N154" s="232"/>
      <c r="O154" s="232"/>
      <c r="P154" s="232"/>
    </row>
    <row r="155" spans="1:17" s="247" customFormat="1" ht="35.1" customHeight="1" thickBot="1" x14ac:dyDescent="0.25">
      <c r="A155" s="235" t="s">
        <v>249</v>
      </c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</row>
    <row r="156" spans="1:17" ht="43.5" customHeight="1" thickBot="1" x14ac:dyDescent="0.25">
      <c r="A156" s="235" t="s">
        <v>250</v>
      </c>
      <c r="B156" s="236"/>
      <c r="C156" s="236"/>
      <c r="D156" s="236"/>
      <c r="E156" s="236"/>
      <c r="F156" s="236"/>
      <c r="G156" s="236"/>
      <c r="H156" s="236"/>
      <c r="I156" s="236"/>
      <c r="J156" s="236"/>
      <c r="K156" s="236"/>
      <c r="L156" s="236"/>
      <c r="M156" s="236"/>
      <c r="N156" s="236"/>
      <c r="O156" s="236"/>
      <c r="P156" s="236"/>
    </row>
    <row r="157" spans="1:17" ht="35.1" customHeight="1" x14ac:dyDescent="0.2">
      <c r="A157" s="241">
        <f>+A152+1</f>
        <v>77</v>
      </c>
      <c r="B157" s="72" t="s">
        <v>240</v>
      </c>
      <c r="C157" s="73" t="s">
        <v>346</v>
      </c>
      <c r="D157" s="88" t="s">
        <v>442</v>
      </c>
      <c r="E157" s="72" t="s">
        <v>100</v>
      </c>
      <c r="F157" s="222">
        <v>120000</v>
      </c>
      <c r="G157" s="222">
        <f>F157*2.87%</f>
        <v>3444</v>
      </c>
      <c r="H157" s="68">
        <f>+F157*3.04%</f>
        <v>3648</v>
      </c>
      <c r="I157" s="68"/>
      <c r="J157" s="69">
        <f>+G157+H157+I157</f>
        <v>7092</v>
      </c>
      <c r="K157" s="69">
        <f>+F157-J157</f>
        <v>112908</v>
      </c>
      <c r="L157" s="69">
        <f>IF(K157*12&lt;=416220,0,IF(K157*12&lt;=624329,(((K157*12-416220.01)*0.15)/12),IF((K157*12&lt;=867123),(31216+0.2*(K157*12-624329.01))/12,((79776+0.25*(K157*12-867123.01))/12))))-M157</f>
        <v>16809.937291666665</v>
      </c>
      <c r="M157" s="69"/>
      <c r="N157" s="240">
        <v>25</v>
      </c>
      <c r="O157" s="221">
        <f>+N157+I157+H157+G157+L157</f>
        <v>23926.937291666665</v>
      </c>
      <c r="P157" s="240">
        <f>+F157-O157</f>
        <v>96073.062708333338</v>
      </c>
    </row>
    <row r="158" spans="1:17" s="225" customFormat="1" ht="35.1" customHeight="1" x14ac:dyDescent="0.2">
      <c r="A158" s="229" t="s">
        <v>103</v>
      </c>
      <c r="B158" s="230"/>
      <c r="C158" s="230"/>
      <c r="D158" s="230"/>
      <c r="E158" s="246"/>
      <c r="F158" s="231">
        <f t="shared" ref="F158:P158" si="39">SUM(F157:F157)</f>
        <v>120000</v>
      </c>
      <c r="G158" s="231">
        <f t="shared" si="39"/>
        <v>3444</v>
      </c>
      <c r="H158" s="231">
        <f t="shared" si="39"/>
        <v>3648</v>
      </c>
      <c r="I158" s="231">
        <f t="shared" si="39"/>
        <v>0</v>
      </c>
      <c r="J158" s="231">
        <f t="shared" si="39"/>
        <v>7092</v>
      </c>
      <c r="K158" s="231">
        <f t="shared" si="39"/>
        <v>112908</v>
      </c>
      <c r="L158" s="231">
        <f t="shared" si="39"/>
        <v>16809.937291666665</v>
      </c>
      <c r="M158" s="231">
        <f t="shared" si="39"/>
        <v>0</v>
      </c>
      <c r="N158" s="231">
        <f t="shared" si="39"/>
        <v>25</v>
      </c>
      <c r="O158" s="231">
        <f t="shared" si="39"/>
        <v>23926.937291666665</v>
      </c>
      <c r="P158" s="231">
        <f t="shared" si="39"/>
        <v>96073.062708333338</v>
      </c>
      <c r="Q158" s="329"/>
    </row>
    <row r="159" spans="1:17" s="247" customFormat="1" ht="35.1" customHeight="1" thickBot="1" x14ac:dyDescent="0.25">
      <c r="A159" s="149"/>
      <c r="B159" s="149"/>
      <c r="C159" s="233"/>
      <c r="D159" s="149"/>
      <c r="E159" s="149"/>
      <c r="F159" s="149"/>
      <c r="G159" s="149"/>
      <c r="H159" s="149"/>
      <c r="I159" s="149"/>
      <c r="J159" s="149"/>
      <c r="K159" s="149"/>
      <c r="L159" s="149"/>
      <c r="M159" s="149"/>
      <c r="N159" s="149"/>
      <c r="O159" s="149"/>
      <c r="P159" s="149"/>
    </row>
    <row r="160" spans="1:17" s="247" customFormat="1" ht="35.1" customHeight="1" thickBot="1" x14ac:dyDescent="0.25">
      <c r="A160" s="235" t="s">
        <v>72</v>
      </c>
      <c r="B160" s="236"/>
      <c r="C160" s="236"/>
      <c r="D160" s="236"/>
      <c r="E160" s="236"/>
      <c r="F160" s="236"/>
      <c r="G160" s="236"/>
      <c r="H160" s="236"/>
      <c r="I160" s="236"/>
      <c r="J160" s="236"/>
      <c r="K160" s="236"/>
      <c r="L160" s="236"/>
      <c r="M160" s="236"/>
      <c r="N160" s="236"/>
      <c r="O160" s="236"/>
      <c r="P160" s="236"/>
    </row>
    <row r="161" spans="1:17" s="149" customFormat="1" ht="35.1" customHeight="1" x14ac:dyDescent="0.2">
      <c r="A161" s="241">
        <f>+A157+1</f>
        <v>78</v>
      </c>
      <c r="B161" s="281" t="s">
        <v>541</v>
      </c>
      <c r="C161" s="241" t="s">
        <v>346</v>
      </c>
      <c r="D161" s="291" t="s">
        <v>562</v>
      </c>
      <c r="E161" s="244" t="s">
        <v>101</v>
      </c>
      <c r="F161" s="68">
        <v>100000</v>
      </c>
      <c r="G161" s="68">
        <f>F161*2.87%</f>
        <v>2870</v>
      </c>
      <c r="H161" s="68">
        <f>+F161*3.04%</f>
        <v>3040</v>
      </c>
      <c r="I161" s="68">
        <v>1919.78</v>
      </c>
      <c r="J161" s="69">
        <f>+G161+H161+I161</f>
        <v>7829.78</v>
      </c>
      <c r="K161" s="69">
        <f>+F161-J161</f>
        <v>92170.22</v>
      </c>
      <c r="L161" s="69">
        <f>IF(K161*12&lt;=416220,0,IF(K161*12&lt;=624329,(((K161*12-416220.01)*0.15)/12),IF((K161*12&lt;=867123),(31216+0.2*(K161*12-624329.01))/12,((79776+0.25*(K161*12-867123.01))/12))))-M161</f>
        <v>11625.492291666669</v>
      </c>
      <c r="M161" s="69"/>
      <c r="N161" s="240">
        <v>25</v>
      </c>
      <c r="O161" s="221">
        <f>+N161+I161+H161+G161+L161</f>
        <v>19480.272291666668</v>
      </c>
      <c r="P161" s="240">
        <f>+F161-O161</f>
        <v>80519.727708333332</v>
      </c>
    </row>
    <row r="162" spans="1:17" s="225" customFormat="1" ht="35.1" customHeight="1" thickBot="1" x14ac:dyDescent="0.25">
      <c r="A162" s="229" t="s">
        <v>103</v>
      </c>
      <c r="B162" s="230"/>
      <c r="C162" s="230"/>
      <c r="D162" s="230"/>
      <c r="E162" s="246"/>
      <c r="F162" s="231">
        <f t="shared" ref="F162:P162" si="40">SUM(F161:F161)</f>
        <v>100000</v>
      </c>
      <c r="G162" s="231">
        <f t="shared" si="40"/>
        <v>2870</v>
      </c>
      <c r="H162" s="231">
        <f t="shared" si="40"/>
        <v>3040</v>
      </c>
      <c r="I162" s="231">
        <f t="shared" si="40"/>
        <v>1919.78</v>
      </c>
      <c r="J162" s="231">
        <f t="shared" si="40"/>
        <v>7829.78</v>
      </c>
      <c r="K162" s="231">
        <f t="shared" si="40"/>
        <v>92170.22</v>
      </c>
      <c r="L162" s="231">
        <f t="shared" si="40"/>
        <v>11625.492291666669</v>
      </c>
      <c r="M162" s="231">
        <f t="shared" si="40"/>
        <v>0</v>
      </c>
      <c r="N162" s="231">
        <f t="shared" si="40"/>
        <v>25</v>
      </c>
      <c r="O162" s="231">
        <f t="shared" si="40"/>
        <v>19480.272291666668</v>
      </c>
      <c r="P162" s="231">
        <f t="shared" si="40"/>
        <v>80519.727708333332</v>
      </c>
      <c r="Q162" s="329"/>
    </row>
    <row r="163" spans="1:17" s="225" customFormat="1" ht="35.1" customHeight="1" thickBot="1" x14ac:dyDescent="0.25">
      <c r="A163" s="235" t="s">
        <v>73</v>
      </c>
      <c r="B163" s="236"/>
      <c r="C163" s="236"/>
      <c r="D163" s="236"/>
      <c r="E163" s="236"/>
      <c r="F163" s="236"/>
      <c r="G163" s="236"/>
      <c r="H163" s="236"/>
      <c r="I163" s="236"/>
      <c r="J163" s="236"/>
      <c r="K163" s="236"/>
      <c r="L163" s="236"/>
      <c r="M163" s="236"/>
      <c r="N163" s="236"/>
      <c r="O163" s="236"/>
      <c r="P163" s="236"/>
    </row>
    <row r="164" spans="1:17" s="247" customFormat="1" ht="35.1" customHeight="1" x14ac:dyDescent="0.2">
      <c r="A164" s="243">
        <f>+A161+1</f>
        <v>79</v>
      </c>
      <c r="B164" s="220" t="s">
        <v>9</v>
      </c>
      <c r="C164" s="219" t="s">
        <v>346</v>
      </c>
      <c r="D164" s="226" t="s">
        <v>88</v>
      </c>
      <c r="E164" s="220" t="s">
        <v>169</v>
      </c>
      <c r="F164" s="221">
        <v>145000</v>
      </c>
      <c r="G164" s="221">
        <f>F164*2.87%</f>
        <v>4161.5</v>
      </c>
      <c r="H164" s="221">
        <f>+F164*3.04%</f>
        <v>4408</v>
      </c>
      <c r="I164" s="221"/>
      <c r="J164" s="69">
        <f>+G164+H164+I164</f>
        <v>8569.5</v>
      </c>
      <c r="K164" s="69">
        <f>+F164-J164</f>
        <v>136430.5</v>
      </c>
      <c r="L164" s="69">
        <f>+IF(K164*12&lt;=416220.01,0,IF(K164*12&lt;=624329.01,(((K164*12-416220.01)*0.15)/12),IF((K164*12&lt;=867123.01),(31216+0.2*(K164*12-624329.01))/12,((79776+0.25*(K164*12-867123.01))/12))))-M164</f>
        <v>22690.562291666665</v>
      </c>
      <c r="M164" s="69"/>
      <c r="N164" s="84">
        <v>25</v>
      </c>
      <c r="O164" s="221">
        <f>+N164+I164+H164+G164+L164</f>
        <v>31285.062291666665</v>
      </c>
      <c r="P164" s="223">
        <f>+F164-O164</f>
        <v>113714.93770833334</v>
      </c>
    </row>
    <row r="165" spans="1:17" s="98" customFormat="1" ht="35.1" customHeight="1" x14ac:dyDescent="0.2">
      <c r="A165" s="229" t="s">
        <v>103</v>
      </c>
      <c r="B165" s="230"/>
      <c r="C165" s="230"/>
      <c r="D165" s="230"/>
      <c r="E165" s="246"/>
      <c r="F165" s="231">
        <f t="shared" ref="F165:L165" si="41">SUM(F164:F164)</f>
        <v>145000</v>
      </c>
      <c r="G165" s="231">
        <f t="shared" si="41"/>
        <v>4161.5</v>
      </c>
      <c r="H165" s="231">
        <f t="shared" si="41"/>
        <v>4408</v>
      </c>
      <c r="I165" s="231">
        <f t="shared" si="41"/>
        <v>0</v>
      </c>
      <c r="J165" s="231">
        <f t="shared" si="41"/>
        <v>8569.5</v>
      </c>
      <c r="K165" s="231">
        <f t="shared" si="41"/>
        <v>136430.5</v>
      </c>
      <c r="L165" s="231">
        <f t="shared" si="41"/>
        <v>22690.562291666665</v>
      </c>
      <c r="M165" s="231"/>
      <c r="N165" s="231">
        <f>SUM(N164:N164)</f>
        <v>25</v>
      </c>
      <c r="O165" s="231">
        <f t="shared" ref="O165:P165" si="42">SUM(O164:O164)</f>
        <v>31285.062291666665</v>
      </c>
      <c r="P165" s="231">
        <f t="shared" si="42"/>
        <v>113714.93770833334</v>
      </c>
      <c r="Q165" s="333"/>
    </row>
    <row r="166" spans="1:17" s="225" customFormat="1" ht="35.1" customHeight="1" thickBot="1" x14ac:dyDescent="0.25">
      <c r="A166" s="147"/>
      <c r="B166" s="147"/>
      <c r="C166" s="147"/>
      <c r="D166" s="147"/>
      <c r="E166" s="147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</row>
    <row r="167" spans="1:17" s="225" customFormat="1" ht="35.1" customHeight="1" thickBot="1" x14ac:dyDescent="0.25">
      <c r="A167" s="235" t="s">
        <v>248</v>
      </c>
      <c r="B167" s="236"/>
      <c r="C167" s="236"/>
      <c r="D167" s="236"/>
      <c r="E167" s="236"/>
      <c r="F167" s="236"/>
      <c r="G167" s="236"/>
      <c r="H167" s="236"/>
      <c r="I167" s="236"/>
      <c r="J167" s="236"/>
      <c r="K167" s="236"/>
      <c r="L167" s="236"/>
      <c r="M167" s="236"/>
      <c r="N167" s="236"/>
      <c r="O167" s="236"/>
      <c r="P167" s="236"/>
    </row>
    <row r="168" spans="1:17" s="225" customFormat="1" ht="35.1" customHeight="1" x14ac:dyDescent="0.2">
      <c r="A168" s="243">
        <f>+A164+1</f>
        <v>80</v>
      </c>
      <c r="B168" s="244" t="s">
        <v>46</v>
      </c>
      <c r="C168" s="241" t="s">
        <v>346</v>
      </c>
      <c r="D168" s="239" t="s">
        <v>424</v>
      </c>
      <c r="E168" s="244" t="s">
        <v>100</v>
      </c>
      <c r="F168" s="68">
        <v>135000</v>
      </c>
      <c r="G168" s="68">
        <f>F168*2.87%</f>
        <v>3874.5</v>
      </c>
      <c r="H168" s="68">
        <f>+F168*3.04%</f>
        <v>4104</v>
      </c>
      <c r="I168" s="68">
        <v>1919.78</v>
      </c>
      <c r="J168" s="69">
        <f>+G168+H168+I168</f>
        <v>9898.2800000000007</v>
      </c>
      <c r="K168" s="69">
        <f>+F168-J168</f>
        <v>125101.72</v>
      </c>
      <c r="L168" s="69">
        <f t="shared" ref="L168:L172" si="43">+IF(K168*12&lt;=416220.01,0,IF(K168*12&lt;=624329.01,(((K168*12-416220.01)*0.15)/12),IF((K168*12&lt;=867123.01),(31216+0.2*(K168*12-624329.01))/12,((79776+0.25*(K168*12-867123.01))/12))))-M168</f>
        <v>19858.367291666669</v>
      </c>
      <c r="M168" s="69"/>
      <c r="N168" s="240">
        <v>25</v>
      </c>
      <c r="O168" s="221">
        <f>+N168+I168+H168+G168+L168</f>
        <v>29781.647291666668</v>
      </c>
      <c r="P168" s="84">
        <f>+F168-O168</f>
        <v>105218.35270833333</v>
      </c>
    </row>
    <row r="169" spans="1:17" s="212" customFormat="1" ht="35.1" customHeight="1" x14ac:dyDescent="0.2">
      <c r="A169" s="243">
        <f>+A168+1</f>
        <v>81</v>
      </c>
      <c r="B169" s="244" t="s">
        <v>244</v>
      </c>
      <c r="C169" s="241" t="s">
        <v>346</v>
      </c>
      <c r="D169" s="239" t="s">
        <v>243</v>
      </c>
      <c r="E169" s="244" t="s">
        <v>101</v>
      </c>
      <c r="F169" s="68">
        <v>100000</v>
      </c>
      <c r="G169" s="222">
        <f>F169*2.87%</f>
        <v>2870</v>
      </c>
      <c r="H169" s="68">
        <f>+F169*3.04%</f>
        <v>3040</v>
      </c>
      <c r="I169" s="68"/>
      <c r="J169" s="69">
        <f>+G169+H169+I169</f>
        <v>5910</v>
      </c>
      <c r="K169" s="69">
        <f>+F169-J169</f>
        <v>94090</v>
      </c>
      <c r="L169" s="69">
        <f t="shared" si="43"/>
        <v>12105.437291666667</v>
      </c>
      <c r="M169" s="69"/>
      <c r="N169" s="240">
        <v>25</v>
      </c>
      <c r="O169" s="221">
        <f>+N169+I169+H169+G169+L169</f>
        <v>18040.437291666669</v>
      </c>
      <c r="P169" s="84">
        <f>+F169-O169</f>
        <v>81959.562708333338</v>
      </c>
    </row>
    <row r="170" spans="1:17" s="149" customFormat="1" ht="35.1" customHeight="1" x14ac:dyDescent="0.2">
      <c r="A170" s="243">
        <f>+A169+1</f>
        <v>82</v>
      </c>
      <c r="B170" s="244" t="s">
        <v>229</v>
      </c>
      <c r="C170" s="241" t="s">
        <v>346</v>
      </c>
      <c r="D170" s="257" t="s">
        <v>243</v>
      </c>
      <c r="E170" s="244" t="s">
        <v>100</v>
      </c>
      <c r="F170" s="68">
        <v>90000</v>
      </c>
      <c r="G170" s="222">
        <f>F170*2.87%</f>
        <v>2583</v>
      </c>
      <c r="H170" s="222">
        <f>+F170*3.04%</f>
        <v>2736</v>
      </c>
      <c r="I170" s="222"/>
      <c r="J170" s="221">
        <f>+G170+H170+I170</f>
        <v>5319</v>
      </c>
      <c r="K170" s="221">
        <f>+F170-J170</f>
        <v>84681</v>
      </c>
      <c r="L170" s="69">
        <f t="shared" si="43"/>
        <v>9753.1872916666671</v>
      </c>
      <c r="M170" s="221"/>
      <c r="N170" s="227">
        <v>305</v>
      </c>
      <c r="O170" s="221">
        <f>+N170+I170+H170+G170+L170</f>
        <v>15377.187291666667</v>
      </c>
      <c r="P170" s="223">
        <f>+F170-O170</f>
        <v>74622.812708333338</v>
      </c>
    </row>
    <row r="171" spans="1:17" s="149" customFormat="1" ht="35.1" customHeight="1" x14ac:dyDescent="0.2">
      <c r="A171" s="243">
        <f>+A170+1</f>
        <v>83</v>
      </c>
      <c r="B171" s="244" t="s">
        <v>218</v>
      </c>
      <c r="C171" s="241" t="s">
        <v>346</v>
      </c>
      <c r="D171" s="239" t="s">
        <v>243</v>
      </c>
      <c r="E171" s="244" t="s">
        <v>100</v>
      </c>
      <c r="F171" s="68">
        <v>85000</v>
      </c>
      <c r="G171" s="68">
        <f>F171*2.87%</f>
        <v>2439.5</v>
      </c>
      <c r="H171" s="68">
        <f>+F171*3.04%</f>
        <v>2584</v>
      </c>
      <c r="I171" s="68"/>
      <c r="J171" s="69">
        <f>+G171+H171+I171</f>
        <v>5023.5</v>
      </c>
      <c r="K171" s="69">
        <f>+F171-J171</f>
        <v>79976.5</v>
      </c>
      <c r="L171" s="69">
        <f t="shared" si="43"/>
        <v>8577.0622916666671</v>
      </c>
      <c r="M171" s="69"/>
      <c r="N171" s="84">
        <v>4725</v>
      </c>
      <c r="O171" s="221">
        <f>+N171+I171+H171+G171+L171</f>
        <v>18325.562291666669</v>
      </c>
      <c r="P171" s="84">
        <f>+F171-O171</f>
        <v>66674.437708333338</v>
      </c>
    </row>
    <row r="172" spans="1:17" s="149" customFormat="1" ht="35.1" customHeight="1" x14ac:dyDescent="0.2">
      <c r="A172" s="243">
        <f>+A171+1</f>
        <v>84</v>
      </c>
      <c r="B172" s="244" t="s">
        <v>241</v>
      </c>
      <c r="C172" s="241" t="s">
        <v>346</v>
      </c>
      <c r="D172" s="239" t="s">
        <v>54</v>
      </c>
      <c r="E172" s="244" t="s">
        <v>101</v>
      </c>
      <c r="F172" s="68">
        <v>50000</v>
      </c>
      <c r="G172" s="68">
        <f>F172*2.87%</f>
        <v>1435</v>
      </c>
      <c r="H172" s="68">
        <f>+F172*3.04%</f>
        <v>1520</v>
      </c>
      <c r="I172" s="68">
        <v>1919.78</v>
      </c>
      <c r="J172" s="69">
        <f>+G172+H172+I172</f>
        <v>4874.78</v>
      </c>
      <c r="K172" s="69">
        <f>+F172-J172</f>
        <v>45125.22</v>
      </c>
      <c r="L172" s="69">
        <f t="shared" si="43"/>
        <v>1566.0328749999999</v>
      </c>
      <c r="M172" s="69"/>
      <c r="N172" s="84">
        <v>17761.62</v>
      </c>
      <c r="O172" s="221">
        <f>+N172+I172+H172+G172+L172</f>
        <v>24202.432874999999</v>
      </c>
      <c r="P172" s="240">
        <f>+F172-O172</f>
        <v>25797.567125000001</v>
      </c>
    </row>
    <row r="173" spans="1:17" s="149" customFormat="1" ht="35.1" customHeight="1" x14ac:dyDescent="0.2">
      <c r="A173" s="229" t="s">
        <v>103</v>
      </c>
      <c r="B173" s="230"/>
      <c r="C173" s="230"/>
      <c r="D173" s="230"/>
      <c r="E173" s="246"/>
      <c r="F173" s="231">
        <f>SUM(F168:F172)</f>
        <v>460000</v>
      </c>
      <c r="G173" s="231">
        <f t="shared" ref="G173:P173" si="44">SUM(G168:G172)</f>
        <v>13202</v>
      </c>
      <c r="H173" s="231">
        <f t="shared" si="44"/>
        <v>13984</v>
      </c>
      <c r="I173" s="231">
        <f t="shared" si="44"/>
        <v>3839.56</v>
      </c>
      <c r="J173" s="231">
        <f t="shared" si="44"/>
        <v>31025.559999999998</v>
      </c>
      <c r="K173" s="231">
        <f t="shared" si="44"/>
        <v>428974.43999999994</v>
      </c>
      <c r="L173" s="231">
        <f t="shared" si="44"/>
        <v>51860.087041666673</v>
      </c>
      <c r="M173" s="231">
        <f t="shared" si="44"/>
        <v>0</v>
      </c>
      <c r="N173" s="231">
        <f t="shared" si="44"/>
        <v>22841.62</v>
      </c>
      <c r="O173" s="231">
        <f t="shared" si="44"/>
        <v>105727.26704166667</v>
      </c>
      <c r="P173" s="231">
        <f t="shared" si="44"/>
        <v>354272.73295833333</v>
      </c>
      <c r="Q173" s="329"/>
    </row>
    <row r="174" spans="1:17" s="225" customFormat="1" ht="26.45" customHeight="1" thickBot="1" x14ac:dyDescent="0.25">
      <c r="A174" s="233"/>
      <c r="B174" s="267"/>
      <c r="C174" s="268"/>
      <c r="D174" s="267"/>
      <c r="E174" s="267"/>
      <c r="F174" s="269"/>
      <c r="G174" s="149"/>
      <c r="H174" s="149"/>
      <c r="I174" s="149"/>
      <c r="J174" s="149"/>
      <c r="K174" s="149"/>
      <c r="L174" s="149"/>
      <c r="M174" s="149"/>
      <c r="N174" s="149"/>
      <c r="O174" s="149"/>
      <c r="P174" s="149"/>
    </row>
    <row r="175" spans="1:17" s="149" customFormat="1" ht="35.1" customHeight="1" thickBot="1" x14ac:dyDescent="0.25">
      <c r="A175" s="235" t="s">
        <v>74</v>
      </c>
      <c r="B175" s="236"/>
      <c r="C175" s="236"/>
      <c r="D175" s="236"/>
      <c r="E175" s="236"/>
      <c r="F175" s="236"/>
      <c r="G175" s="236"/>
      <c r="H175" s="236"/>
      <c r="I175" s="236"/>
      <c r="J175" s="236"/>
      <c r="K175" s="236"/>
      <c r="L175" s="236"/>
      <c r="M175" s="236"/>
      <c r="N175" s="236"/>
      <c r="O175" s="236"/>
      <c r="P175" s="236"/>
    </row>
    <row r="176" spans="1:17" s="247" customFormat="1" ht="35.1" customHeight="1" x14ac:dyDescent="0.2">
      <c r="A176" s="241">
        <f>+A172+1</f>
        <v>85</v>
      </c>
      <c r="B176" s="72" t="s">
        <v>60</v>
      </c>
      <c r="C176" s="73" t="s">
        <v>346</v>
      </c>
      <c r="D176" s="239" t="s">
        <v>443</v>
      </c>
      <c r="E176" s="72" t="s">
        <v>100</v>
      </c>
      <c r="F176" s="222">
        <v>120000</v>
      </c>
      <c r="G176" s="68">
        <f t="shared" ref="G176:G179" si="45">F176*2.87%</f>
        <v>3444</v>
      </c>
      <c r="H176" s="68">
        <f t="shared" ref="H176:H179" si="46">+F176*3.04%</f>
        <v>3648</v>
      </c>
      <c r="I176" s="68"/>
      <c r="J176" s="69">
        <f t="shared" ref="J176:J179" si="47">+G176+H176+I176</f>
        <v>7092</v>
      </c>
      <c r="K176" s="69">
        <f t="shared" ref="K176:K179" si="48">+F176-J176</f>
        <v>112908</v>
      </c>
      <c r="L176" s="221">
        <f>+IF(K176*12&lt;=416220.01,0,IF(K176*12&lt;=624329.01,(((K176*12-416220.01)*0.15)/12),IF((K176*12&lt;=867123.01),(31216+0.2*(K176*12-624329.01))/12,((79776+0.25*(K176*12-867123.01))/12))))-M176</f>
        <v>16809.937291666665</v>
      </c>
      <c r="M176" s="221"/>
      <c r="N176" s="227">
        <v>8400.8700000000008</v>
      </c>
      <c r="O176" s="221">
        <f>+N176+I176+H176+G176+L176</f>
        <v>32302.807291666664</v>
      </c>
      <c r="P176" s="84">
        <f>+F176-O176</f>
        <v>87697.192708333343</v>
      </c>
    </row>
    <row r="177" spans="1:17" s="247" customFormat="1" ht="35.1" customHeight="1" x14ac:dyDescent="0.2">
      <c r="A177" s="241">
        <f>+A176+1</f>
        <v>86</v>
      </c>
      <c r="B177" s="244" t="s">
        <v>242</v>
      </c>
      <c r="C177" s="241" t="s">
        <v>346</v>
      </c>
      <c r="D177" s="257" t="s">
        <v>245</v>
      </c>
      <c r="E177" s="244" t="s">
        <v>100</v>
      </c>
      <c r="F177" s="68">
        <v>90000</v>
      </c>
      <c r="G177" s="68">
        <f>F177*2.87%</f>
        <v>2583</v>
      </c>
      <c r="H177" s="68">
        <f>+F177*3.04%</f>
        <v>2736</v>
      </c>
      <c r="I177" s="68">
        <v>0</v>
      </c>
      <c r="J177" s="69">
        <f>+G177+H177+I177</f>
        <v>5319</v>
      </c>
      <c r="K177" s="69">
        <f>+F177-J177</f>
        <v>84681</v>
      </c>
      <c r="L177" s="221">
        <f>+IF(K177*12&lt;=416220.01,0,IF(K177*12&lt;=624329.01,(((K177*12-416220.01)*0.15)/12),IF((K177*12&lt;=867123.01),(31216+0.2*(K177*12-624329.01))/12,((79776+0.25*(K177*12-867123.01))/12))))-M177</f>
        <v>9753.1872916666671</v>
      </c>
      <c r="M177" s="221"/>
      <c r="N177" s="227">
        <v>25</v>
      </c>
      <c r="O177" s="221">
        <f>+N177+I177+H177+G177+L177</f>
        <v>15097.187291666667</v>
      </c>
      <c r="P177" s="84">
        <f>+F177-O177</f>
        <v>74902.812708333338</v>
      </c>
    </row>
    <row r="178" spans="1:17" s="225" customFormat="1" ht="35.1" customHeight="1" x14ac:dyDescent="0.2">
      <c r="A178" s="241">
        <f>+A177+1</f>
        <v>87</v>
      </c>
      <c r="B178" s="72" t="s">
        <v>225</v>
      </c>
      <c r="C178" s="73" t="s">
        <v>346</v>
      </c>
      <c r="D178" s="239" t="s">
        <v>245</v>
      </c>
      <c r="E178" s="72" t="s">
        <v>100</v>
      </c>
      <c r="F178" s="222">
        <v>80000</v>
      </c>
      <c r="G178" s="68">
        <f t="shared" si="45"/>
        <v>2296</v>
      </c>
      <c r="H178" s="68">
        <f t="shared" si="46"/>
        <v>2432</v>
      </c>
      <c r="I178" s="68"/>
      <c r="J178" s="69">
        <f t="shared" si="47"/>
        <v>4728</v>
      </c>
      <c r="K178" s="69">
        <f t="shared" si="48"/>
        <v>75272</v>
      </c>
      <c r="L178" s="221">
        <f>+IF(K178*12&lt;=416220.01,0,IF(K178*12&lt;=624329.01,(((K178*12-416220.01)*0.15)/12),IF((K178*12&lt;=867123.01),(31216+0.2*(K178*12-624329.01))/12,((79776+0.25*(K178*12-867123.01))/12))))-M178</f>
        <v>7400.9372916666662</v>
      </c>
      <c r="M178" s="221"/>
      <c r="N178" s="227">
        <v>25</v>
      </c>
      <c r="O178" s="221">
        <f>+N178+I178+H178+G178+L178</f>
        <v>12153.937291666665</v>
      </c>
      <c r="P178" s="84">
        <f>+F178-O178</f>
        <v>67846.062708333338</v>
      </c>
    </row>
    <row r="179" spans="1:17" s="149" customFormat="1" ht="51" customHeight="1" x14ac:dyDescent="0.2">
      <c r="A179" s="219">
        <f>+A178+1</f>
        <v>88</v>
      </c>
      <c r="B179" s="72" t="s">
        <v>115</v>
      </c>
      <c r="C179" s="73" t="s">
        <v>346</v>
      </c>
      <c r="D179" s="72" t="s">
        <v>54</v>
      </c>
      <c r="E179" s="72" t="s">
        <v>196</v>
      </c>
      <c r="F179" s="222">
        <v>45000</v>
      </c>
      <c r="G179" s="222">
        <f t="shared" si="45"/>
        <v>1291.5</v>
      </c>
      <c r="H179" s="222">
        <f t="shared" si="46"/>
        <v>1368</v>
      </c>
      <c r="I179" s="68"/>
      <c r="J179" s="69">
        <f t="shared" si="47"/>
        <v>2659.5</v>
      </c>
      <c r="K179" s="69">
        <f t="shared" si="48"/>
        <v>42340.5</v>
      </c>
      <c r="L179" s="221">
        <f>+IF(K179*12&lt;=416220.01,0,IF(K179*12&lt;=624329.01,(((K179*12-416220.01)*0.15)/12),IF((K179*12&lt;=867123.01),(31216+0.2*(K179*12-624329.01))/12,((79776+0.25*(K179*12-867123.01))/12))))-M179</f>
        <v>1148.3248749999998</v>
      </c>
      <c r="M179" s="221"/>
      <c r="N179" s="227">
        <v>225</v>
      </c>
      <c r="O179" s="221">
        <f>+N179+I179+H179+G179+L179</f>
        <v>4032.8248749999998</v>
      </c>
      <c r="P179" s="223">
        <f>+F179-O179</f>
        <v>40967.175125000002</v>
      </c>
    </row>
    <row r="180" spans="1:17" s="149" customFormat="1" ht="41.25" customHeight="1" x14ac:dyDescent="0.2">
      <c r="A180" s="229" t="s">
        <v>103</v>
      </c>
      <c r="B180" s="230"/>
      <c r="C180" s="230"/>
      <c r="D180" s="230"/>
      <c r="E180" s="246"/>
      <c r="F180" s="231">
        <f t="shared" ref="F180:M180" si="49">SUM(F176:F179)</f>
        <v>335000</v>
      </c>
      <c r="G180" s="231">
        <f t="shared" si="49"/>
        <v>9614.5</v>
      </c>
      <c r="H180" s="231">
        <f t="shared" si="49"/>
        <v>10184</v>
      </c>
      <c r="I180" s="231">
        <f t="shared" si="49"/>
        <v>0</v>
      </c>
      <c r="J180" s="231">
        <f t="shared" si="49"/>
        <v>19798.5</v>
      </c>
      <c r="K180" s="231">
        <f t="shared" si="49"/>
        <v>315201.5</v>
      </c>
      <c r="L180" s="231">
        <f t="shared" si="49"/>
        <v>35112.386749999998</v>
      </c>
      <c r="M180" s="231">
        <f t="shared" si="49"/>
        <v>0</v>
      </c>
      <c r="N180" s="231">
        <f>SUM(N176:N179)</f>
        <v>8675.8700000000008</v>
      </c>
      <c r="O180" s="231">
        <f>SUM(O176:O179)</f>
        <v>63586.756749999993</v>
      </c>
      <c r="P180" s="231">
        <f>SUM(P176:P179)</f>
        <v>271413.24325</v>
      </c>
      <c r="Q180" s="329"/>
    </row>
    <row r="181" spans="1:17" s="225" customFormat="1" ht="42.75" customHeight="1" thickBot="1" x14ac:dyDescent="0.25">
      <c r="A181" s="147"/>
      <c r="B181" s="147"/>
      <c r="C181" s="147"/>
      <c r="D181" s="147"/>
      <c r="E181" s="147"/>
      <c r="F181" s="224"/>
      <c r="G181" s="224"/>
      <c r="H181" s="224"/>
      <c r="I181" s="224"/>
      <c r="J181" s="224"/>
      <c r="K181" s="224"/>
      <c r="L181" s="224"/>
      <c r="M181" s="224"/>
      <c r="N181" s="224"/>
      <c r="O181" s="224"/>
      <c r="P181" s="224"/>
    </row>
    <row r="182" spans="1:17" s="225" customFormat="1" ht="35.1" customHeight="1" thickBot="1" x14ac:dyDescent="0.25">
      <c r="A182" s="235" t="s">
        <v>175</v>
      </c>
      <c r="B182" s="236"/>
      <c r="C182" s="236"/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</row>
    <row r="183" spans="1:17" s="225" customFormat="1" ht="35.1" customHeight="1" x14ac:dyDescent="0.2">
      <c r="A183" s="219">
        <f>+A179+1</f>
        <v>89</v>
      </c>
      <c r="B183" s="220" t="s">
        <v>157</v>
      </c>
      <c r="C183" s="219" t="s">
        <v>346</v>
      </c>
      <c r="D183" s="219" t="s">
        <v>247</v>
      </c>
      <c r="E183" s="220" t="s">
        <v>100</v>
      </c>
      <c r="F183" s="271">
        <v>60000</v>
      </c>
      <c r="G183" s="69">
        <f>F183*2.87%</f>
        <v>1722</v>
      </c>
      <c r="H183" s="69">
        <f>+F183*3.04%</f>
        <v>1824</v>
      </c>
      <c r="I183" s="272"/>
      <c r="J183" s="69">
        <f>+G183+H183+I183</f>
        <v>3546</v>
      </c>
      <c r="K183" s="69">
        <f>+F183-J183</f>
        <v>56454</v>
      </c>
      <c r="L183" s="69">
        <f>+IF(K183*12&lt;=416220.01,0,IF(K183*12&lt;=624329.01,(((K183*12-416220.01)*0.15)/12),IF((K183*12&lt;=867123.01),(31216+0.2*(K183*12-624329.01))/12,((79776+0.25*(K183*12-867123.01))/12))))-M183</f>
        <v>3486.6498333333329</v>
      </c>
      <c r="M183" s="69"/>
      <c r="N183" s="84">
        <v>11456.24</v>
      </c>
      <c r="O183" s="221">
        <f>+N183+I183+H183+G183+L183</f>
        <v>18488.889833333335</v>
      </c>
      <c r="P183" s="84">
        <f>+F183-O183</f>
        <v>41511.110166666665</v>
      </c>
    </row>
    <row r="184" spans="1:17" s="149" customFormat="1" ht="35.1" customHeight="1" x14ac:dyDescent="0.2">
      <c r="A184" s="229" t="s">
        <v>103</v>
      </c>
      <c r="B184" s="230"/>
      <c r="C184" s="230"/>
      <c r="D184" s="230"/>
      <c r="E184" s="246"/>
      <c r="F184" s="231">
        <f t="shared" ref="F184:L184" si="50">SUM(F183)</f>
        <v>60000</v>
      </c>
      <c r="G184" s="231">
        <f t="shared" si="50"/>
        <v>1722</v>
      </c>
      <c r="H184" s="231">
        <f t="shared" si="50"/>
        <v>1824</v>
      </c>
      <c r="I184" s="231">
        <f t="shared" si="50"/>
        <v>0</v>
      </c>
      <c r="J184" s="231">
        <f t="shared" si="50"/>
        <v>3546</v>
      </c>
      <c r="K184" s="231">
        <f t="shared" si="50"/>
        <v>56454</v>
      </c>
      <c r="L184" s="231">
        <f t="shared" si="50"/>
        <v>3486.6498333333329</v>
      </c>
      <c r="M184" s="231"/>
      <c r="N184" s="231">
        <f>SUM(N183)</f>
        <v>11456.24</v>
      </c>
      <c r="O184" s="231">
        <f t="shared" ref="O184:P184" si="51">SUM(O183)</f>
        <v>18488.889833333335</v>
      </c>
      <c r="P184" s="231">
        <f t="shared" si="51"/>
        <v>41511.110166666665</v>
      </c>
      <c r="Q184" s="329"/>
    </row>
    <row r="185" spans="1:17" s="149" customFormat="1" ht="35.1" customHeight="1" thickBot="1" x14ac:dyDescent="0.25">
      <c r="A185" s="147"/>
      <c r="B185" s="147"/>
      <c r="C185" s="147"/>
      <c r="D185" s="147"/>
      <c r="E185" s="147"/>
      <c r="F185" s="273"/>
      <c r="G185" s="224"/>
      <c r="H185" s="224"/>
      <c r="I185" s="224"/>
      <c r="J185" s="224"/>
      <c r="K185" s="224"/>
      <c r="L185" s="224"/>
      <c r="M185" s="224"/>
      <c r="N185" s="224"/>
      <c r="O185" s="224"/>
      <c r="P185" s="224"/>
    </row>
    <row r="186" spans="1:17" s="225" customFormat="1" ht="44.25" customHeight="1" thickBot="1" x14ac:dyDescent="0.25">
      <c r="A186" s="235" t="s">
        <v>251</v>
      </c>
      <c r="B186" s="236"/>
      <c r="C186" s="236"/>
      <c r="D186" s="236"/>
      <c r="E186" s="236"/>
      <c r="F186" s="236"/>
      <c r="G186" s="236"/>
      <c r="H186" s="236"/>
      <c r="I186" s="236"/>
      <c r="J186" s="236"/>
      <c r="K186" s="236"/>
      <c r="L186" s="236"/>
      <c r="M186" s="236"/>
      <c r="N186" s="236"/>
      <c r="O186" s="236"/>
      <c r="P186" s="236"/>
    </row>
    <row r="187" spans="1:17" s="225" customFormat="1" ht="36.75" customHeight="1" x14ac:dyDescent="0.2">
      <c r="A187" s="219">
        <f>+A183+1</f>
        <v>90</v>
      </c>
      <c r="B187" s="72" t="s">
        <v>8</v>
      </c>
      <c r="C187" s="73" t="s">
        <v>346</v>
      </c>
      <c r="D187" s="88" t="s">
        <v>599</v>
      </c>
      <c r="E187" s="72" t="s">
        <v>100</v>
      </c>
      <c r="F187" s="222">
        <v>170000</v>
      </c>
      <c r="G187" s="69">
        <f>F187*2.87%</f>
        <v>4879</v>
      </c>
      <c r="H187" s="69">
        <f>+F187*3.04%</f>
        <v>5168</v>
      </c>
      <c r="I187" s="69">
        <v>0</v>
      </c>
      <c r="J187" s="69">
        <f>+G187+H187+I187</f>
        <v>10047</v>
      </c>
      <c r="K187" s="69">
        <f>+F187-J187</f>
        <v>159953</v>
      </c>
      <c r="L187" s="69">
        <f>+IF(K187*12&lt;=416220.01,0,IF(K187*12&lt;=624329.01,(((K187*12-416220.01)*0.15)/12),IF((K187*12&lt;=867123.01),(31216+0.2*(K187*12-624329.01))/12,((79776+0.25*(K187*12-867123.01))/12))))-M187</f>
        <v>28571.187291666665</v>
      </c>
      <c r="M187" s="69"/>
      <c r="N187" s="84">
        <v>2250.29</v>
      </c>
      <c r="O187" s="221">
        <f>+N187+I187+H187+G187+L187</f>
        <v>40868.47729166667</v>
      </c>
      <c r="P187" s="84">
        <f>+F187-O187</f>
        <v>129131.52270833333</v>
      </c>
    </row>
    <row r="188" spans="1:17" s="225" customFormat="1" ht="46.5" customHeight="1" x14ac:dyDescent="0.2">
      <c r="A188" s="241">
        <f>+A187+1</f>
        <v>91</v>
      </c>
      <c r="B188" s="244" t="s">
        <v>82</v>
      </c>
      <c r="C188" s="241" t="s">
        <v>345</v>
      </c>
      <c r="D188" s="244" t="s">
        <v>78</v>
      </c>
      <c r="E188" s="244" t="s">
        <v>101</v>
      </c>
      <c r="F188" s="68">
        <v>80000</v>
      </c>
      <c r="G188" s="68">
        <f>F188*2.87%</f>
        <v>2296</v>
      </c>
      <c r="H188" s="222">
        <f>+F188*3.04%</f>
        <v>2432</v>
      </c>
      <c r="I188" s="222">
        <v>0</v>
      </c>
      <c r="J188" s="221">
        <f>+G188+H188+I188</f>
        <v>4728</v>
      </c>
      <c r="K188" s="221">
        <f>+F188-J188</f>
        <v>75272</v>
      </c>
      <c r="L188" s="69">
        <f>+IF(K188*12&lt;=416220.01,0,IF(K188*12&lt;=624329.01,(((K188*12-416220.01)*0.15)/12),IF((K188*12&lt;=867123.01),(31216+0.2*(K188*12-624329.01))/12,((79776+0.25*(K188*12-867123.01))/12))))-M188</f>
        <v>7400.9372916666662</v>
      </c>
      <c r="M188" s="221"/>
      <c r="N188" s="223">
        <v>6536.01</v>
      </c>
      <c r="O188" s="221">
        <f>+N188+I188+H188+G188+L188</f>
        <v>18664.947291666667</v>
      </c>
      <c r="P188" s="223">
        <f>+F188-O188</f>
        <v>61335.052708333329</v>
      </c>
    </row>
    <row r="189" spans="1:17" s="225" customFormat="1" ht="45" customHeight="1" thickBot="1" x14ac:dyDescent="0.25">
      <c r="A189" s="229" t="s">
        <v>103</v>
      </c>
      <c r="B189" s="230"/>
      <c r="C189" s="230"/>
      <c r="D189" s="230"/>
      <c r="E189" s="246"/>
      <c r="F189" s="231">
        <f t="shared" ref="F189:L189" si="52">SUM(F187:F188)</f>
        <v>250000</v>
      </c>
      <c r="G189" s="231">
        <f t="shared" si="52"/>
        <v>7175</v>
      </c>
      <c r="H189" s="231">
        <f t="shared" si="52"/>
        <v>7600</v>
      </c>
      <c r="I189" s="231">
        <f t="shared" si="52"/>
        <v>0</v>
      </c>
      <c r="J189" s="231">
        <f t="shared" si="52"/>
        <v>14775</v>
      </c>
      <c r="K189" s="231">
        <f t="shared" si="52"/>
        <v>235225</v>
      </c>
      <c r="L189" s="231">
        <f t="shared" si="52"/>
        <v>35972.124583333331</v>
      </c>
      <c r="M189" s="231"/>
      <c r="N189" s="231">
        <f>SUM(N187:N188)</f>
        <v>8786.2999999999993</v>
      </c>
      <c r="O189" s="231">
        <f t="shared" ref="O189:P189" si="53">SUM(O187:O188)</f>
        <v>59533.424583333341</v>
      </c>
      <c r="P189" s="231">
        <f t="shared" si="53"/>
        <v>190466.57541666666</v>
      </c>
      <c r="Q189" s="329"/>
    </row>
    <row r="190" spans="1:17" s="149" customFormat="1" ht="46.5" customHeight="1" thickBot="1" x14ac:dyDescent="0.25">
      <c r="A190" s="214" t="s">
        <v>252</v>
      </c>
      <c r="B190" s="215"/>
      <c r="C190" s="215"/>
      <c r="D190" s="215"/>
      <c r="E190" s="215"/>
      <c r="F190" s="215"/>
      <c r="G190" s="215"/>
      <c r="H190" s="215"/>
      <c r="I190" s="215"/>
      <c r="J190" s="215"/>
      <c r="K190" s="215"/>
      <c r="L190" s="215"/>
      <c r="M190" s="215"/>
      <c r="N190" s="215"/>
      <c r="O190" s="215"/>
      <c r="P190" s="215"/>
    </row>
    <row r="191" spans="1:17" s="149" customFormat="1" ht="33" customHeight="1" x14ac:dyDescent="0.2">
      <c r="A191" s="243">
        <f>+A188+1</f>
        <v>92</v>
      </c>
      <c r="B191" s="72" t="s">
        <v>253</v>
      </c>
      <c r="C191" s="73" t="s">
        <v>345</v>
      </c>
      <c r="D191" s="72" t="s">
        <v>92</v>
      </c>
      <c r="E191" s="72" t="s">
        <v>101</v>
      </c>
      <c r="F191" s="222">
        <v>80000</v>
      </c>
      <c r="G191" s="68">
        <f>F191*2.87%</f>
        <v>2296</v>
      </c>
      <c r="H191" s="68">
        <f>+F191*3.04%</f>
        <v>2432</v>
      </c>
      <c r="I191" s="68"/>
      <c r="J191" s="69">
        <f>+G191+H191+I191</f>
        <v>4728</v>
      </c>
      <c r="K191" s="69">
        <f>+F191-J191</f>
        <v>75272</v>
      </c>
      <c r="L191" s="69">
        <f>+IF(K191*12&lt;=416220.01,0,IF(K191*12&lt;=624329.01,(((K191*12-416220.01)*0.15)/12),IF((K191*12&lt;=867123.01),(31216+0.2*(K191*12-624329.01))/12,((79776+0.25*(K191*12-867123.01))/12))))-M191</f>
        <v>7400.9372916666662</v>
      </c>
      <c r="M191" s="69"/>
      <c r="N191" s="84">
        <v>28586.05</v>
      </c>
      <c r="O191" s="221">
        <f>+N191+I191+H191+G191+L191</f>
        <v>40714.987291666672</v>
      </c>
      <c r="P191" s="240">
        <f>+F191-O191</f>
        <v>39285.012708333328</v>
      </c>
    </row>
    <row r="192" spans="1:17" s="149" customFormat="1" ht="33.75" customHeight="1" x14ac:dyDescent="0.2">
      <c r="A192" s="243">
        <f>+A191+1</f>
        <v>93</v>
      </c>
      <c r="B192" s="72" t="s">
        <v>528</v>
      </c>
      <c r="C192" s="73" t="s">
        <v>346</v>
      </c>
      <c r="D192" s="72" t="s">
        <v>527</v>
      </c>
      <c r="E192" s="72" t="s">
        <v>101</v>
      </c>
      <c r="F192" s="222">
        <v>80000</v>
      </c>
      <c r="G192" s="68">
        <f>F192*2.87%</f>
        <v>2296</v>
      </c>
      <c r="H192" s="68">
        <f>+F192*3.04%</f>
        <v>2432</v>
      </c>
      <c r="I192" s="68"/>
      <c r="J192" s="69">
        <f>+G192+H192+I192</f>
        <v>4728</v>
      </c>
      <c r="K192" s="69">
        <f>+F192-J192</f>
        <v>75272</v>
      </c>
      <c r="L192" s="69">
        <f t="shared" ref="L192:L193" si="54">+IF(K192*12&lt;=416220.01,0,IF(K192*12&lt;=624329.01,(((K192*12-416220.01)*0.15)/12),IF((K192*12&lt;=867123.01),(31216+0.2*(K192*12-624329.01))/12,((79776+0.25*(K192*12-867123.01))/12))))-M192</f>
        <v>7400.9372916666662</v>
      </c>
      <c r="M192" s="69"/>
      <c r="N192" s="84">
        <v>5090.29</v>
      </c>
      <c r="O192" s="221">
        <f>+N192+I192+H192+G192+L192</f>
        <v>17219.227291666666</v>
      </c>
      <c r="P192" s="240">
        <f>+F192-O192</f>
        <v>62780.77270833333</v>
      </c>
    </row>
    <row r="193" spans="1:17" s="149" customFormat="1" ht="33" customHeight="1" x14ac:dyDescent="0.2">
      <c r="A193" s="243">
        <f>+A192+1</f>
        <v>94</v>
      </c>
      <c r="B193" s="72" t="s">
        <v>291</v>
      </c>
      <c r="C193" s="73" t="s">
        <v>346</v>
      </c>
      <c r="D193" s="72" t="s">
        <v>531</v>
      </c>
      <c r="E193" s="72" t="s">
        <v>100</v>
      </c>
      <c r="F193" s="222">
        <v>45000</v>
      </c>
      <c r="G193" s="68">
        <f>F193*2.87%</f>
        <v>1291.5</v>
      </c>
      <c r="H193" s="68">
        <f>+F193*3.04%</f>
        <v>1368</v>
      </c>
      <c r="I193" s="68"/>
      <c r="J193" s="69">
        <f>+G193+H193+I193</f>
        <v>2659.5</v>
      </c>
      <c r="K193" s="69">
        <f>+F193-J193</f>
        <v>42340.5</v>
      </c>
      <c r="L193" s="69">
        <f t="shared" si="54"/>
        <v>1148.3248749999998</v>
      </c>
      <c r="M193" s="69"/>
      <c r="N193" s="84">
        <v>6330.29</v>
      </c>
      <c r="O193" s="221">
        <f>+N193+I193+H193+G193+L193</f>
        <v>10138.114875000001</v>
      </c>
      <c r="P193" s="240">
        <f>+F193-O193</f>
        <v>34861.885125000001</v>
      </c>
    </row>
    <row r="194" spans="1:17" s="225" customFormat="1" ht="28.5" customHeight="1" x14ac:dyDescent="0.2">
      <c r="A194" s="229" t="s">
        <v>103</v>
      </c>
      <c r="B194" s="230"/>
      <c r="C194" s="230"/>
      <c r="D194" s="230"/>
      <c r="E194" s="246"/>
      <c r="F194" s="231">
        <f t="shared" ref="F194:P194" si="55">SUM(F191:F193)</f>
        <v>205000</v>
      </c>
      <c r="G194" s="231">
        <f t="shared" si="55"/>
        <v>5883.5</v>
      </c>
      <c r="H194" s="231">
        <f t="shared" si="55"/>
        <v>6232</v>
      </c>
      <c r="I194" s="231">
        <f t="shared" si="55"/>
        <v>0</v>
      </c>
      <c r="J194" s="231">
        <f t="shared" si="55"/>
        <v>12115.5</v>
      </c>
      <c r="K194" s="231">
        <f t="shared" si="55"/>
        <v>192884.5</v>
      </c>
      <c r="L194" s="231">
        <f t="shared" si="55"/>
        <v>15950.199458333333</v>
      </c>
      <c r="M194" s="231">
        <f t="shared" si="55"/>
        <v>0</v>
      </c>
      <c r="N194" s="231">
        <f t="shared" si="55"/>
        <v>40006.629999999997</v>
      </c>
      <c r="O194" s="231">
        <f t="shared" si="55"/>
        <v>68072.329458333334</v>
      </c>
      <c r="P194" s="231">
        <f t="shared" si="55"/>
        <v>136927.67054166665</v>
      </c>
      <c r="Q194" s="329"/>
    </row>
    <row r="195" spans="1:17" s="259" customFormat="1" ht="31.5" customHeight="1" thickBot="1" x14ac:dyDescent="0.25">
      <c r="A195" s="209"/>
      <c r="B195" s="148"/>
      <c r="C195" s="209"/>
      <c r="D195" s="234"/>
      <c r="E195" s="234"/>
      <c r="F195" s="149"/>
      <c r="G195" s="150"/>
      <c r="H195" s="150"/>
      <c r="I195" s="150"/>
      <c r="J195" s="150"/>
      <c r="K195" s="150"/>
      <c r="L195" s="150"/>
      <c r="M195" s="150"/>
      <c r="N195" s="150"/>
      <c r="O195" s="150"/>
      <c r="P195" s="150"/>
    </row>
    <row r="196" spans="1:17" s="225" customFormat="1" ht="35.1" customHeight="1" thickBot="1" x14ac:dyDescent="0.25">
      <c r="A196" s="214" t="s">
        <v>254</v>
      </c>
      <c r="B196" s="215"/>
      <c r="C196" s="215"/>
      <c r="D196" s="215"/>
      <c r="E196" s="215"/>
      <c r="F196" s="215"/>
      <c r="G196" s="215"/>
      <c r="H196" s="215"/>
      <c r="I196" s="215"/>
      <c r="J196" s="215"/>
      <c r="K196" s="215"/>
      <c r="L196" s="215"/>
      <c r="M196" s="215"/>
      <c r="N196" s="215"/>
      <c r="O196" s="215"/>
      <c r="P196" s="215"/>
    </row>
    <row r="197" spans="1:17" s="149" customFormat="1" ht="35.1" customHeight="1" x14ac:dyDescent="0.2">
      <c r="A197" s="219">
        <f>+A193+1</f>
        <v>95</v>
      </c>
      <c r="B197" s="220" t="s">
        <v>256</v>
      </c>
      <c r="C197" s="219" t="s">
        <v>346</v>
      </c>
      <c r="D197" s="226" t="s">
        <v>546</v>
      </c>
      <c r="E197" s="72" t="s">
        <v>100</v>
      </c>
      <c r="F197" s="221">
        <v>145000</v>
      </c>
      <c r="G197" s="69">
        <f>F197*2.87%</f>
        <v>4161.5</v>
      </c>
      <c r="H197" s="69">
        <f>F197*3.04%</f>
        <v>4408</v>
      </c>
      <c r="I197" s="69">
        <v>1919.78</v>
      </c>
      <c r="J197" s="69">
        <f>+G197+H197+I197</f>
        <v>10489.28</v>
      </c>
      <c r="K197" s="69">
        <f>+F197-J197</f>
        <v>134510.72</v>
      </c>
      <c r="L197" s="69">
        <f>+IF(K197*12&lt;=416220.01,0,IF(K197*12&lt;=624329.01,(((K197*12-416220.01)*0.15)/12),IF((K197*12&lt;=867123.01),(31216+0.2*(K197*12-624329.01))/12,((79776+0.25*(K197*12-867123.01))/12))))-M197</f>
        <v>22210.617291666669</v>
      </c>
      <c r="M197" s="69"/>
      <c r="N197" s="84">
        <v>25</v>
      </c>
      <c r="O197" s="69">
        <f>+N197+I197+H197+G197+L197</f>
        <v>32724.897291666668</v>
      </c>
      <c r="P197" s="69">
        <f>+F197-O197</f>
        <v>112275.10270833333</v>
      </c>
    </row>
    <row r="198" spans="1:17" s="225" customFormat="1" ht="35.1" customHeight="1" x14ac:dyDescent="0.2">
      <c r="A198" s="229" t="s">
        <v>103</v>
      </c>
      <c r="B198" s="230"/>
      <c r="C198" s="230"/>
      <c r="D198" s="230"/>
      <c r="E198" s="246"/>
      <c r="F198" s="231">
        <f t="shared" ref="F198:L198" si="56">SUM(F197:F197)</f>
        <v>145000</v>
      </c>
      <c r="G198" s="231">
        <f t="shared" si="56"/>
        <v>4161.5</v>
      </c>
      <c r="H198" s="231">
        <f t="shared" si="56"/>
        <v>4408</v>
      </c>
      <c r="I198" s="231">
        <f t="shared" si="56"/>
        <v>1919.78</v>
      </c>
      <c r="J198" s="231">
        <f t="shared" si="56"/>
        <v>10489.28</v>
      </c>
      <c r="K198" s="231">
        <f t="shared" si="56"/>
        <v>134510.72</v>
      </c>
      <c r="L198" s="231">
        <f t="shared" si="56"/>
        <v>22210.617291666669</v>
      </c>
      <c r="M198" s="231"/>
      <c r="N198" s="231">
        <f>SUM(N197:N197)</f>
        <v>25</v>
      </c>
      <c r="O198" s="231">
        <f t="shared" ref="O198:P198" si="57">SUM(O197:O197)</f>
        <v>32724.897291666668</v>
      </c>
      <c r="P198" s="231">
        <f t="shared" si="57"/>
        <v>112275.10270833333</v>
      </c>
      <c r="Q198" s="329"/>
    </row>
    <row r="199" spans="1:17" s="149" customFormat="1" ht="35.1" customHeight="1" thickBot="1" x14ac:dyDescent="0.25">
      <c r="A199" s="147"/>
      <c r="B199" s="147"/>
      <c r="C199" s="147"/>
      <c r="D199" s="147"/>
      <c r="E199" s="147"/>
      <c r="F199" s="224"/>
      <c r="G199" s="224"/>
      <c r="H199" s="224"/>
      <c r="I199" s="224"/>
      <c r="J199" s="224"/>
      <c r="K199" s="224"/>
      <c r="L199" s="224"/>
      <c r="M199" s="224"/>
      <c r="N199" s="224"/>
      <c r="O199" s="224"/>
      <c r="P199" s="224"/>
    </row>
    <row r="200" spans="1:17" s="149" customFormat="1" ht="35.1" customHeight="1" thickBot="1" x14ac:dyDescent="0.25">
      <c r="A200" s="235" t="s">
        <v>257</v>
      </c>
      <c r="B200" s="236"/>
      <c r="C200" s="236"/>
      <c r="D200" s="236"/>
      <c r="E200" s="236"/>
      <c r="F200" s="236"/>
      <c r="G200" s="236"/>
      <c r="H200" s="236"/>
      <c r="I200" s="236"/>
      <c r="J200" s="236"/>
      <c r="K200" s="236"/>
      <c r="L200" s="236"/>
      <c r="M200" s="236"/>
      <c r="N200" s="236"/>
      <c r="O200" s="236"/>
      <c r="P200" s="236"/>
    </row>
    <row r="201" spans="1:17" s="225" customFormat="1" ht="35.1" customHeight="1" x14ac:dyDescent="0.2">
      <c r="A201" s="241">
        <f>+A197+1</f>
        <v>96</v>
      </c>
      <c r="B201" s="72" t="s">
        <v>90</v>
      </c>
      <c r="C201" s="73" t="s">
        <v>346</v>
      </c>
      <c r="D201" s="72" t="s">
        <v>91</v>
      </c>
      <c r="E201" s="72" t="s">
        <v>101</v>
      </c>
      <c r="F201" s="222">
        <v>100000</v>
      </c>
      <c r="G201" s="68">
        <f>F201*2.87%</f>
        <v>2870</v>
      </c>
      <c r="H201" s="68">
        <f>+F201*3.04%</f>
        <v>3040</v>
      </c>
      <c r="I201" s="68"/>
      <c r="J201" s="69">
        <f>+G201+H201+I201</f>
        <v>5910</v>
      </c>
      <c r="K201" s="69">
        <f>+F201-J201</f>
        <v>94090</v>
      </c>
      <c r="L201" s="69">
        <f>+IF(K201*12&lt;=416220.01,0,IF(K201*12&lt;=624329.01,(((K201*12-416220.01)*0.15)/12),IF((K201*12&lt;=867123.01),(31216+0.2*(K201*12-624329.01))/12,((79776+0.25*(K201*12-867123.01))/12))))-M201</f>
        <v>12105.437291666667</v>
      </c>
      <c r="M201" s="69"/>
      <c r="N201" s="223">
        <v>25</v>
      </c>
      <c r="O201" s="221">
        <f>+N201+I201+H201+G201+L201</f>
        <v>18040.437291666669</v>
      </c>
      <c r="P201" s="69">
        <f>+F201-O201</f>
        <v>81959.562708333338</v>
      </c>
    </row>
    <row r="202" spans="1:17" s="149" customFormat="1" ht="35.1" customHeight="1" x14ac:dyDescent="0.2">
      <c r="A202" s="229" t="s">
        <v>103</v>
      </c>
      <c r="B202" s="230"/>
      <c r="C202" s="230"/>
      <c r="D202" s="230"/>
      <c r="E202" s="246"/>
      <c r="F202" s="231">
        <f>SUM(F201)</f>
        <v>100000</v>
      </c>
      <c r="G202" s="231">
        <f t="shared" ref="G202:P202" si="58">SUM(G201)</f>
        <v>2870</v>
      </c>
      <c r="H202" s="231">
        <f t="shared" si="58"/>
        <v>3040</v>
      </c>
      <c r="I202" s="231">
        <f t="shared" si="58"/>
        <v>0</v>
      </c>
      <c r="J202" s="231">
        <f t="shared" si="58"/>
        <v>5910</v>
      </c>
      <c r="K202" s="231">
        <f t="shared" si="58"/>
        <v>94090</v>
      </c>
      <c r="L202" s="231">
        <f t="shared" si="58"/>
        <v>12105.437291666667</v>
      </c>
      <c r="M202" s="231"/>
      <c r="N202" s="231">
        <f t="shared" si="58"/>
        <v>25</v>
      </c>
      <c r="O202" s="231">
        <f t="shared" si="58"/>
        <v>18040.437291666669</v>
      </c>
      <c r="P202" s="231">
        <f t="shared" si="58"/>
        <v>81959.562708333338</v>
      </c>
      <c r="Q202" s="329"/>
    </row>
    <row r="203" spans="1:17" s="149" customFormat="1" ht="35.1" customHeight="1" thickBot="1" x14ac:dyDescent="0.25">
      <c r="A203" s="233"/>
      <c r="B203" s="267"/>
      <c r="C203" s="268"/>
      <c r="D203" s="267"/>
      <c r="E203" s="267"/>
      <c r="F203" s="269"/>
    </row>
    <row r="204" spans="1:17" s="149" customFormat="1" ht="35.1" customHeight="1" x14ac:dyDescent="0.2">
      <c r="A204" s="274" t="s">
        <v>176</v>
      </c>
      <c r="B204" s="275"/>
      <c r="C204" s="275"/>
      <c r="D204" s="275"/>
      <c r="E204" s="275"/>
      <c r="F204" s="275"/>
      <c r="G204" s="275"/>
      <c r="H204" s="275"/>
      <c r="I204" s="275"/>
      <c r="J204" s="275"/>
      <c r="K204" s="275"/>
      <c r="L204" s="275"/>
      <c r="M204" s="275"/>
      <c r="N204" s="275"/>
      <c r="O204" s="275"/>
      <c r="P204" s="275"/>
    </row>
    <row r="205" spans="1:17" s="149" customFormat="1" ht="35.1" customHeight="1" x14ac:dyDescent="0.2">
      <c r="A205" s="73">
        <f>+A201+1</f>
        <v>97</v>
      </c>
      <c r="B205" s="72" t="s">
        <v>532</v>
      </c>
      <c r="C205" s="73" t="s">
        <v>346</v>
      </c>
      <c r="D205" s="72" t="s">
        <v>533</v>
      </c>
      <c r="E205" s="270" t="s">
        <v>196</v>
      </c>
      <c r="F205" s="222">
        <v>60000</v>
      </c>
      <c r="G205" s="222">
        <f>F205*2.87%</f>
        <v>1722</v>
      </c>
      <c r="H205" s="222">
        <f>+F205*3.04%</f>
        <v>1824</v>
      </c>
      <c r="I205" s="222">
        <v>1919.78</v>
      </c>
      <c r="J205" s="221">
        <f>+G205+H205+I205</f>
        <v>5465.78</v>
      </c>
      <c r="K205" s="221">
        <f>+F205-J205</f>
        <v>54534.22</v>
      </c>
      <c r="L205" s="69">
        <f>+IF(K205*12&lt;=416220.01,0,IF(K205*12&lt;=624329.01,(((K205*12-416220.01)*0.15)/12),IF((K205*12&lt;=867123.01),(31216+0.2*(K205*12-624329.01))/12,((79776+0.25*(K205*12-867123.01))/12))))-M205</f>
        <v>3102.6938333333333</v>
      </c>
      <c r="M205" s="221"/>
      <c r="N205" s="223">
        <v>7756.36</v>
      </c>
      <c r="O205" s="221">
        <f>+N205+I205+H205+G205+L205</f>
        <v>16324.833833333332</v>
      </c>
      <c r="P205" s="69">
        <f>+F205-O205</f>
        <v>43675.16616666667</v>
      </c>
    </row>
    <row r="206" spans="1:17" s="225" customFormat="1" ht="35.1" customHeight="1" x14ac:dyDescent="0.2">
      <c r="A206" s="73">
        <f>+A205+1</f>
        <v>98</v>
      </c>
      <c r="B206" s="72" t="s">
        <v>455</v>
      </c>
      <c r="C206" s="73" t="s">
        <v>346</v>
      </c>
      <c r="D206" s="72" t="s">
        <v>14</v>
      </c>
      <c r="E206" s="270" t="s">
        <v>196</v>
      </c>
      <c r="F206" s="222">
        <v>45000</v>
      </c>
      <c r="G206" s="222">
        <f>F206*2.87%</f>
        <v>1291.5</v>
      </c>
      <c r="H206" s="222">
        <f>+F206*3.04%</f>
        <v>1368</v>
      </c>
      <c r="I206" s="222"/>
      <c r="J206" s="221">
        <f>+G206+H206+I206</f>
        <v>2659.5</v>
      </c>
      <c r="K206" s="221">
        <f t="shared" ref="K206" si="59">+F206-J206</f>
        <v>42340.5</v>
      </c>
      <c r="L206" s="69">
        <f t="shared" ref="L206:L208" si="60">+IF(K206*12&lt;=416220.01,0,IF(K206*12&lt;=624329.01,(((K206*12-416220.01)*0.15)/12),IF((K206*12&lt;=867123.01),(31216+0.2*(K206*12-624329.01))/12,((79776+0.25*(K206*12-867123.01))/12))))-M206</f>
        <v>1148.3248749999998</v>
      </c>
      <c r="M206" s="221"/>
      <c r="N206" s="223">
        <v>4104.92</v>
      </c>
      <c r="O206" s="221">
        <f>+N206+I206+H206+G206+L206</f>
        <v>7912.7448750000003</v>
      </c>
      <c r="P206" s="69">
        <f>+F206-O206</f>
        <v>37087.255124999996</v>
      </c>
    </row>
    <row r="207" spans="1:17" s="149" customFormat="1" ht="35.1" customHeight="1" x14ac:dyDescent="0.2">
      <c r="A207" s="73">
        <v>97</v>
      </c>
      <c r="B207" s="72" t="s">
        <v>637</v>
      </c>
      <c r="C207" s="73" t="s">
        <v>346</v>
      </c>
      <c r="D207" s="72" t="s">
        <v>495</v>
      </c>
      <c r="E207" s="270" t="s">
        <v>196</v>
      </c>
      <c r="F207" s="222">
        <v>38000</v>
      </c>
      <c r="G207" s="222">
        <f>F207*2.87%</f>
        <v>1090.5999999999999</v>
      </c>
      <c r="H207" s="222">
        <f>+F207*3.04%</f>
        <v>1155.2</v>
      </c>
      <c r="I207" s="222">
        <v>1919.78</v>
      </c>
      <c r="J207" s="221">
        <f>+G207+H207+I207</f>
        <v>4165.58</v>
      </c>
      <c r="K207" s="221">
        <f>+F207-J207</f>
        <v>33834.42</v>
      </c>
      <c r="L207" s="69">
        <f t="shared" si="60"/>
        <v>0</v>
      </c>
      <c r="M207" s="222"/>
      <c r="N207" s="223">
        <v>25</v>
      </c>
      <c r="O207" s="221">
        <f>+N207+I207+H207+G207+L207</f>
        <v>4190.58</v>
      </c>
      <c r="P207" s="69">
        <f>+F207-O207</f>
        <v>33809.42</v>
      </c>
    </row>
    <row r="208" spans="1:17" s="149" customFormat="1" ht="35.1" customHeight="1" x14ac:dyDescent="0.2">
      <c r="A208" s="73">
        <v>98</v>
      </c>
      <c r="B208" s="72" t="s">
        <v>182</v>
      </c>
      <c r="C208" s="73" t="s">
        <v>346</v>
      </c>
      <c r="D208" s="72" t="s">
        <v>495</v>
      </c>
      <c r="E208" s="270" t="s">
        <v>196</v>
      </c>
      <c r="F208" s="222">
        <v>33342</v>
      </c>
      <c r="G208" s="222">
        <f>F208*2.87%</f>
        <v>956.91539999999998</v>
      </c>
      <c r="H208" s="222">
        <f>+F208*3.04%</f>
        <v>1013.5968</v>
      </c>
      <c r="I208" s="222">
        <v>0</v>
      </c>
      <c r="J208" s="221">
        <f t="shared" ref="J208" si="61">+G208+H208+I208</f>
        <v>1970.5122000000001</v>
      </c>
      <c r="K208" s="221">
        <f>+F208-J208</f>
        <v>31371.487799999999</v>
      </c>
      <c r="L208" s="69">
        <f t="shared" si="60"/>
        <v>0</v>
      </c>
      <c r="M208" s="222"/>
      <c r="N208" s="223">
        <v>4623.47</v>
      </c>
      <c r="O208" s="221">
        <f>+N208+I208+H208+G208+L208</f>
        <v>6593.9822000000004</v>
      </c>
      <c r="P208" s="69">
        <f>+F208-O208</f>
        <v>26748.017800000001</v>
      </c>
    </row>
    <row r="209" spans="1:17" s="149" customFormat="1" ht="33" customHeight="1" x14ac:dyDescent="0.2">
      <c r="A209" s="229" t="s">
        <v>103</v>
      </c>
      <c r="B209" s="230"/>
      <c r="C209" s="230"/>
      <c r="D209" s="230"/>
      <c r="E209" s="246"/>
      <c r="F209" s="231">
        <f t="shared" ref="F209:P209" si="62">SUM(F205:F208)</f>
        <v>176342</v>
      </c>
      <c r="G209" s="231">
        <f t="shared" si="62"/>
        <v>5061.0154000000002</v>
      </c>
      <c r="H209" s="231">
        <f t="shared" si="62"/>
        <v>5360.7968000000001</v>
      </c>
      <c r="I209" s="231">
        <f t="shared" si="62"/>
        <v>3839.56</v>
      </c>
      <c r="J209" s="231">
        <f t="shared" si="62"/>
        <v>14261.372200000002</v>
      </c>
      <c r="K209" s="231">
        <f t="shared" si="62"/>
        <v>162080.62779999999</v>
      </c>
      <c r="L209" s="231">
        <f t="shared" si="62"/>
        <v>4251.0187083333331</v>
      </c>
      <c r="M209" s="231">
        <f t="shared" si="62"/>
        <v>0</v>
      </c>
      <c r="N209" s="231">
        <f t="shared" si="62"/>
        <v>16509.75</v>
      </c>
      <c r="O209" s="231">
        <f t="shared" si="62"/>
        <v>35022.140908333335</v>
      </c>
      <c r="P209" s="231">
        <f t="shared" si="62"/>
        <v>141319.85909166664</v>
      </c>
      <c r="Q209" s="329"/>
    </row>
    <row r="210" spans="1:17" s="225" customFormat="1" ht="35.1" customHeight="1" thickBot="1" x14ac:dyDescent="0.25">
      <c r="A210" s="276"/>
      <c r="B210" s="277"/>
      <c r="C210" s="147"/>
      <c r="D210" s="278"/>
      <c r="E210" s="278"/>
      <c r="F210" s="232"/>
      <c r="G210" s="232"/>
      <c r="H210" s="232"/>
      <c r="I210" s="232"/>
      <c r="J210" s="232"/>
      <c r="K210" s="232"/>
      <c r="L210" s="232"/>
      <c r="M210" s="232"/>
      <c r="N210" s="232"/>
      <c r="O210" s="232"/>
      <c r="P210" s="232"/>
    </row>
    <row r="211" spans="1:17" s="224" customFormat="1" ht="35.1" customHeight="1" thickBot="1" x14ac:dyDescent="0.25">
      <c r="A211" s="235" t="s">
        <v>68</v>
      </c>
      <c r="B211" s="236"/>
      <c r="C211" s="236"/>
      <c r="D211" s="236"/>
      <c r="E211" s="236"/>
      <c r="F211" s="236"/>
      <c r="G211" s="236"/>
      <c r="H211" s="236"/>
      <c r="I211" s="236"/>
      <c r="J211" s="236"/>
      <c r="K211" s="236"/>
      <c r="L211" s="236"/>
      <c r="M211" s="236"/>
      <c r="N211" s="236"/>
      <c r="O211" s="236"/>
      <c r="P211" s="236"/>
    </row>
    <row r="212" spans="1:17" s="225" customFormat="1" ht="35.1" customHeight="1" x14ac:dyDescent="0.2">
      <c r="A212" s="241">
        <v>99</v>
      </c>
      <c r="B212" s="72" t="s">
        <v>7</v>
      </c>
      <c r="C212" s="73" t="s">
        <v>346</v>
      </c>
      <c r="D212" s="72" t="s">
        <v>76</v>
      </c>
      <c r="E212" s="72" t="s">
        <v>101</v>
      </c>
      <c r="F212" s="222">
        <v>60000</v>
      </c>
      <c r="G212" s="222">
        <f>F212*2.87%</f>
        <v>1722</v>
      </c>
      <c r="H212" s="68">
        <f>+F212*3.04%</f>
        <v>1824</v>
      </c>
      <c r="I212" s="68"/>
      <c r="J212" s="69">
        <f>+G212+H212+I212</f>
        <v>3546</v>
      </c>
      <c r="K212" s="69">
        <f>+F212-J212</f>
        <v>56454</v>
      </c>
      <c r="L212" s="69">
        <f t="shared" ref="L212" si="63">+IF(K212*12&lt;=416220.01,0,IF(K212*12&lt;=624329.01,(((K212*12-416220.01)*0.15)/12),IF((K212*12&lt;=867123.01),(31216+0.2*(K212*12-624329.01))/12,((79776+0.25*(K212*12-867123.01))/12))))-M212</f>
        <v>3486.6498333333329</v>
      </c>
      <c r="M212" s="69"/>
      <c r="N212" s="68">
        <v>2790.29</v>
      </c>
      <c r="O212" s="221">
        <f>+N212+I212+H212+G212+L212</f>
        <v>9822.9398333333338</v>
      </c>
      <c r="P212" s="69">
        <f>+F212-O212</f>
        <v>50177.060166666663</v>
      </c>
    </row>
    <row r="213" spans="1:17" s="149" customFormat="1" ht="35.25" customHeight="1" x14ac:dyDescent="0.2">
      <c r="A213" s="229" t="s">
        <v>103</v>
      </c>
      <c r="B213" s="230"/>
      <c r="C213" s="230"/>
      <c r="D213" s="230"/>
      <c r="E213" s="246"/>
      <c r="F213" s="231">
        <f>SUM(F212:F212)</f>
        <v>60000</v>
      </c>
      <c r="G213" s="231">
        <f t="shared" ref="G213:P213" si="64">SUM(G212:G212)</f>
        <v>1722</v>
      </c>
      <c r="H213" s="231">
        <f t="shared" si="64"/>
        <v>1824</v>
      </c>
      <c r="I213" s="231">
        <f t="shared" si="64"/>
        <v>0</v>
      </c>
      <c r="J213" s="231">
        <f t="shared" si="64"/>
        <v>3546</v>
      </c>
      <c r="K213" s="231">
        <f>SUM(K212:K212)</f>
        <v>56454</v>
      </c>
      <c r="L213" s="231">
        <f t="shared" si="64"/>
        <v>3486.6498333333329</v>
      </c>
      <c r="M213" s="231"/>
      <c r="N213" s="231">
        <f t="shared" si="64"/>
        <v>2790.29</v>
      </c>
      <c r="O213" s="231">
        <f t="shared" si="64"/>
        <v>9822.9398333333338</v>
      </c>
      <c r="P213" s="231">
        <f t="shared" si="64"/>
        <v>50177.060166666663</v>
      </c>
      <c r="Q213" s="329"/>
    </row>
    <row r="214" spans="1:17" s="225" customFormat="1" ht="35.1" customHeight="1" thickBot="1" x14ac:dyDescent="0.25">
      <c r="A214" s="147"/>
      <c r="B214" s="147"/>
      <c r="C214" s="147"/>
      <c r="D214" s="147"/>
      <c r="E214" s="147"/>
      <c r="F214" s="224"/>
      <c r="G214" s="224"/>
      <c r="H214" s="224"/>
      <c r="I214" s="224"/>
      <c r="J214" s="224"/>
      <c r="K214" s="224"/>
      <c r="L214" s="224"/>
      <c r="M214" s="224"/>
      <c r="N214" s="224"/>
      <c r="O214" s="224"/>
      <c r="P214" s="224"/>
    </row>
    <row r="215" spans="1:17" s="149" customFormat="1" ht="35.1" customHeight="1" thickBot="1" x14ac:dyDescent="0.25">
      <c r="A215" s="235" t="s">
        <v>149</v>
      </c>
      <c r="B215" s="236"/>
      <c r="C215" s="236"/>
      <c r="D215" s="236"/>
      <c r="E215" s="236"/>
      <c r="F215" s="236"/>
      <c r="G215" s="236"/>
      <c r="H215" s="236"/>
      <c r="I215" s="236"/>
      <c r="J215" s="236"/>
      <c r="K215" s="236"/>
      <c r="L215" s="236"/>
      <c r="M215" s="236"/>
      <c r="N215" s="236"/>
      <c r="O215" s="236"/>
      <c r="P215" s="236"/>
    </row>
    <row r="216" spans="1:17" s="149" customFormat="1" ht="35.1" customHeight="1" x14ac:dyDescent="0.2">
      <c r="A216" s="73">
        <f>+A212+1</f>
        <v>100</v>
      </c>
      <c r="B216" s="72" t="s">
        <v>405</v>
      </c>
      <c r="C216" s="73" t="s">
        <v>345</v>
      </c>
      <c r="D216" s="72" t="s">
        <v>168</v>
      </c>
      <c r="E216" s="72" t="s">
        <v>196</v>
      </c>
      <c r="F216" s="222">
        <v>60000</v>
      </c>
      <c r="G216" s="222">
        <f>F216*2.87%</f>
        <v>1722</v>
      </c>
      <c r="H216" s="222">
        <f>+F216*3.04%</f>
        <v>1824</v>
      </c>
      <c r="I216" s="222"/>
      <c r="J216" s="69">
        <f>+G216+H216+I216</f>
        <v>3546</v>
      </c>
      <c r="K216" s="69">
        <f>+F216-J216</f>
        <v>56454</v>
      </c>
      <c r="L216" s="69">
        <f t="shared" ref="L216" si="65">+IF(K216*12&lt;=416220.01,0,IF(K216*12&lt;=624329.01,(((K216*12-416220.01)*0.15)/12),IF((K216*12&lt;=867123.01),(31216+0.2*(K216*12-624329.01))/12,((79776+0.25*(K216*12-867123.01))/12))))-M216</f>
        <v>3486.6498333333329</v>
      </c>
      <c r="M216" s="69"/>
      <c r="N216" s="240">
        <v>225</v>
      </c>
      <c r="O216" s="221">
        <f>+N216+I216+H216+G216+L216</f>
        <v>7257.6498333333329</v>
      </c>
      <c r="P216" s="221">
        <f>+F216-O216</f>
        <v>52742.350166666671</v>
      </c>
    </row>
    <row r="217" spans="1:17" s="149" customFormat="1" ht="35.1" customHeight="1" x14ac:dyDescent="0.2">
      <c r="A217" s="229" t="s">
        <v>103</v>
      </c>
      <c r="B217" s="230"/>
      <c r="C217" s="230"/>
      <c r="D217" s="230"/>
      <c r="E217" s="246"/>
      <c r="F217" s="231">
        <f t="shared" ref="F217:L217" si="66">SUM(F216:F216)</f>
        <v>60000</v>
      </c>
      <c r="G217" s="231">
        <f t="shared" si="66"/>
        <v>1722</v>
      </c>
      <c r="H217" s="231">
        <f t="shared" si="66"/>
        <v>1824</v>
      </c>
      <c r="I217" s="231">
        <f t="shared" si="66"/>
        <v>0</v>
      </c>
      <c r="J217" s="231">
        <f t="shared" si="66"/>
        <v>3546</v>
      </c>
      <c r="K217" s="231">
        <f t="shared" si="66"/>
        <v>56454</v>
      </c>
      <c r="L217" s="231">
        <f t="shared" si="66"/>
        <v>3486.6498333333329</v>
      </c>
      <c r="M217" s="231"/>
      <c r="N217" s="231">
        <f>SUM(N216:N216)</f>
        <v>225</v>
      </c>
      <c r="O217" s="231">
        <f t="shared" ref="O217:P217" si="67">SUM(O216:O216)</f>
        <v>7257.6498333333329</v>
      </c>
      <c r="P217" s="231">
        <f t="shared" si="67"/>
        <v>52742.350166666671</v>
      </c>
      <c r="Q217" s="329"/>
    </row>
    <row r="218" spans="1:17" s="225" customFormat="1" ht="35.1" customHeight="1" thickBot="1" x14ac:dyDescent="0.25">
      <c r="A218" s="209"/>
      <c r="B218" s="148"/>
      <c r="C218" s="209"/>
      <c r="D218" s="148"/>
      <c r="E218" s="148"/>
      <c r="F218" s="149"/>
      <c r="G218" s="149"/>
      <c r="H218" s="149"/>
      <c r="I218" s="149"/>
      <c r="J218" s="149"/>
      <c r="K218" s="149"/>
      <c r="L218" s="149"/>
      <c r="M218" s="149"/>
      <c r="N218" s="149"/>
      <c r="O218" s="149"/>
      <c r="P218" s="149"/>
    </row>
    <row r="219" spans="1:17" s="259" customFormat="1" ht="35.1" customHeight="1" thickBot="1" x14ac:dyDescent="0.25">
      <c r="A219" s="235" t="s">
        <v>150</v>
      </c>
      <c r="B219" s="236"/>
      <c r="C219" s="236"/>
      <c r="D219" s="236"/>
      <c r="E219" s="236"/>
      <c r="F219" s="236"/>
      <c r="G219" s="236"/>
      <c r="H219" s="236"/>
      <c r="I219" s="236"/>
      <c r="J219" s="236"/>
      <c r="K219" s="236"/>
      <c r="L219" s="236"/>
      <c r="M219" s="236"/>
      <c r="N219" s="236"/>
      <c r="O219" s="236"/>
      <c r="P219" s="236"/>
    </row>
    <row r="220" spans="1:17" s="259" customFormat="1" ht="35.1" customHeight="1" x14ac:dyDescent="0.2">
      <c r="A220" s="241">
        <f>+A216+1</f>
        <v>101</v>
      </c>
      <c r="B220" s="72" t="s">
        <v>163</v>
      </c>
      <c r="C220" s="73" t="s">
        <v>345</v>
      </c>
      <c r="D220" s="72" t="s">
        <v>6</v>
      </c>
      <c r="E220" s="72" t="s">
        <v>101</v>
      </c>
      <c r="F220" s="222">
        <v>80000</v>
      </c>
      <c r="G220" s="222">
        <f>F220*2.87%</f>
        <v>2296</v>
      </c>
      <c r="H220" s="68">
        <f>+F220*3.04%</f>
        <v>2432</v>
      </c>
      <c r="I220" s="68"/>
      <c r="J220" s="69">
        <f>+G220+H220+I220</f>
        <v>4728</v>
      </c>
      <c r="K220" s="69">
        <f>+F220-J220</f>
        <v>75272</v>
      </c>
      <c r="L220" s="69">
        <f t="shared" ref="L220:L222" si="68">+IF(K220*12&lt;=416220.01,0,IF(K220*12&lt;=624329.01,(((K220*12-416220.01)*0.15)/12),IF((K220*12&lt;=867123.01),(31216+0.2*(K220*12-624329.01))/12,((79776+0.25*(K220*12-867123.01))/12))))-M220</f>
        <v>7400.9372916666662</v>
      </c>
      <c r="M220" s="69"/>
      <c r="N220" s="84">
        <v>3521.07</v>
      </c>
      <c r="O220" s="221">
        <f>+N220+I220+H220+G220+L220</f>
        <v>15650.007291666665</v>
      </c>
      <c r="P220" s="84">
        <f>+F220-O220</f>
        <v>64349.992708333331</v>
      </c>
    </row>
    <row r="221" spans="1:17" s="149" customFormat="1" ht="35.1" customHeight="1" x14ac:dyDescent="0.2">
      <c r="A221" s="243">
        <f>+A220+1</f>
        <v>102</v>
      </c>
      <c r="B221" s="220" t="s">
        <v>258</v>
      </c>
      <c r="C221" s="219" t="s">
        <v>345</v>
      </c>
      <c r="D221" s="220" t="s">
        <v>168</v>
      </c>
      <c r="E221" s="220" t="s">
        <v>196</v>
      </c>
      <c r="F221" s="221">
        <v>60000</v>
      </c>
      <c r="G221" s="221">
        <f>F221*2.87%</f>
        <v>1722</v>
      </c>
      <c r="H221" s="69">
        <f>+F221*3.04%</f>
        <v>1824</v>
      </c>
      <c r="I221" s="69"/>
      <c r="J221" s="69">
        <f>+G221+H221+I221</f>
        <v>3546</v>
      </c>
      <c r="K221" s="69">
        <f t="shared" ref="K221:K222" si="69">+F221-J221</f>
        <v>56454</v>
      </c>
      <c r="L221" s="69">
        <f t="shared" si="68"/>
        <v>3486.6498333333329</v>
      </c>
      <c r="M221" s="69"/>
      <c r="N221" s="84">
        <v>225</v>
      </c>
      <c r="O221" s="221">
        <f>+N221+I221+H221+G221+L221</f>
        <v>7257.6498333333329</v>
      </c>
      <c r="P221" s="69">
        <f>+F221-O221</f>
        <v>52742.350166666671</v>
      </c>
    </row>
    <row r="222" spans="1:17" s="149" customFormat="1" ht="35.1" customHeight="1" x14ac:dyDescent="0.2">
      <c r="A222" s="279">
        <f>+A221+1</f>
        <v>103</v>
      </c>
      <c r="B222" s="244" t="s">
        <v>511</v>
      </c>
      <c r="C222" s="280" t="s">
        <v>346</v>
      </c>
      <c r="D222" s="245" t="s">
        <v>189</v>
      </c>
      <c r="E222" s="251" t="s">
        <v>196</v>
      </c>
      <c r="F222" s="69">
        <v>70000</v>
      </c>
      <c r="G222" s="221">
        <f>F222*2.87%</f>
        <v>2009</v>
      </c>
      <c r="H222" s="69">
        <f>+F222*3.04%</f>
        <v>2128</v>
      </c>
      <c r="I222" s="69">
        <v>1919.78</v>
      </c>
      <c r="J222" s="69">
        <f>+G222+H222+I222</f>
        <v>6056.78</v>
      </c>
      <c r="K222" s="69">
        <f t="shared" si="69"/>
        <v>63943.22</v>
      </c>
      <c r="L222" s="69">
        <f t="shared" si="68"/>
        <v>4984.4938333333339</v>
      </c>
      <c r="M222" s="69"/>
      <c r="N222" s="84">
        <v>25</v>
      </c>
      <c r="O222" s="221">
        <f>+N222+I222+H222+G222+L222</f>
        <v>11066.273833333333</v>
      </c>
      <c r="P222" s="69">
        <f>+F222-O222</f>
        <v>58933.726166666667</v>
      </c>
    </row>
    <row r="223" spans="1:17" s="225" customFormat="1" ht="35.1" customHeight="1" x14ac:dyDescent="0.2">
      <c r="A223" s="229" t="s">
        <v>103</v>
      </c>
      <c r="B223" s="230"/>
      <c r="C223" s="230"/>
      <c r="D223" s="230"/>
      <c r="E223" s="246"/>
      <c r="F223" s="231">
        <f>SUM(F220:F222)</f>
        <v>210000</v>
      </c>
      <c r="G223" s="231">
        <f t="shared" ref="G223:P223" si="70">SUM(G220:G222)</f>
        <v>6027</v>
      </c>
      <c r="H223" s="231">
        <f t="shared" si="70"/>
        <v>6384</v>
      </c>
      <c r="I223" s="231">
        <f t="shared" si="70"/>
        <v>1919.78</v>
      </c>
      <c r="J223" s="231">
        <f t="shared" si="70"/>
        <v>14330.779999999999</v>
      </c>
      <c r="K223" s="231">
        <f>SUM(K220:K222)</f>
        <v>195669.22</v>
      </c>
      <c r="L223" s="231">
        <f t="shared" si="70"/>
        <v>15872.080958333332</v>
      </c>
      <c r="M223" s="231"/>
      <c r="N223" s="231">
        <f t="shared" si="70"/>
        <v>3771.07</v>
      </c>
      <c r="O223" s="231">
        <f t="shared" si="70"/>
        <v>33973.930958333331</v>
      </c>
      <c r="P223" s="231">
        <f t="shared" si="70"/>
        <v>176026.06904166666</v>
      </c>
      <c r="Q223" s="329"/>
    </row>
    <row r="224" spans="1:17" s="225" customFormat="1" ht="22.9" customHeight="1" thickBot="1" x14ac:dyDescent="0.25">
      <c r="A224" s="209"/>
      <c r="B224" s="148"/>
      <c r="C224" s="209"/>
      <c r="D224" s="148"/>
      <c r="E224" s="148"/>
      <c r="F224" s="149"/>
      <c r="G224" s="149"/>
      <c r="H224" s="149"/>
      <c r="I224" s="149"/>
      <c r="J224" s="149"/>
      <c r="K224" s="149"/>
      <c r="L224" s="149"/>
      <c r="M224" s="149"/>
      <c r="N224" s="149"/>
      <c r="O224" s="149"/>
      <c r="P224" s="149"/>
    </row>
    <row r="225" spans="1:17" s="225" customFormat="1" ht="35.1" customHeight="1" thickBot="1" x14ac:dyDescent="0.25">
      <c r="A225" s="356" t="s">
        <v>259</v>
      </c>
      <c r="B225" s="357"/>
      <c r="C225" s="357"/>
      <c r="D225" s="357"/>
      <c r="E225" s="253"/>
      <c r="F225" s="253"/>
      <c r="G225" s="253"/>
      <c r="H225" s="253"/>
      <c r="I225" s="253"/>
      <c r="J225" s="253"/>
      <c r="K225" s="253"/>
      <c r="L225" s="253"/>
      <c r="M225" s="253"/>
      <c r="N225" s="253"/>
      <c r="O225" s="253"/>
      <c r="P225" s="253"/>
    </row>
    <row r="226" spans="1:17" s="149" customFormat="1" ht="35.1" customHeight="1" thickBot="1" x14ac:dyDescent="0.25">
      <c r="A226" s="214" t="s">
        <v>260</v>
      </c>
      <c r="B226" s="215"/>
      <c r="C226" s="215"/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98"/>
      <c r="O226" s="215"/>
      <c r="P226" s="215"/>
    </row>
    <row r="227" spans="1:17" s="225" customFormat="1" ht="35.1" customHeight="1" x14ac:dyDescent="0.2">
      <c r="A227" s="241">
        <f>+A222+1</f>
        <v>104</v>
      </c>
      <c r="B227" s="72" t="s">
        <v>11</v>
      </c>
      <c r="C227" s="73" t="s">
        <v>345</v>
      </c>
      <c r="D227" s="88" t="s">
        <v>261</v>
      </c>
      <c r="E227" s="72" t="s">
        <v>101</v>
      </c>
      <c r="F227" s="68">
        <v>70000</v>
      </c>
      <c r="G227" s="68">
        <f>F227*2.87%</f>
        <v>2009</v>
      </c>
      <c r="H227" s="68">
        <f>+F227*3.04%</f>
        <v>2128</v>
      </c>
      <c r="I227" s="68"/>
      <c r="J227" s="69">
        <f>+G227+H227+I227</f>
        <v>4137</v>
      </c>
      <c r="K227" s="69">
        <f>+F227-J227</f>
        <v>65863</v>
      </c>
      <c r="L227" s="69">
        <f t="shared" ref="L227" si="71">+IF(K227*12&lt;=416220.01,0,IF(K227*12&lt;=624329.01,(((K227*12-416220.01)*0.15)/12),IF((K227*12&lt;=867123.01),(31216+0.2*(K227*12-624329.01))/12,((79776+0.25*(K227*12-867123.01))/12))))-M227</f>
        <v>5368.4498333333331</v>
      </c>
      <c r="M227" s="69"/>
      <c r="N227" s="223">
        <v>18716.75</v>
      </c>
      <c r="O227" s="221">
        <f>+N227+I227+H227+G227+L227</f>
        <v>28222.199833333332</v>
      </c>
      <c r="P227" s="84">
        <f>+F227-O227</f>
        <v>41777.800166666668</v>
      </c>
    </row>
    <row r="228" spans="1:17" s="149" customFormat="1" ht="35.1" customHeight="1" x14ac:dyDescent="0.2">
      <c r="A228" s="229" t="s">
        <v>103</v>
      </c>
      <c r="B228" s="230"/>
      <c r="C228" s="230"/>
      <c r="D228" s="230"/>
      <c r="E228" s="246"/>
      <c r="F228" s="231">
        <f t="shared" ref="F228:L228" si="72">SUM(F227:F227)</f>
        <v>70000</v>
      </c>
      <c r="G228" s="231">
        <f t="shared" si="72"/>
        <v>2009</v>
      </c>
      <c r="H228" s="231">
        <f t="shared" si="72"/>
        <v>2128</v>
      </c>
      <c r="I228" s="231">
        <f t="shared" si="72"/>
        <v>0</v>
      </c>
      <c r="J228" s="231">
        <f t="shared" si="72"/>
        <v>4137</v>
      </c>
      <c r="K228" s="231">
        <f t="shared" si="72"/>
        <v>65863</v>
      </c>
      <c r="L228" s="231">
        <f t="shared" si="72"/>
        <v>5368.4498333333331</v>
      </c>
      <c r="M228" s="231"/>
      <c r="N228" s="231">
        <f>SUM(N227:N227)</f>
        <v>18716.75</v>
      </c>
      <c r="O228" s="231">
        <f>SUM(O227:O227)</f>
        <v>28222.199833333332</v>
      </c>
      <c r="P228" s="231">
        <f>SUM(P227:P227)</f>
        <v>41777.800166666668</v>
      </c>
      <c r="Q228" s="329"/>
    </row>
    <row r="229" spans="1:17" s="149" customFormat="1" ht="35.1" customHeight="1" thickBot="1" x14ac:dyDescent="0.25">
      <c r="A229" s="147"/>
      <c r="B229" s="147"/>
      <c r="C229" s="147"/>
      <c r="D229" s="147"/>
      <c r="E229" s="147"/>
      <c r="F229" s="224"/>
      <c r="G229" s="224"/>
      <c r="H229" s="224"/>
      <c r="I229" s="224"/>
      <c r="J229" s="224"/>
      <c r="K229" s="224"/>
      <c r="L229" s="224"/>
      <c r="M229" s="224"/>
      <c r="N229" s="224"/>
      <c r="O229" s="224"/>
      <c r="P229" s="224"/>
    </row>
    <row r="230" spans="1:17" s="149" customFormat="1" ht="35.1" customHeight="1" thickBot="1" x14ac:dyDescent="0.25">
      <c r="A230" s="214" t="s">
        <v>263</v>
      </c>
      <c r="B230" s="215"/>
      <c r="C230" s="215"/>
      <c r="D230" s="215"/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</row>
    <row r="231" spans="1:17" s="149" customFormat="1" ht="35.1" customHeight="1" x14ac:dyDescent="0.2">
      <c r="A231" s="241">
        <f>+A227+1</f>
        <v>105</v>
      </c>
      <c r="B231" s="72" t="s">
        <v>262</v>
      </c>
      <c r="C231" s="73" t="s">
        <v>345</v>
      </c>
      <c r="D231" s="88" t="s">
        <v>77</v>
      </c>
      <c r="E231" s="72" t="s">
        <v>101</v>
      </c>
      <c r="F231" s="222">
        <v>95000</v>
      </c>
      <c r="G231" s="222">
        <f>F231*2.87%</f>
        <v>2726.5</v>
      </c>
      <c r="H231" s="222">
        <f>+F231*3.04%</f>
        <v>2888</v>
      </c>
      <c r="I231" s="68">
        <v>1919.78</v>
      </c>
      <c r="J231" s="69">
        <f t="shared" ref="J231:J291" si="73">+G231+H231+I231</f>
        <v>7534.28</v>
      </c>
      <c r="K231" s="69">
        <f>+F231-J231</f>
        <v>87465.72</v>
      </c>
      <c r="L231" s="69">
        <f>+IF(K231*12&lt;=416220.01,0,IF(K231*12&lt;=624329.01,(((K231*12-416220.01)*0.15)/12),IF((K231*12&lt;=867123.01),(31216+0.2*(K231*12-624329.01))/12,((79776+0.25*(K231*12-867123.01))/12))))-M231</f>
        <v>10449.367291666669</v>
      </c>
      <c r="M231" s="69"/>
      <c r="N231" s="84">
        <v>225</v>
      </c>
      <c r="O231" s="221">
        <f>+N231+I231+H231+G231+L231</f>
        <v>18208.647291666668</v>
      </c>
      <c r="P231" s="84">
        <f>+F231-O231</f>
        <v>76791.352708333332</v>
      </c>
    </row>
    <row r="232" spans="1:17" s="149" customFormat="1" ht="35.1" customHeight="1" x14ac:dyDescent="0.2">
      <c r="A232" s="229" t="s">
        <v>103</v>
      </c>
      <c r="B232" s="230"/>
      <c r="C232" s="230"/>
      <c r="D232" s="230"/>
      <c r="E232" s="246"/>
      <c r="F232" s="231">
        <f t="shared" ref="F232:L232" si="74">SUM(F231:F231)</f>
        <v>95000</v>
      </c>
      <c r="G232" s="231">
        <f t="shared" si="74"/>
        <v>2726.5</v>
      </c>
      <c r="H232" s="231">
        <f t="shared" si="74"/>
        <v>2888</v>
      </c>
      <c r="I232" s="231">
        <f t="shared" si="74"/>
        <v>1919.78</v>
      </c>
      <c r="J232" s="231">
        <f t="shared" si="74"/>
        <v>7534.28</v>
      </c>
      <c r="K232" s="231">
        <f t="shared" si="74"/>
        <v>87465.72</v>
      </c>
      <c r="L232" s="231">
        <f t="shared" si="74"/>
        <v>10449.367291666669</v>
      </c>
      <c r="M232" s="231"/>
      <c r="N232" s="231">
        <f>SUM(N231:N231)</f>
        <v>225</v>
      </c>
      <c r="O232" s="231">
        <f t="shared" ref="O232:P232" si="75">SUM(O231:O231)</f>
        <v>18208.647291666668</v>
      </c>
      <c r="P232" s="231">
        <f t="shared" si="75"/>
        <v>76791.352708333332</v>
      </c>
    </row>
    <row r="233" spans="1:17" s="149" customFormat="1" ht="35.1" customHeight="1" thickBot="1" x14ac:dyDescent="0.25">
      <c r="A233" s="147"/>
      <c r="B233" s="147"/>
      <c r="C233" s="147"/>
      <c r="D233" s="147"/>
      <c r="E233" s="147"/>
      <c r="F233" s="232"/>
      <c r="G233" s="232"/>
      <c r="H233" s="232"/>
      <c r="I233" s="232"/>
      <c r="J233" s="232"/>
      <c r="K233" s="232"/>
      <c r="L233" s="232"/>
      <c r="M233" s="232"/>
      <c r="N233" s="232"/>
      <c r="O233" s="232"/>
      <c r="P233" s="232"/>
    </row>
    <row r="234" spans="1:17" s="225" customFormat="1" ht="35.1" customHeight="1" thickBot="1" x14ac:dyDescent="0.25">
      <c r="A234" s="214" t="s">
        <v>197</v>
      </c>
      <c r="B234" s="215"/>
      <c r="C234" s="215"/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</row>
    <row r="235" spans="1:17" s="225" customFormat="1" ht="35.1" customHeight="1" x14ac:dyDescent="0.2">
      <c r="A235" s="241">
        <f>+A231+1</f>
        <v>106</v>
      </c>
      <c r="B235" s="72" t="s">
        <v>64</v>
      </c>
      <c r="C235" s="73" t="s">
        <v>345</v>
      </c>
      <c r="D235" s="72" t="s">
        <v>12</v>
      </c>
      <c r="E235" s="72" t="s">
        <v>101</v>
      </c>
      <c r="F235" s="222">
        <v>65000</v>
      </c>
      <c r="G235" s="222">
        <f>F235*2.87%</f>
        <v>1865.5</v>
      </c>
      <c r="H235" s="68">
        <f>+F235*3.04%</f>
        <v>1976</v>
      </c>
      <c r="I235" s="68"/>
      <c r="J235" s="69">
        <f t="shared" si="73"/>
        <v>3841.5</v>
      </c>
      <c r="K235" s="69">
        <f t="shared" ref="K235:K236" si="76">+F235-J235</f>
        <v>61158.5</v>
      </c>
      <c r="L235" s="69">
        <f t="shared" ref="L235:L236" si="77">+IF(K235*12&lt;=416220.01,0,IF(K235*12&lt;=624329.01,(((K235*12-416220.01)*0.15)/12),IF((K235*12&lt;=867123.01),(31216+0.2*(K235*12-624329.01))/12,((79776+0.25*(K235*12-867123.01))/12))))-M235</f>
        <v>4427.5498333333335</v>
      </c>
      <c r="M235" s="69"/>
      <c r="N235" s="84">
        <v>225</v>
      </c>
      <c r="O235" s="221">
        <f>+N235+I235+H235+G235+L235</f>
        <v>8494.0498333333344</v>
      </c>
      <c r="P235" s="84">
        <f>+F235-O235</f>
        <v>56505.950166666662</v>
      </c>
    </row>
    <row r="236" spans="1:17" s="149" customFormat="1" ht="35.1" customHeight="1" x14ac:dyDescent="0.2">
      <c r="A236" s="241">
        <f>+A235+1</f>
        <v>107</v>
      </c>
      <c r="B236" s="72" t="s">
        <v>369</v>
      </c>
      <c r="C236" s="73" t="s">
        <v>345</v>
      </c>
      <c r="D236" s="72" t="s">
        <v>12</v>
      </c>
      <c r="E236" s="72" t="s">
        <v>101</v>
      </c>
      <c r="F236" s="222">
        <v>65000</v>
      </c>
      <c r="G236" s="222">
        <f>F236*2.87%</f>
        <v>1865.5</v>
      </c>
      <c r="H236" s="68">
        <f>+F236*3.04%</f>
        <v>1976</v>
      </c>
      <c r="I236" s="68">
        <v>1919.78</v>
      </c>
      <c r="J236" s="69">
        <f t="shared" si="73"/>
        <v>5761.28</v>
      </c>
      <c r="K236" s="69">
        <f t="shared" si="76"/>
        <v>59238.720000000001</v>
      </c>
      <c r="L236" s="69">
        <f t="shared" si="77"/>
        <v>4043.5938333333338</v>
      </c>
      <c r="M236" s="69"/>
      <c r="N236" s="84">
        <v>225</v>
      </c>
      <c r="O236" s="221">
        <f>+N236+I236+H236+G236+L236</f>
        <v>10029.873833333333</v>
      </c>
      <c r="P236" s="84">
        <f>+F236-O236</f>
        <v>54970.126166666669</v>
      </c>
    </row>
    <row r="237" spans="1:17" s="225" customFormat="1" ht="35.1" customHeight="1" x14ac:dyDescent="0.2">
      <c r="A237" s="229" t="s">
        <v>103</v>
      </c>
      <c r="B237" s="230"/>
      <c r="C237" s="230"/>
      <c r="D237" s="230"/>
      <c r="E237" s="246"/>
      <c r="F237" s="231">
        <f t="shared" ref="F237:L237" si="78">SUM(F235:F236)</f>
        <v>130000</v>
      </c>
      <c r="G237" s="231">
        <f t="shared" si="78"/>
        <v>3731</v>
      </c>
      <c r="H237" s="231">
        <f t="shared" si="78"/>
        <v>3952</v>
      </c>
      <c r="I237" s="231">
        <f t="shared" si="78"/>
        <v>1919.78</v>
      </c>
      <c r="J237" s="231">
        <f t="shared" si="78"/>
        <v>9602.7799999999988</v>
      </c>
      <c r="K237" s="231">
        <f t="shared" si="78"/>
        <v>120397.22</v>
      </c>
      <c r="L237" s="231">
        <f t="shared" si="78"/>
        <v>8471.1436666666668</v>
      </c>
      <c r="M237" s="231"/>
      <c r="N237" s="231">
        <f>SUM(N235:N236)</f>
        <v>450</v>
      </c>
      <c r="O237" s="231">
        <f>SUM(O235:O236)</f>
        <v>18523.923666666669</v>
      </c>
      <c r="P237" s="231">
        <f>SUM(P235:P236)</f>
        <v>111476.07633333333</v>
      </c>
      <c r="Q237" s="329"/>
    </row>
    <row r="238" spans="1:17" s="149" customFormat="1" ht="35.1" customHeight="1" thickBot="1" x14ac:dyDescent="0.25">
      <c r="A238" s="147"/>
      <c r="B238" s="147"/>
      <c r="C238" s="147"/>
      <c r="D238" s="147"/>
      <c r="E238" s="147"/>
      <c r="F238" s="232"/>
      <c r="G238" s="232"/>
      <c r="H238" s="232"/>
      <c r="I238" s="232"/>
      <c r="J238" s="232"/>
      <c r="K238" s="232"/>
      <c r="L238" s="232"/>
      <c r="M238" s="232"/>
      <c r="N238" s="232"/>
      <c r="O238" s="232"/>
      <c r="P238" s="232"/>
    </row>
    <row r="239" spans="1:17" s="225" customFormat="1" ht="35.1" customHeight="1" thickBot="1" x14ac:dyDescent="0.25">
      <c r="A239" s="235" t="s">
        <v>264</v>
      </c>
      <c r="B239" s="236"/>
      <c r="C239" s="236"/>
      <c r="D239" s="236"/>
      <c r="E239" s="236"/>
      <c r="F239" s="236"/>
      <c r="G239" s="236"/>
      <c r="H239" s="236"/>
      <c r="I239" s="236"/>
      <c r="J239" s="236"/>
      <c r="K239" s="236"/>
      <c r="L239" s="236"/>
      <c r="M239" s="236"/>
      <c r="N239" s="236"/>
      <c r="O239" s="236"/>
      <c r="P239" s="236"/>
    </row>
    <row r="240" spans="1:17" s="259" customFormat="1" ht="35.1" customHeight="1" x14ac:dyDescent="0.2">
      <c r="A240" s="241">
        <f>+A236+1</f>
        <v>108</v>
      </c>
      <c r="B240" s="72" t="s">
        <v>17</v>
      </c>
      <c r="C240" s="73" t="s">
        <v>346</v>
      </c>
      <c r="D240" s="72" t="s">
        <v>164</v>
      </c>
      <c r="E240" s="72" t="s">
        <v>101</v>
      </c>
      <c r="F240" s="222">
        <v>95000</v>
      </c>
      <c r="G240" s="221">
        <f>F240*2.87%</f>
        <v>2726.5</v>
      </c>
      <c r="H240" s="69">
        <f>+F240*3.04%</f>
        <v>2888</v>
      </c>
      <c r="I240" s="69"/>
      <c r="J240" s="69">
        <f t="shared" si="73"/>
        <v>5614.5</v>
      </c>
      <c r="K240" s="69">
        <f>+F240-J240</f>
        <v>89385.5</v>
      </c>
      <c r="L240" s="69">
        <f>+IF(K240*12&lt;=416220.01,0,IF(K240*12&lt;=624329.01,(((K240*12-416220.01)*0.15)/12),IF((K240*12&lt;=867123.01),(31216+0.2*(K240*12-624329.01))/12,((79776+0.25*(K240*12-867123.01))/12))))-M240</f>
        <v>10929.312291666667</v>
      </c>
      <c r="M240" s="69"/>
      <c r="N240" s="240">
        <v>25</v>
      </c>
      <c r="O240" s="221">
        <f>+N240+I240+H240+G240+L240</f>
        <v>16568.812291666669</v>
      </c>
      <c r="P240" s="84">
        <f>+F240-O240</f>
        <v>78431.187708333338</v>
      </c>
    </row>
    <row r="241" spans="1:20" s="225" customFormat="1" ht="35.1" customHeight="1" x14ac:dyDescent="0.2">
      <c r="A241" s="241">
        <f>+A240+1</f>
        <v>109</v>
      </c>
      <c r="B241" s="72" t="s">
        <v>27</v>
      </c>
      <c r="C241" s="73" t="s">
        <v>346</v>
      </c>
      <c r="D241" s="72" t="s">
        <v>76</v>
      </c>
      <c r="E241" s="72" t="s">
        <v>196</v>
      </c>
      <c r="F241" s="222">
        <v>50000</v>
      </c>
      <c r="G241" s="68">
        <f>F241*2.87%</f>
        <v>1435</v>
      </c>
      <c r="H241" s="69">
        <f>+F241*3.04%</f>
        <v>1520</v>
      </c>
      <c r="I241" s="221">
        <v>0</v>
      </c>
      <c r="J241" s="69">
        <f t="shared" si="73"/>
        <v>2955</v>
      </c>
      <c r="K241" s="69">
        <f>+F241-J241</f>
        <v>47045</v>
      </c>
      <c r="L241" s="69">
        <f>+IF(K241*12&lt;=416220.01,0,IF(K241*12&lt;=624329.01,(((K241*12-416220.01)*0.15)/12),IF((K241*12&lt;=867123.01),(31216+0.2*(K241*12-624329.01))/12,((79776+0.25*(K241*12-867123.01))/12))))-M241</f>
        <v>1853.9998749999997</v>
      </c>
      <c r="M241" s="69"/>
      <c r="N241" s="240">
        <v>345</v>
      </c>
      <c r="O241" s="221">
        <f>+N241+I241+H241+G241+L241</f>
        <v>5153.9998749999995</v>
      </c>
      <c r="P241" s="84">
        <f>+F241-O241</f>
        <v>44846.000124999999</v>
      </c>
    </row>
    <row r="242" spans="1:20" s="149" customFormat="1" ht="35.1" customHeight="1" thickBot="1" x14ac:dyDescent="0.25">
      <c r="A242" s="229" t="s">
        <v>103</v>
      </c>
      <c r="B242" s="230"/>
      <c r="C242" s="230"/>
      <c r="D242" s="230"/>
      <c r="E242" s="246"/>
      <c r="F242" s="231">
        <f>SUM(F240:F241)</f>
        <v>145000</v>
      </c>
      <c r="G242" s="231">
        <f t="shared" ref="G242:P242" si="79">SUM(G240:G241)</f>
        <v>4161.5</v>
      </c>
      <c r="H242" s="231">
        <f t="shared" si="79"/>
        <v>4408</v>
      </c>
      <c r="I242" s="231">
        <f t="shared" si="79"/>
        <v>0</v>
      </c>
      <c r="J242" s="231">
        <f t="shared" si="79"/>
        <v>8569.5</v>
      </c>
      <c r="K242" s="231">
        <f>SUM(K240:K241)</f>
        <v>136430.5</v>
      </c>
      <c r="L242" s="231">
        <f t="shared" si="79"/>
        <v>12783.312166666667</v>
      </c>
      <c r="M242" s="231"/>
      <c r="N242" s="231">
        <f t="shared" si="79"/>
        <v>370</v>
      </c>
      <c r="O242" s="231">
        <f t="shared" si="79"/>
        <v>21722.81216666667</v>
      </c>
      <c r="P242" s="231">
        <f t="shared" si="79"/>
        <v>123277.18783333333</v>
      </c>
      <c r="Q242" s="329"/>
    </row>
    <row r="243" spans="1:20" s="149" customFormat="1" ht="35.1" customHeight="1" thickBot="1" x14ac:dyDescent="0.25">
      <c r="A243" s="235" t="s">
        <v>265</v>
      </c>
      <c r="B243" s="236"/>
      <c r="C243" s="236"/>
      <c r="D243" s="236"/>
      <c r="E243" s="236"/>
      <c r="F243" s="236"/>
      <c r="G243" s="236"/>
      <c r="H243" s="236"/>
      <c r="I243" s="236"/>
      <c r="J243" s="236"/>
      <c r="K243" s="236"/>
      <c r="L243" s="236"/>
      <c r="M243" s="236"/>
      <c r="N243" s="236"/>
      <c r="O243" s="236"/>
      <c r="P243" s="236"/>
    </row>
    <row r="244" spans="1:20" s="225" customFormat="1" ht="44.25" customHeight="1" x14ac:dyDescent="0.2">
      <c r="A244" s="243">
        <f>+A241+1</f>
        <v>110</v>
      </c>
      <c r="B244" s="72" t="s">
        <v>327</v>
      </c>
      <c r="C244" s="73" t="s">
        <v>345</v>
      </c>
      <c r="D244" s="72" t="s">
        <v>266</v>
      </c>
      <c r="E244" s="72" t="s">
        <v>196</v>
      </c>
      <c r="F244" s="222">
        <v>55000</v>
      </c>
      <c r="G244" s="222">
        <f t="shared" ref="G244:G248" si="80">F244*2.87%</f>
        <v>1578.5</v>
      </c>
      <c r="H244" s="222">
        <f t="shared" ref="H244:H248" si="81">+F244*3.04%</f>
        <v>1672</v>
      </c>
      <c r="I244" s="222"/>
      <c r="J244" s="221">
        <f t="shared" si="73"/>
        <v>3250.5</v>
      </c>
      <c r="K244" s="221">
        <f>+F244-J244</f>
        <v>51749.5</v>
      </c>
      <c r="L244" s="221">
        <f>+IF(K244*12&lt;=416220.01,0,IF(K244*12&lt;=624329.01,(((K244*12-416220.01)*0.15)/12),IF((K244*12&lt;=867123.01),(31216+0.2*(K244*12-624329.01))/12,((79776+0.25*(K244*12-867123.01))/12))))-M244</f>
        <v>2559.6748749999997</v>
      </c>
      <c r="M244" s="221"/>
      <c r="N244" s="227">
        <v>5807.19</v>
      </c>
      <c r="O244" s="221">
        <f t="shared" ref="O244:O276" si="82">+N244+I244+H244+G244+L244</f>
        <v>11617.364874999999</v>
      </c>
      <c r="P244" s="84">
        <f t="shared" ref="P244:P276" si="83">+F244-O244</f>
        <v>43382.635125000001</v>
      </c>
      <c r="Q244" s="149"/>
      <c r="R244" s="149"/>
      <c r="S244" s="149"/>
      <c r="T244" s="149"/>
    </row>
    <row r="245" spans="1:20" s="225" customFormat="1" ht="35.1" customHeight="1" x14ac:dyDescent="0.2">
      <c r="A245" s="243">
        <f t="shared" ref="A245:A269" si="84">+A244+1</f>
        <v>111</v>
      </c>
      <c r="B245" s="72" t="s">
        <v>440</v>
      </c>
      <c r="C245" s="73" t="s">
        <v>345</v>
      </c>
      <c r="D245" s="72" t="s">
        <v>266</v>
      </c>
      <c r="E245" s="72" t="s">
        <v>196</v>
      </c>
      <c r="F245" s="222">
        <v>50000</v>
      </c>
      <c r="G245" s="222">
        <f>F245*2.87%</f>
        <v>1435</v>
      </c>
      <c r="H245" s="222">
        <f>+F245*3.04%</f>
        <v>1520</v>
      </c>
      <c r="I245" s="222"/>
      <c r="J245" s="221">
        <f>+G245+H245+I245</f>
        <v>2955</v>
      </c>
      <c r="K245" s="221">
        <f>+F245-J245</f>
        <v>47045</v>
      </c>
      <c r="L245" s="221">
        <f t="shared" ref="L245:L276" si="85">+IF(K245*12&lt;=416220.01,0,IF(K245*12&lt;=624329.01,(((K245*12-416220.01)*0.15)/12),IF((K245*12&lt;=867123.01),(31216+0.2*(K245*12-624329.01))/12,((79776+0.25*(K245*12-867123.01))/12))))-M245</f>
        <v>1853.9998749999997</v>
      </c>
      <c r="M245" s="221"/>
      <c r="N245" s="227">
        <v>10314.52</v>
      </c>
      <c r="O245" s="221">
        <f t="shared" si="82"/>
        <v>15123.519875</v>
      </c>
      <c r="P245" s="84">
        <f t="shared" si="83"/>
        <v>34876.480125000002</v>
      </c>
      <c r="Q245" s="149"/>
      <c r="R245" s="149"/>
      <c r="S245" s="149"/>
      <c r="T245" s="149"/>
    </row>
    <row r="246" spans="1:20" s="149" customFormat="1" ht="35.1" customHeight="1" x14ac:dyDescent="0.2">
      <c r="A246" s="243">
        <f t="shared" si="84"/>
        <v>112</v>
      </c>
      <c r="B246" s="72" t="s">
        <v>521</v>
      </c>
      <c r="C246" s="73" t="s">
        <v>346</v>
      </c>
      <c r="D246" s="72" t="s">
        <v>266</v>
      </c>
      <c r="E246" s="72" t="s">
        <v>196</v>
      </c>
      <c r="F246" s="222">
        <v>50000</v>
      </c>
      <c r="G246" s="222">
        <f t="shared" ref="G246" si="86">F246*2.87%</f>
        <v>1435</v>
      </c>
      <c r="H246" s="222">
        <f t="shared" ref="H246" si="87">+F246*3.04%</f>
        <v>1520</v>
      </c>
      <c r="I246" s="222"/>
      <c r="J246" s="221">
        <f t="shared" ref="J246" si="88">+G246+H246+I246</f>
        <v>2955</v>
      </c>
      <c r="K246" s="221">
        <f t="shared" ref="K246:K268" si="89">+F246-J246</f>
        <v>47045</v>
      </c>
      <c r="L246" s="221">
        <f t="shared" si="85"/>
        <v>1853.9998749999997</v>
      </c>
      <c r="M246" s="221"/>
      <c r="N246" s="227">
        <v>225</v>
      </c>
      <c r="O246" s="221">
        <f t="shared" si="82"/>
        <v>5033.9998749999995</v>
      </c>
      <c r="P246" s="84">
        <f t="shared" si="83"/>
        <v>44966.000124999999</v>
      </c>
    </row>
    <row r="247" spans="1:20" s="149" customFormat="1" ht="35.1" customHeight="1" x14ac:dyDescent="0.2">
      <c r="A247" s="243">
        <f t="shared" si="84"/>
        <v>113</v>
      </c>
      <c r="B247" s="72" t="s">
        <v>124</v>
      </c>
      <c r="C247" s="73" t="s">
        <v>345</v>
      </c>
      <c r="D247" s="72" t="s">
        <v>266</v>
      </c>
      <c r="E247" s="72" t="s">
        <v>196</v>
      </c>
      <c r="F247" s="222">
        <v>35000</v>
      </c>
      <c r="G247" s="222">
        <f t="shared" si="80"/>
        <v>1004.5</v>
      </c>
      <c r="H247" s="222">
        <f t="shared" si="81"/>
        <v>1064</v>
      </c>
      <c r="I247" s="222"/>
      <c r="J247" s="221">
        <f>+G247+H247+I247</f>
        <v>2068.5</v>
      </c>
      <c r="K247" s="221">
        <f t="shared" si="89"/>
        <v>32931.5</v>
      </c>
      <c r="L247" s="221">
        <f t="shared" si="85"/>
        <v>0</v>
      </c>
      <c r="M247" s="221"/>
      <c r="N247" s="227">
        <v>385</v>
      </c>
      <c r="O247" s="221">
        <f t="shared" si="82"/>
        <v>2453.5</v>
      </c>
      <c r="P247" s="84">
        <f t="shared" si="83"/>
        <v>32546.5</v>
      </c>
    </row>
    <row r="248" spans="1:20" s="149" customFormat="1" ht="35.1" customHeight="1" x14ac:dyDescent="0.2">
      <c r="A248" s="243">
        <f t="shared" si="84"/>
        <v>114</v>
      </c>
      <c r="B248" s="72" t="s">
        <v>20</v>
      </c>
      <c r="C248" s="73" t="s">
        <v>346</v>
      </c>
      <c r="D248" s="72" t="s">
        <v>79</v>
      </c>
      <c r="E248" s="72" t="s">
        <v>101</v>
      </c>
      <c r="F248" s="222">
        <v>32000</v>
      </c>
      <c r="G248" s="222">
        <f t="shared" si="80"/>
        <v>918.4</v>
      </c>
      <c r="H248" s="222">
        <f t="shared" si="81"/>
        <v>972.8</v>
      </c>
      <c r="I248" s="222"/>
      <c r="J248" s="221">
        <f t="shared" si="73"/>
        <v>1891.1999999999998</v>
      </c>
      <c r="K248" s="221">
        <f t="shared" si="89"/>
        <v>30108.799999999999</v>
      </c>
      <c r="L248" s="221">
        <f t="shared" si="85"/>
        <v>0</v>
      </c>
      <c r="M248" s="221"/>
      <c r="N248" s="227">
        <v>225</v>
      </c>
      <c r="O248" s="221">
        <f t="shared" si="82"/>
        <v>2116.1999999999998</v>
      </c>
      <c r="P248" s="84">
        <f t="shared" si="83"/>
        <v>29883.8</v>
      </c>
    </row>
    <row r="249" spans="1:20" s="225" customFormat="1" ht="35.1" customHeight="1" x14ac:dyDescent="0.2">
      <c r="A249" s="243">
        <f t="shared" si="84"/>
        <v>115</v>
      </c>
      <c r="B249" s="72" t="s">
        <v>19</v>
      </c>
      <c r="C249" s="73" t="s">
        <v>346</v>
      </c>
      <c r="D249" s="72" t="s">
        <v>79</v>
      </c>
      <c r="E249" s="72" t="s">
        <v>101</v>
      </c>
      <c r="F249" s="222">
        <v>32000</v>
      </c>
      <c r="G249" s="222">
        <f>F249*2.87%</f>
        <v>918.4</v>
      </c>
      <c r="H249" s="222">
        <f>+F249*3.04%</f>
        <v>972.8</v>
      </c>
      <c r="I249" s="222">
        <v>1919.78</v>
      </c>
      <c r="J249" s="221">
        <f t="shared" si="73"/>
        <v>3810.9799999999996</v>
      </c>
      <c r="K249" s="221">
        <f t="shared" si="89"/>
        <v>28189.02</v>
      </c>
      <c r="L249" s="221">
        <f t="shared" si="85"/>
        <v>0</v>
      </c>
      <c r="M249" s="221"/>
      <c r="N249" s="227">
        <v>225</v>
      </c>
      <c r="O249" s="221">
        <f t="shared" si="82"/>
        <v>4035.98</v>
      </c>
      <c r="P249" s="84">
        <f t="shared" si="83"/>
        <v>27964.02</v>
      </c>
      <c r="Q249" s="149"/>
      <c r="R249" s="149"/>
      <c r="S249" s="149"/>
      <c r="T249" s="149"/>
    </row>
    <row r="250" spans="1:20" s="225" customFormat="1" ht="35.1" customHeight="1" x14ac:dyDescent="0.2">
      <c r="A250" s="243">
        <f t="shared" si="84"/>
        <v>116</v>
      </c>
      <c r="B250" s="72" t="s">
        <v>165</v>
      </c>
      <c r="C250" s="73" t="s">
        <v>346</v>
      </c>
      <c r="D250" s="72" t="s">
        <v>79</v>
      </c>
      <c r="E250" s="72" t="s">
        <v>101</v>
      </c>
      <c r="F250" s="222">
        <v>32000</v>
      </c>
      <c r="G250" s="222">
        <f t="shared" ref="G250:G261" si="90">F250*2.87%</f>
        <v>918.4</v>
      </c>
      <c r="H250" s="222">
        <f t="shared" ref="H250:H261" si="91">+F250*3.04%</f>
        <v>972.8</v>
      </c>
      <c r="I250" s="222"/>
      <c r="J250" s="221">
        <f t="shared" si="73"/>
        <v>1891.1999999999998</v>
      </c>
      <c r="K250" s="221">
        <f t="shared" si="89"/>
        <v>30108.799999999999</v>
      </c>
      <c r="L250" s="221">
        <f t="shared" si="85"/>
        <v>0</v>
      </c>
      <c r="M250" s="221"/>
      <c r="N250" s="227">
        <v>3947.6500000000005</v>
      </c>
      <c r="O250" s="221">
        <f t="shared" si="82"/>
        <v>5838.85</v>
      </c>
      <c r="P250" s="84">
        <f t="shared" si="83"/>
        <v>26161.15</v>
      </c>
      <c r="Q250" s="149"/>
      <c r="R250" s="149"/>
      <c r="S250" s="149"/>
      <c r="T250" s="149"/>
    </row>
    <row r="251" spans="1:20" s="149" customFormat="1" ht="35.1" customHeight="1" x14ac:dyDescent="0.2">
      <c r="A251" s="243">
        <f t="shared" si="84"/>
        <v>117</v>
      </c>
      <c r="B251" s="72" t="s">
        <v>22</v>
      </c>
      <c r="C251" s="73" t="s">
        <v>346</v>
      </c>
      <c r="D251" s="72" t="s">
        <v>25</v>
      </c>
      <c r="E251" s="72" t="s">
        <v>196</v>
      </c>
      <c r="F251" s="222">
        <v>32000</v>
      </c>
      <c r="G251" s="222">
        <f t="shared" si="90"/>
        <v>918.4</v>
      </c>
      <c r="H251" s="222">
        <f t="shared" si="91"/>
        <v>972.8</v>
      </c>
      <c r="I251" s="222">
        <f>1919.78*2</f>
        <v>3839.56</v>
      </c>
      <c r="J251" s="221">
        <f t="shared" si="73"/>
        <v>5730.76</v>
      </c>
      <c r="K251" s="221">
        <f t="shared" si="89"/>
        <v>26269.239999999998</v>
      </c>
      <c r="L251" s="221">
        <f t="shared" si="85"/>
        <v>0</v>
      </c>
      <c r="M251" s="221"/>
      <c r="N251" s="227">
        <v>265</v>
      </c>
      <c r="O251" s="221">
        <f t="shared" si="82"/>
        <v>5995.7599999999993</v>
      </c>
      <c r="P251" s="84">
        <f t="shared" si="83"/>
        <v>26004.240000000002</v>
      </c>
    </row>
    <row r="252" spans="1:20" s="149" customFormat="1" ht="35.1" customHeight="1" x14ac:dyDescent="0.2">
      <c r="A252" s="243">
        <f t="shared" si="84"/>
        <v>118</v>
      </c>
      <c r="B252" s="72" t="s">
        <v>23</v>
      </c>
      <c r="C252" s="73" t="s">
        <v>345</v>
      </c>
      <c r="D252" s="72" t="s">
        <v>25</v>
      </c>
      <c r="E252" s="72" t="s">
        <v>196</v>
      </c>
      <c r="F252" s="222">
        <v>32000</v>
      </c>
      <c r="G252" s="222">
        <f t="shared" si="90"/>
        <v>918.4</v>
      </c>
      <c r="H252" s="222">
        <f t="shared" si="91"/>
        <v>972.8</v>
      </c>
      <c r="I252" s="222"/>
      <c r="J252" s="221">
        <f t="shared" si="73"/>
        <v>1891.1999999999998</v>
      </c>
      <c r="K252" s="221">
        <f t="shared" si="89"/>
        <v>30108.799999999999</v>
      </c>
      <c r="L252" s="221">
        <f t="shared" si="85"/>
        <v>0</v>
      </c>
      <c r="M252" s="221"/>
      <c r="N252" s="227">
        <v>2952.4</v>
      </c>
      <c r="O252" s="221">
        <f t="shared" si="82"/>
        <v>4843.5999999999995</v>
      </c>
      <c r="P252" s="84">
        <f t="shared" si="83"/>
        <v>27156.400000000001</v>
      </c>
    </row>
    <row r="253" spans="1:20" s="225" customFormat="1" ht="35.1" customHeight="1" x14ac:dyDescent="0.2">
      <c r="A253" s="243">
        <f t="shared" si="84"/>
        <v>119</v>
      </c>
      <c r="B253" s="72" t="s">
        <v>267</v>
      </c>
      <c r="C253" s="73" t="s">
        <v>346</v>
      </c>
      <c r="D253" s="72" t="s">
        <v>25</v>
      </c>
      <c r="E253" s="72" t="s">
        <v>101</v>
      </c>
      <c r="F253" s="222">
        <v>32000</v>
      </c>
      <c r="G253" s="222">
        <f t="shared" si="90"/>
        <v>918.4</v>
      </c>
      <c r="H253" s="222">
        <f t="shared" si="91"/>
        <v>972.8</v>
      </c>
      <c r="I253" s="222"/>
      <c r="J253" s="221">
        <f t="shared" si="73"/>
        <v>1891.1999999999998</v>
      </c>
      <c r="K253" s="221">
        <f t="shared" si="89"/>
        <v>30108.799999999999</v>
      </c>
      <c r="L253" s="221">
        <f t="shared" si="85"/>
        <v>0</v>
      </c>
      <c r="M253" s="221"/>
      <c r="N253" s="227">
        <v>11035.11</v>
      </c>
      <c r="O253" s="221">
        <f t="shared" si="82"/>
        <v>12926.31</v>
      </c>
      <c r="P253" s="84">
        <f t="shared" si="83"/>
        <v>19073.690000000002</v>
      </c>
      <c r="Q253" s="149"/>
      <c r="R253" s="149"/>
      <c r="S253" s="149"/>
      <c r="T253" s="149"/>
    </row>
    <row r="254" spans="1:20" s="259" customFormat="1" ht="35.1" customHeight="1" x14ac:dyDescent="0.2">
      <c r="A254" s="243">
        <f t="shared" si="84"/>
        <v>120</v>
      </c>
      <c r="B254" s="72" t="s">
        <v>24</v>
      </c>
      <c r="C254" s="73" t="s">
        <v>346</v>
      </c>
      <c r="D254" s="72" t="s">
        <v>25</v>
      </c>
      <c r="E254" s="72" t="s">
        <v>101</v>
      </c>
      <c r="F254" s="222">
        <v>32000</v>
      </c>
      <c r="G254" s="222">
        <f t="shared" si="90"/>
        <v>918.4</v>
      </c>
      <c r="H254" s="222">
        <f t="shared" si="91"/>
        <v>972.8</v>
      </c>
      <c r="I254" s="222">
        <v>0</v>
      </c>
      <c r="J254" s="221">
        <f t="shared" si="73"/>
        <v>1891.1999999999998</v>
      </c>
      <c r="K254" s="221">
        <f t="shared" si="89"/>
        <v>30108.799999999999</v>
      </c>
      <c r="L254" s="221">
        <f t="shared" si="85"/>
        <v>0</v>
      </c>
      <c r="M254" s="221"/>
      <c r="N254" s="227">
        <v>8529.2999999999993</v>
      </c>
      <c r="O254" s="221">
        <f t="shared" si="82"/>
        <v>10420.499999999998</v>
      </c>
      <c r="P254" s="84">
        <f t="shared" si="83"/>
        <v>21579.5</v>
      </c>
      <c r="Q254" s="149"/>
      <c r="R254" s="149"/>
      <c r="S254" s="149"/>
      <c r="T254" s="149"/>
    </row>
    <row r="255" spans="1:20" s="149" customFormat="1" ht="35.1" customHeight="1" x14ac:dyDescent="0.2">
      <c r="A255" s="243">
        <f>+A254+1</f>
        <v>121</v>
      </c>
      <c r="B255" s="72" t="s">
        <v>273</v>
      </c>
      <c r="C255" s="73" t="s">
        <v>346</v>
      </c>
      <c r="D255" s="72" t="s">
        <v>25</v>
      </c>
      <c r="E255" s="72" t="s">
        <v>196</v>
      </c>
      <c r="F255" s="222">
        <v>32000</v>
      </c>
      <c r="G255" s="222">
        <f>F255*2.87%</f>
        <v>918.4</v>
      </c>
      <c r="H255" s="222">
        <f>+F255*3.04%</f>
        <v>972.8</v>
      </c>
      <c r="I255" s="222"/>
      <c r="J255" s="221">
        <f>+G255+H255+I255</f>
        <v>1891.1999999999998</v>
      </c>
      <c r="K255" s="221">
        <f t="shared" si="89"/>
        <v>30108.799999999999</v>
      </c>
      <c r="L255" s="221">
        <f t="shared" si="85"/>
        <v>0</v>
      </c>
      <c r="M255" s="221"/>
      <c r="N255" s="227">
        <v>5147.8599999999997</v>
      </c>
      <c r="O255" s="221">
        <f t="shared" si="82"/>
        <v>7039.0599999999995</v>
      </c>
      <c r="P255" s="84">
        <f t="shared" si="83"/>
        <v>24960.940000000002</v>
      </c>
    </row>
    <row r="256" spans="1:20" s="149" customFormat="1" ht="35.1" customHeight="1" x14ac:dyDescent="0.2">
      <c r="A256" s="243">
        <f t="shared" si="84"/>
        <v>122</v>
      </c>
      <c r="B256" s="72" t="s">
        <v>123</v>
      </c>
      <c r="C256" s="73" t="s">
        <v>346</v>
      </c>
      <c r="D256" s="72" t="s">
        <v>25</v>
      </c>
      <c r="E256" s="72" t="s">
        <v>196</v>
      </c>
      <c r="F256" s="222">
        <v>32000</v>
      </c>
      <c r="G256" s="222">
        <f>F256*2.87%</f>
        <v>918.4</v>
      </c>
      <c r="H256" s="222">
        <f>+F256*3.04%</f>
        <v>972.8</v>
      </c>
      <c r="I256" s="222"/>
      <c r="J256" s="221">
        <f>+G256+H256+I256</f>
        <v>1891.1999999999998</v>
      </c>
      <c r="K256" s="221">
        <f t="shared" si="89"/>
        <v>30108.799999999999</v>
      </c>
      <c r="L256" s="221">
        <f t="shared" si="85"/>
        <v>0</v>
      </c>
      <c r="M256" s="221"/>
      <c r="N256" s="227">
        <v>12591.95</v>
      </c>
      <c r="O256" s="221">
        <f t="shared" si="82"/>
        <v>14483.15</v>
      </c>
      <c r="P256" s="84">
        <f t="shared" si="83"/>
        <v>17516.849999999999</v>
      </c>
    </row>
    <row r="257" spans="1:20" s="225" customFormat="1" ht="35.1" customHeight="1" x14ac:dyDescent="0.2">
      <c r="A257" s="243">
        <f>+A256+1</f>
        <v>123</v>
      </c>
      <c r="B257" s="72" t="s">
        <v>21</v>
      </c>
      <c r="C257" s="73" t="s">
        <v>345</v>
      </c>
      <c r="D257" s="72" t="s">
        <v>25</v>
      </c>
      <c r="E257" s="72" t="s">
        <v>101</v>
      </c>
      <c r="F257" s="222">
        <v>28000</v>
      </c>
      <c r="G257" s="222">
        <f t="shared" si="90"/>
        <v>803.6</v>
      </c>
      <c r="H257" s="222">
        <f t="shared" si="91"/>
        <v>851.2</v>
      </c>
      <c r="I257" s="222">
        <v>0</v>
      </c>
      <c r="J257" s="221">
        <f t="shared" si="73"/>
        <v>1654.8000000000002</v>
      </c>
      <c r="K257" s="221">
        <f t="shared" si="89"/>
        <v>26345.200000000001</v>
      </c>
      <c r="L257" s="221">
        <f t="shared" si="85"/>
        <v>0</v>
      </c>
      <c r="M257" s="221"/>
      <c r="N257" s="227">
        <v>10736.16</v>
      </c>
      <c r="O257" s="221">
        <f t="shared" si="82"/>
        <v>12390.960000000001</v>
      </c>
      <c r="P257" s="84">
        <f t="shared" si="83"/>
        <v>15609.039999999999</v>
      </c>
      <c r="Q257" s="149"/>
      <c r="R257" s="149"/>
      <c r="S257" s="149"/>
      <c r="T257" s="149"/>
    </row>
    <row r="258" spans="1:20" s="225" customFormat="1" ht="35.1" customHeight="1" x14ac:dyDescent="0.2">
      <c r="A258" s="243">
        <f t="shared" si="84"/>
        <v>124</v>
      </c>
      <c r="B258" s="72" t="s">
        <v>268</v>
      </c>
      <c r="C258" s="73" t="s">
        <v>346</v>
      </c>
      <c r="D258" s="72" t="s">
        <v>25</v>
      </c>
      <c r="E258" s="72" t="s">
        <v>101</v>
      </c>
      <c r="F258" s="222">
        <v>28000</v>
      </c>
      <c r="G258" s="222">
        <f t="shared" si="90"/>
        <v>803.6</v>
      </c>
      <c r="H258" s="222">
        <f t="shared" si="91"/>
        <v>851.2</v>
      </c>
      <c r="I258" s="222"/>
      <c r="J258" s="221">
        <f t="shared" si="73"/>
        <v>1654.8000000000002</v>
      </c>
      <c r="K258" s="221">
        <f t="shared" si="89"/>
        <v>26345.200000000001</v>
      </c>
      <c r="L258" s="221">
        <f t="shared" si="85"/>
        <v>0</v>
      </c>
      <c r="M258" s="221"/>
      <c r="N258" s="227">
        <v>225</v>
      </c>
      <c r="O258" s="221">
        <f t="shared" si="82"/>
        <v>1879.8000000000002</v>
      </c>
      <c r="P258" s="84">
        <f t="shared" si="83"/>
        <v>26120.2</v>
      </c>
      <c r="Q258" s="149"/>
      <c r="R258" s="149"/>
      <c r="S258" s="149"/>
      <c r="T258" s="149"/>
    </row>
    <row r="259" spans="1:20" s="225" customFormat="1" ht="35.1" customHeight="1" x14ac:dyDescent="0.2">
      <c r="A259" s="243">
        <f>+A258+1</f>
        <v>125</v>
      </c>
      <c r="B259" s="72" t="s">
        <v>270</v>
      </c>
      <c r="C259" s="73" t="s">
        <v>345</v>
      </c>
      <c r="D259" s="72" t="s">
        <v>25</v>
      </c>
      <c r="E259" s="72" t="s">
        <v>196</v>
      </c>
      <c r="F259" s="222">
        <v>28000</v>
      </c>
      <c r="G259" s="222">
        <f t="shared" si="90"/>
        <v>803.6</v>
      </c>
      <c r="H259" s="222">
        <f t="shared" si="91"/>
        <v>851.2</v>
      </c>
      <c r="I259" s="222"/>
      <c r="J259" s="221">
        <f t="shared" si="73"/>
        <v>1654.8000000000002</v>
      </c>
      <c r="K259" s="221">
        <f t="shared" si="89"/>
        <v>26345.200000000001</v>
      </c>
      <c r="L259" s="221">
        <f t="shared" si="85"/>
        <v>0</v>
      </c>
      <c r="M259" s="221"/>
      <c r="N259" s="227">
        <v>225</v>
      </c>
      <c r="O259" s="221">
        <f t="shared" si="82"/>
        <v>1879.8000000000002</v>
      </c>
      <c r="P259" s="84">
        <f t="shared" si="83"/>
        <v>26120.2</v>
      </c>
      <c r="Q259" s="149"/>
      <c r="R259" s="149"/>
      <c r="S259" s="149"/>
      <c r="T259" s="149"/>
    </row>
    <row r="260" spans="1:20" s="225" customFormat="1" ht="35.1" customHeight="1" x14ac:dyDescent="0.2">
      <c r="A260" s="243">
        <f t="shared" si="84"/>
        <v>126</v>
      </c>
      <c r="B260" s="72" t="s">
        <v>272</v>
      </c>
      <c r="C260" s="73" t="s">
        <v>346</v>
      </c>
      <c r="D260" s="72" t="s">
        <v>25</v>
      </c>
      <c r="E260" s="72" t="s">
        <v>196</v>
      </c>
      <c r="F260" s="222">
        <v>28000</v>
      </c>
      <c r="G260" s="222">
        <f t="shared" si="90"/>
        <v>803.6</v>
      </c>
      <c r="H260" s="222">
        <f t="shared" si="91"/>
        <v>851.2</v>
      </c>
      <c r="I260" s="222"/>
      <c r="J260" s="221">
        <f t="shared" si="73"/>
        <v>1654.8000000000002</v>
      </c>
      <c r="K260" s="221">
        <f t="shared" si="89"/>
        <v>26345.200000000001</v>
      </c>
      <c r="L260" s="221">
        <f t="shared" si="85"/>
        <v>0</v>
      </c>
      <c r="M260" s="221"/>
      <c r="N260" s="227">
        <v>1330.29</v>
      </c>
      <c r="O260" s="221">
        <f t="shared" si="82"/>
        <v>2985.0899999999997</v>
      </c>
      <c r="P260" s="84">
        <f t="shared" si="83"/>
        <v>25014.91</v>
      </c>
      <c r="Q260" s="149"/>
      <c r="R260" s="149"/>
      <c r="S260" s="149"/>
      <c r="T260" s="149"/>
    </row>
    <row r="261" spans="1:20" s="149" customFormat="1" ht="35.1" customHeight="1" x14ac:dyDescent="0.2">
      <c r="A261" s="243">
        <f>+A260+1</f>
        <v>127</v>
      </c>
      <c r="B261" s="72" t="s">
        <v>384</v>
      </c>
      <c r="C261" s="73" t="s">
        <v>345</v>
      </c>
      <c r="D261" s="72" t="s">
        <v>25</v>
      </c>
      <c r="E261" s="72" t="s">
        <v>196</v>
      </c>
      <c r="F261" s="222">
        <v>28000</v>
      </c>
      <c r="G261" s="222">
        <f t="shared" si="90"/>
        <v>803.6</v>
      </c>
      <c r="H261" s="222">
        <f t="shared" si="91"/>
        <v>851.2</v>
      </c>
      <c r="I261" s="222">
        <v>1919.78</v>
      </c>
      <c r="J261" s="221">
        <f t="shared" si="73"/>
        <v>3574.58</v>
      </c>
      <c r="K261" s="221">
        <f t="shared" si="89"/>
        <v>24425.42</v>
      </c>
      <c r="L261" s="221">
        <f t="shared" si="85"/>
        <v>0</v>
      </c>
      <c r="M261" s="221"/>
      <c r="N261" s="227">
        <v>25</v>
      </c>
      <c r="O261" s="221">
        <f t="shared" si="82"/>
        <v>3599.58</v>
      </c>
      <c r="P261" s="84">
        <f t="shared" si="83"/>
        <v>24400.42</v>
      </c>
    </row>
    <row r="262" spans="1:20" s="149" customFormat="1" ht="35.1" customHeight="1" x14ac:dyDescent="0.2">
      <c r="A262" s="243">
        <f>+A261+1</f>
        <v>128</v>
      </c>
      <c r="B262" s="72" t="s">
        <v>456</v>
      </c>
      <c r="C262" s="73" t="s">
        <v>345</v>
      </c>
      <c r="D262" s="72" t="s">
        <v>25</v>
      </c>
      <c r="E262" s="72" t="s">
        <v>196</v>
      </c>
      <c r="F262" s="222">
        <v>24000</v>
      </c>
      <c r="G262" s="222">
        <f t="shared" ref="G262" si="92">F262*2.87%</f>
        <v>688.8</v>
      </c>
      <c r="H262" s="222">
        <f t="shared" ref="H262" si="93">+F262*3.04%</f>
        <v>729.6</v>
      </c>
      <c r="I262" s="222">
        <v>1919.78</v>
      </c>
      <c r="J262" s="221">
        <f t="shared" si="73"/>
        <v>3338.1800000000003</v>
      </c>
      <c r="K262" s="221">
        <f t="shared" si="89"/>
        <v>20661.82</v>
      </c>
      <c r="L262" s="221">
        <f t="shared" si="85"/>
        <v>0</v>
      </c>
      <c r="M262" s="221"/>
      <c r="N262" s="227">
        <v>10400.120000000001</v>
      </c>
      <c r="O262" s="221">
        <f t="shared" si="82"/>
        <v>13738.300000000001</v>
      </c>
      <c r="P262" s="84">
        <f t="shared" si="83"/>
        <v>10261.699999999999</v>
      </c>
    </row>
    <row r="263" spans="1:20" s="149" customFormat="1" ht="35.1" customHeight="1" x14ac:dyDescent="0.2">
      <c r="A263" s="243">
        <f t="shared" si="84"/>
        <v>129</v>
      </c>
      <c r="B263" s="72" t="s">
        <v>457</v>
      </c>
      <c r="C263" s="73" t="s">
        <v>345</v>
      </c>
      <c r="D263" s="72" t="s">
        <v>25</v>
      </c>
      <c r="E263" s="72" t="s">
        <v>196</v>
      </c>
      <c r="F263" s="222">
        <v>24000</v>
      </c>
      <c r="G263" s="222">
        <f t="shared" ref="G263:G265" si="94">F263*2.87%</f>
        <v>688.8</v>
      </c>
      <c r="H263" s="222">
        <f t="shared" ref="H263:H265" si="95">+F263*3.04%</f>
        <v>729.6</v>
      </c>
      <c r="I263" s="222">
        <v>1919.78</v>
      </c>
      <c r="J263" s="221">
        <f t="shared" si="73"/>
        <v>3338.1800000000003</v>
      </c>
      <c r="K263" s="221">
        <f t="shared" si="89"/>
        <v>20661.82</v>
      </c>
      <c r="L263" s="221">
        <f t="shared" si="85"/>
        <v>0</v>
      </c>
      <c r="M263" s="221"/>
      <c r="N263" s="227">
        <v>2952.56</v>
      </c>
      <c r="O263" s="221">
        <f t="shared" si="82"/>
        <v>6290.7400000000007</v>
      </c>
      <c r="P263" s="84">
        <f t="shared" si="83"/>
        <v>17709.259999999998</v>
      </c>
    </row>
    <row r="264" spans="1:20" s="225" customFormat="1" ht="35.1" customHeight="1" x14ac:dyDescent="0.2">
      <c r="A264" s="243">
        <f t="shared" si="84"/>
        <v>130</v>
      </c>
      <c r="B264" s="72" t="s">
        <v>458</v>
      </c>
      <c r="C264" s="73" t="s">
        <v>346</v>
      </c>
      <c r="D264" s="72" t="s">
        <v>79</v>
      </c>
      <c r="E264" s="72" t="s">
        <v>196</v>
      </c>
      <c r="F264" s="222">
        <v>24000</v>
      </c>
      <c r="G264" s="222">
        <f t="shared" si="94"/>
        <v>688.8</v>
      </c>
      <c r="H264" s="222">
        <f t="shared" si="95"/>
        <v>729.6</v>
      </c>
      <c r="I264" s="222"/>
      <c r="J264" s="221">
        <f t="shared" si="73"/>
        <v>1418.4</v>
      </c>
      <c r="K264" s="221">
        <f t="shared" si="89"/>
        <v>22581.599999999999</v>
      </c>
      <c r="L264" s="221">
        <f t="shared" si="85"/>
        <v>0</v>
      </c>
      <c r="M264" s="221"/>
      <c r="N264" s="227">
        <v>4053.35</v>
      </c>
      <c r="O264" s="221">
        <f t="shared" si="82"/>
        <v>5471.75</v>
      </c>
      <c r="P264" s="84">
        <f t="shared" si="83"/>
        <v>18528.25</v>
      </c>
      <c r="Q264" s="149"/>
      <c r="R264" s="149"/>
      <c r="S264" s="149"/>
      <c r="T264" s="149"/>
    </row>
    <row r="265" spans="1:20" s="225" customFormat="1" ht="35.1" customHeight="1" x14ac:dyDescent="0.2">
      <c r="A265" s="243">
        <f t="shared" si="84"/>
        <v>131</v>
      </c>
      <c r="B265" s="72" t="s">
        <v>459</v>
      </c>
      <c r="C265" s="73" t="s">
        <v>346</v>
      </c>
      <c r="D265" s="72" t="s">
        <v>25</v>
      </c>
      <c r="E265" s="72" t="s">
        <v>196</v>
      </c>
      <c r="F265" s="222">
        <v>24000</v>
      </c>
      <c r="G265" s="222">
        <f t="shared" si="94"/>
        <v>688.8</v>
      </c>
      <c r="H265" s="222">
        <f t="shared" si="95"/>
        <v>729.6</v>
      </c>
      <c r="I265" s="222"/>
      <c r="J265" s="221">
        <f t="shared" si="73"/>
        <v>1418.4</v>
      </c>
      <c r="K265" s="221">
        <f t="shared" si="89"/>
        <v>22581.599999999999</v>
      </c>
      <c r="L265" s="221">
        <f t="shared" si="85"/>
        <v>0</v>
      </c>
      <c r="M265" s="221"/>
      <c r="N265" s="227">
        <v>2600.89</v>
      </c>
      <c r="O265" s="221">
        <f t="shared" si="82"/>
        <v>4019.29</v>
      </c>
      <c r="P265" s="84">
        <f t="shared" si="83"/>
        <v>19980.71</v>
      </c>
      <c r="Q265" s="149"/>
      <c r="R265" s="149"/>
      <c r="S265" s="149"/>
      <c r="T265" s="149"/>
    </row>
    <row r="266" spans="1:20" s="225" customFormat="1" ht="35.1" customHeight="1" x14ac:dyDescent="0.2">
      <c r="A266" s="243">
        <f t="shared" si="84"/>
        <v>132</v>
      </c>
      <c r="B266" s="72" t="s">
        <v>534</v>
      </c>
      <c r="C266" s="73" t="s">
        <v>346</v>
      </c>
      <c r="D266" s="72" t="s">
        <v>25</v>
      </c>
      <c r="E266" s="72" t="s">
        <v>196</v>
      </c>
      <c r="F266" s="222">
        <v>24000</v>
      </c>
      <c r="G266" s="222">
        <f t="shared" ref="G266:G268" si="96">F266*2.87%</f>
        <v>688.8</v>
      </c>
      <c r="H266" s="222">
        <f t="shared" ref="H266:H268" si="97">+F266*3.04%</f>
        <v>729.6</v>
      </c>
      <c r="I266" s="222"/>
      <c r="J266" s="221">
        <f t="shared" ref="J266:J268" si="98">+G266+H266+I266</f>
        <v>1418.4</v>
      </c>
      <c r="K266" s="221">
        <f t="shared" si="89"/>
        <v>22581.599999999999</v>
      </c>
      <c r="L266" s="221">
        <f t="shared" si="85"/>
        <v>0</v>
      </c>
      <c r="M266" s="221"/>
      <c r="N266" s="227">
        <v>1290.29</v>
      </c>
      <c r="O266" s="221">
        <f t="shared" si="82"/>
        <v>2708.6899999999996</v>
      </c>
      <c r="P266" s="84">
        <f t="shared" si="83"/>
        <v>21291.31</v>
      </c>
      <c r="Q266" s="149"/>
      <c r="R266" s="149"/>
      <c r="S266" s="149"/>
      <c r="T266" s="149"/>
    </row>
    <row r="267" spans="1:20" s="225" customFormat="1" ht="35.1" customHeight="1" x14ac:dyDescent="0.2">
      <c r="A267" s="219">
        <f>+A266+1</f>
        <v>133</v>
      </c>
      <c r="B267" s="72" t="s">
        <v>568</v>
      </c>
      <c r="C267" s="73" t="s">
        <v>346</v>
      </c>
      <c r="D267" s="72" t="s">
        <v>25</v>
      </c>
      <c r="E267" s="72" t="s">
        <v>196</v>
      </c>
      <c r="F267" s="222">
        <v>24000</v>
      </c>
      <c r="G267" s="222">
        <f t="shared" si="96"/>
        <v>688.8</v>
      </c>
      <c r="H267" s="222">
        <f t="shared" si="97"/>
        <v>729.6</v>
      </c>
      <c r="I267" s="222"/>
      <c r="J267" s="221">
        <f t="shared" si="98"/>
        <v>1418.4</v>
      </c>
      <c r="K267" s="221">
        <f t="shared" si="89"/>
        <v>22581.599999999999</v>
      </c>
      <c r="L267" s="221">
        <f t="shared" si="85"/>
        <v>0</v>
      </c>
      <c r="M267" s="221"/>
      <c r="N267" s="227">
        <v>2492.63</v>
      </c>
      <c r="O267" s="221">
        <f t="shared" si="82"/>
        <v>3911.0299999999997</v>
      </c>
      <c r="P267" s="84">
        <f t="shared" si="83"/>
        <v>20088.97</v>
      </c>
      <c r="Q267" s="149"/>
      <c r="R267" s="149"/>
      <c r="S267" s="149"/>
      <c r="T267" s="149"/>
    </row>
    <row r="268" spans="1:20" s="150" customFormat="1" ht="35.1" customHeight="1" x14ac:dyDescent="0.2">
      <c r="A268" s="219">
        <f t="shared" si="84"/>
        <v>134</v>
      </c>
      <c r="B268" s="72" t="s">
        <v>569</v>
      </c>
      <c r="C268" s="73" t="s">
        <v>345</v>
      </c>
      <c r="D268" s="72" t="s">
        <v>25</v>
      </c>
      <c r="E268" s="72" t="s">
        <v>196</v>
      </c>
      <c r="F268" s="222">
        <v>24000</v>
      </c>
      <c r="G268" s="222">
        <f t="shared" si="96"/>
        <v>688.8</v>
      </c>
      <c r="H268" s="222">
        <f t="shared" si="97"/>
        <v>729.6</v>
      </c>
      <c r="I268" s="222"/>
      <c r="J268" s="221">
        <f t="shared" si="98"/>
        <v>1418.4</v>
      </c>
      <c r="K268" s="221">
        <f t="shared" si="89"/>
        <v>22581.599999999999</v>
      </c>
      <c r="L268" s="221">
        <f t="shared" si="85"/>
        <v>0</v>
      </c>
      <c r="M268" s="221"/>
      <c r="N268" s="227">
        <v>2290.29</v>
      </c>
      <c r="O268" s="221">
        <f t="shared" si="82"/>
        <v>3708.6899999999996</v>
      </c>
      <c r="P268" s="84">
        <f t="shared" si="83"/>
        <v>20291.310000000001</v>
      </c>
      <c r="Q268" s="149"/>
      <c r="R268" s="149"/>
      <c r="S268" s="149"/>
      <c r="T268" s="149"/>
    </row>
    <row r="269" spans="1:20" s="150" customFormat="1" ht="35.1" customHeight="1" x14ac:dyDescent="0.2">
      <c r="A269" s="219">
        <f t="shared" si="84"/>
        <v>135</v>
      </c>
      <c r="B269" s="72" t="s">
        <v>271</v>
      </c>
      <c r="C269" s="73" t="s">
        <v>346</v>
      </c>
      <c r="D269" s="72" t="s">
        <v>25</v>
      </c>
      <c r="E269" s="72" t="s">
        <v>196</v>
      </c>
      <c r="F269" s="222">
        <v>19200</v>
      </c>
      <c r="G269" s="222">
        <f t="shared" ref="G269:G276" si="99">F269*2.87%</f>
        <v>551.04</v>
      </c>
      <c r="H269" s="222">
        <f t="shared" ref="H269:H276" si="100">+F269*3.04%</f>
        <v>583.67999999999995</v>
      </c>
      <c r="I269" s="222"/>
      <c r="J269" s="221">
        <f t="shared" ref="J269:J276" si="101">+G269+H269+I269</f>
        <v>1134.7199999999998</v>
      </c>
      <c r="K269" s="221">
        <f t="shared" ref="K269:K276" si="102">+F269-J269</f>
        <v>18065.28</v>
      </c>
      <c r="L269" s="221">
        <f t="shared" si="85"/>
        <v>0</v>
      </c>
      <c r="M269" s="221"/>
      <c r="N269" s="227">
        <v>1370.29</v>
      </c>
      <c r="O269" s="221">
        <f t="shared" si="82"/>
        <v>2505.0099999999998</v>
      </c>
      <c r="P269" s="84">
        <f t="shared" si="83"/>
        <v>16694.990000000002</v>
      </c>
      <c r="Q269" s="149"/>
      <c r="R269" s="149"/>
      <c r="S269" s="149"/>
      <c r="T269" s="149"/>
    </row>
    <row r="270" spans="1:20" s="149" customFormat="1" ht="35.1" customHeight="1" x14ac:dyDescent="0.2">
      <c r="A270" s="309">
        <f t="shared" ref="A270:A275" si="103">+A269+1</f>
        <v>136</v>
      </c>
      <c r="B270" s="72" t="s">
        <v>587</v>
      </c>
      <c r="C270" s="73" t="s">
        <v>346</v>
      </c>
      <c r="D270" s="72" t="s">
        <v>25</v>
      </c>
      <c r="E270" s="72" t="s">
        <v>196</v>
      </c>
      <c r="F270" s="222">
        <v>24000</v>
      </c>
      <c r="G270" s="222">
        <f t="shared" si="99"/>
        <v>688.8</v>
      </c>
      <c r="H270" s="222">
        <f t="shared" si="100"/>
        <v>729.6</v>
      </c>
      <c r="I270" s="222"/>
      <c r="J270" s="221">
        <f t="shared" si="101"/>
        <v>1418.4</v>
      </c>
      <c r="K270" s="221">
        <f t="shared" si="102"/>
        <v>22581.599999999999</v>
      </c>
      <c r="L270" s="221">
        <f t="shared" si="85"/>
        <v>0</v>
      </c>
      <c r="M270" s="221"/>
      <c r="N270" s="227">
        <v>5435.62</v>
      </c>
      <c r="O270" s="221">
        <f t="shared" si="82"/>
        <v>6854.02</v>
      </c>
      <c r="P270" s="84">
        <f t="shared" si="83"/>
        <v>17145.98</v>
      </c>
    </row>
    <row r="271" spans="1:20" s="224" customFormat="1" ht="35.1" customHeight="1" x14ac:dyDescent="0.2">
      <c r="A271" s="309">
        <f t="shared" si="103"/>
        <v>137</v>
      </c>
      <c r="B271" s="72" t="s">
        <v>588</v>
      </c>
      <c r="C271" s="73" t="s">
        <v>346</v>
      </c>
      <c r="D271" s="72" t="s">
        <v>25</v>
      </c>
      <c r="E271" s="72" t="s">
        <v>196</v>
      </c>
      <c r="F271" s="222">
        <v>24000</v>
      </c>
      <c r="G271" s="222">
        <f t="shared" si="99"/>
        <v>688.8</v>
      </c>
      <c r="H271" s="222">
        <f t="shared" si="100"/>
        <v>729.6</v>
      </c>
      <c r="I271" s="222"/>
      <c r="J271" s="221">
        <f t="shared" si="101"/>
        <v>1418.4</v>
      </c>
      <c r="K271" s="221">
        <f t="shared" si="102"/>
        <v>22581.599999999999</v>
      </c>
      <c r="L271" s="221">
        <f t="shared" si="85"/>
        <v>0</v>
      </c>
      <c r="M271" s="221"/>
      <c r="N271" s="227">
        <v>2290.29</v>
      </c>
      <c r="O271" s="221">
        <f t="shared" si="82"/>
        <v>3708.6899999999996</v>
      </c>
      <c r="P271" s="84">
        <f t="shared" si="83"/>
        <v>20291.310000000001</v>
      </c>
      <c r="Q271" s="149"/>
      <c r="R271" s="149"/>
      <c r="S271" s="149"/>
      <c r="T271" s="149"/>
    </row>
    <row r="272" spans="1:20" s="224" customFormat="1" ht="35.1" customHeight="1" x14ac:dyDescent="0.2">
      <c r="A272" s="309">
        <f t="shared" si="103"/>
        <v>138</v>
      </c>
      <c r="B272" s="72" t="s">
        <v>589</v>
      </c>
      <c r="C272" s="308" t="s">
        <v>345</v>
      </c>
      <c r="D272" s="72" t="s">
        <v>25</v>
      </c>
      <c r="E272" s="72" t="s">
        <v>196</v>
      </c>
      <c r="F272" s="222">
        <v>24000</v>
      </c>
      <c r="G272" s="222">
        <f t="shared" si="99"/>
        <v>688.8</v>
      </c>
      <c r="H272" s="222">
        <f t="shared" si="100"/>
        <v>729.6</v>
      </c>
      <c r="I272" s="222"/>
      <c r="J272" s="221">
        <f t="shared" si="101"/>
        <v>1418.4</v>
      </c>
      <c r="K272" s="221">
        <f t="shared" si="102"/>
        <v>22581.599999999999</v>
      </c>
      <c r="L272" s="221">
        <f t="shared" si="85"/>
        <v>0</v>
      </c>
      <c r="M272" s="221"/>
      <c r="N272" s="227">
        <v>1090.29</v>
      </c>
      <c r="O272" s="221">
        <f t="shared" si="82"/>
        <v>2508.6899999999996</v>
      </c>
      <c r="P272" s="84">
        <f t="shared" si="83"/>
        <v>21491.31</v>
      </c>
      <c r="Q272" s="149"/>
      <c r="R272" s="149"/>
      <c r="S272" s="149"/>
      <c r="T272" s="149"/>
    </row>
    <row r="273" spans="1:20" s="224" customFormat="1" ht="35.1" customHeight="1" x14ac:dyDescent="0.2">
      <c r="A273" s="309">
        <f t="shared" si="103"/>
        <v>139</v>
      </c>
      <c r="B273" s="72" t="s">
        <v>600</v>
      </c>
      <c r="C273" s="308" t="s">
        <v>345</v>
      </c>
      <c r="D273" s="72" t="s">
        <v>25</v>
      </c>
      <c r="E273" s="72" t="s">
        <v>196</v>
      </c>
      <c r="F273" s="222">
        <v>24000</v>
      </c>
      <c r="G273" s="222">
        <f t="shared" si="99"/>
        <v>688.8</v>
      </c>
      <c r="H273" s="222">
        <f t="shared" si="100"/>
        <v>729.6</v>
      </c>
      <c r="I273" s="222"/>
      <c r="J273" s="221">
        <f t="shared" si="101"/>
        <v>1418.4</v>
      </c>
      <c r="K273" s="221">
        <f t="shared" si="102"/>
        <v>22581.599999999999</v>
      </c>
      <c r="L273" s="221">
        <f t="shared" si="85"/>
        <v>0</v>
      </c>
      <c r="M273" s="221"/>
      <c r="N273" s="227">
        <v>225</v>
      </c>
      <c r="O273" s="221">
        <f t="shared" si="82"/>
        <v>1643.4</v>
      </c>
      <c r="P273" s="84">
        <f t="shared" si="83"/>
        <v>22356.6</v>
      </c>
      <c r="Q273" s="149"/>
      <c r="R273" s="149"/>
      <c r="S273" s="149"/>
      <c r="T273" s="149"/>
    </row>
    <row r="274" spans="1:20" s="224" customFormat="1" ht="35.1" customHeight="1" x14ac:dyDescent="0.2">
      <c r="A274" s="309">
        <f t="shared" si="103"/>
        <v>140</v>
      </c>
      <c r="B274" s="72" t="s">
        <v>601</v>
      </c>
      <c r="C274" s="308" t="s">
        <v>346</v>
      </c>
      <c r="D274" s="72" t="s">
        <v>25</v>
      </c>
      <c r="E274" s="72" t="s">
        <v>196</v>
      </c>
      <c r="F274" s="222">
        <v>24000</v>
      </c>
      <c r="G274" s="222">
        <f t="shared" si="99"/>
        <v>688.8</v>
      </c>
      <c r="H274" s="222">
        <f t="shared" si="100"/>
        <v>729.6</v>
      </c>
      <c r="I274" s="222"/>
      <c r="J274" s="221">
        <f t="shared" si="101"/>
        <v>1418.4</v>
      </c>
      <c r="K274" s="221">
        <f t="shared" si="102"/>
        <v>22581.599999999999</v>
      </c>
      <c r="L274" s="221">
        <f t="shared" si="85"/>
        <v>0</v>
      </c>
      <c r="M274" s="221"/>
      <c r="N274" s="227">
        <v>1290.29</v>
      </c>
      <c r="O274" s="221">
        <f t="shared" si="82"/>
        <v>2708.6899999999996</v>
      </c>
      <c r="P274" s="84">
        <f t="shared" si="83"/>
        <v>21291.31</v>
      </c>
      <c r="Q274" s="149"/>
      <c r="R274" s="149"/>
      <c r="S274" s="149"/>
      <c r="T274" s="149"/>
    </row>
    <row r="275" spans="1:20" s="224" customFormat="1" ht="35.1" customHeight="1" x14ac:dyDescent="0.2">
      <c r="A275" s="309">
        <f t="shared" si="103"/>
        <v>141</v>
      </c>
      <c r="B275" s="72" t="s">
        <v>625</v>
      </c>
      <c r="C275" s="308" t="s">
        <v>346</v>
      </c>
      <c r="D275" s="72" t="s">
        <v>25</v>
      </c>
      <c r="E275" s="72" t="s">
        <v>196</v>
      </c>
      <c r="F275" s="222">
        <v>24000</v>
      </c>
      <c r="G275" s="222">
        <f t="shared" si="99"/>
        <v>688.8</v>
      </c>
      <c r="H275" s="222">
        <f t="shared" si="100"/>
        <v>729.6</v>
      </c>
      <c r="I275" s="222"/>
      <c r="J275" s="221">
        <f t="shared" si="101"/>
        <v>1418.4</v>
      </c>
      <c r="K275" s="221">
        <f t="shared" si="102"/>
        <v>22581.599999999999</v>
      </c>
      <c r="L275" s="221">
        <f t="shared" si="85"/>
        <v>0</v>
      </c>
      <c r="M275" s="221"/>
      <c r="N275" s="227">
        <v>790.29</v>
      </c>
      <c r="O275" s="221">
        <f t="shared" si="82"/>
        <v>2208.6899999999996</v>
      </c>
      <c r="P275" s="84">
        <f t="shared" si="83"/>
        <v>21791.31</v>
      </c>
      <c r="Q275" s="149"/>
      <c r="R275" s="149"/>
      <c r="S275" s="149"/>
      <c r="T275" s="149"/>
    </row>
    <row r="276" spans="1:20" s="224" customFormat="1" ht="35.1" customHeight="1" x14ac:dyDescent="0.2">
      <c r="A276" s="309">
        <f>+A275+1</f>
        <v>142</v>
      </c>
      <c r="B276" s="72" t="s">
        <v>636</v>
      </c>
      <c r="C276" s="308" t="s">
        <v>346</v>
      </c>
      <c r="D276" s="72" t="s">
        <v>25</v>
      </c>
      <c r="E276" s="72" t="s">
        <v>196</v>
      </c>
      <c r="F276" s="222">
        <v>24000</v>
      </c>
      <c r="G276" s="222">
        <f t="shared" si="99"/>
        <v>688.8</v>
      </c>
      <c r="H276" s="222">
        <f t="shared" si="100"/>
        <v>729.6</v>
      </c>
      <c r="I276" s="222"/>
      <c r="J276" s="221">
        <f t="shared" si="101"/>
        <v>1418.4</v>
      </c>
      <c r="K276" s="221">
        <f t="shared" si="102"/>
        <v>22581.599999999999</v>
      </c>
      <c r="L276" s="221">
        <f t="shared" si="85"/>
        <v>0</v>
      </c>
      <c r="M276" s="221"/>
      <c r="N276" s="227">
        <v>790.29</v>
      </c>
      <c r="O276" s="221">
        <f t="shared" si="82"/>
        <v>2208.6899999999996</v>
      </c>
      <c r="P276" s="84">
        <f t="shared" si="83"/>
        <v>21791.31</v>
      </c>
      <c r="Q276" s="149"/>
      <c r="R276" s="149"/>
      <c r="S276" s="149"/>
      <c r="T276" s="149"/>
    </row>
    <row r="277" spans="1:20" s="249" customFormat="1" ht="35.1" customHeight="1" x14ac:dyDescent="0.2">
      <c r="A277" s="229" t="s">
        <v>103</v>
      </c>
      <c r="B277" s="230"/>
      <c r="C277" s="230"/>
      <c r="D277" s="230"/>
      <c r="E277" s="246"/>
      <c r="F277" s="231">
        <f>SUM(F244:F276)</f>
        <v>973200</v>
      </c>
      <c r="G277" s="231">
        <f t="shared" ref="G277:N277" si="104">SUM(G244:G276)</f>
        <v>27930.839999999986</v>
      </c>
      <c r="H277" s="231">
        <f t="shared" si="104"/>
        <v>29585.279999999977</v>
      </c>
      <c r="I277" s="231">
        <f t="shared" si="104"/>
        <v>11518.68</v>
      </c>
      <c r="J277" s="231">
        <f t="shared" si="104"/>
        <v>69034.800000000017</v>
      </c>
      <c r="K277" s="231">
        <f t="shared" si="104"/>
        <v>904165.1999999996</v>
      </c>
      <c r="L277" s="231">
        <f t="shared" si="104"/>
        <v>6267.6746249999987</v>
      </c>
      <c r="M277" s="231">
        <f t="shared" si="104"/>
        <v>0</v>
      </c>
      <c r="N277" s="231">
        <f t="shared" si="104"/>
        <v>113554.91999999994</v>
      </c>
      <c r="O277" s="231">
        <f>SUM(O244:O276)</f>
        <v>188857.39462500002</v>
      </c>
      <c r="P277" s="231">
        <f>SUM(P244:P276)</f>
        <v>784342.60537500016</v>
      </c>
      <c r="Q277" s="329"/>
      <c r="R277" s="149"/>
    </row>
    <row r="278" spans="1:20" s="225" customFormat="1" ht="35.1" customHeight="1" thickBot="1" x14ac:dyDescent="0.25">
      <c r="A278" s="147"/>
      <c r="B278" s="147"/>
      <c r="C278" s="147"/>
      <c r="D278" s="147"/>
      <c r="E278" s="147"/>
      <c r="F278" s="232"/>
      <c r="G278" s="232"/>
      <c r="H278" s="232"/>
      <c r="I278" s="232"/>
      <c r="J278" s="232"/>
      <c r="K278" s="232"/>
      <c r="L278" s="232"/>
      <c r="M278" s="232"/>
      <c r="N278" s="232"/>
      <c r="O278" s="232"/>
      <c r="P278" s="232"/>
    </row>
    <row r="279" spans="1:20" s="225" customFormat="1" ht="35.1" customHeight="1" thickBot="1" x14ac:dyDescent="0.25">
      <c r="A279" s="235" t="s">
        <v>274</v>
      </c>
      <c r="B279" s="236"/>
      <c r="C279" s="236"/>
      <c r="D279" s="236"/>
      <c r="E279" s="236"/>
      <c r="F279" s="236"/>
      <c r="G279" s="236"/>
      <c r="H279" s="236"/>
      <c r="I279" s="236"/>
      <c r="J279" s="236"/>
      <c r="K279" s="236"/>
      <c r="L279" s="236"/>
      <c r="M279" s="236"/>
      <c r="N279" s="236"/>
      <c r="O279" s="236"/>
      <c r="P279" s="236"/>
    </row>
    <row r="280" spans="1:20" s="225" customFormat="1" ht="35.1" customHeight="1" x14ac:dyDescent="0.2">
      <c r="A280" s="73">
        <f>+A276+1</f>
        <v>143</v>
      </c>
      <c r="B280" s="72" t="s">
        <v>276</v>
      </c>
      <c r="C280" s="73" t="s">
        <v>345</v>
      </c>
      <c r="D280" s="72" t="s">
        <v>275</v>
      </c>
      <c r="E280" s="72" t="s">
        <v>196</v>
      </c>
      <c r="F280" s="222">
        <v>55000</v>
      </c>
      <c r="G280" s="68">
        <f>F280*2.87%</f>
        <v>1578.5</v>
      </c>
      <c r="H280" s="68">
        <f>+F280*3.04%</f>
        <v>1672</v>
      </c>
      <c r="I280" s="68">
        <v>1919.78</v>
      </c>
      <c r="J280" s="69">
        <f>+G280+H280+I280</f>
        <v>5170.28</v>
      </c>
      <c r="K280" s="69">
        <f>+F280-J280</f>
        <v>49829.72</v>
      </c>
      <c r="L280" s="69">
        <f>+IF(K280*12&lt;=416220.01,0,IF(K280*12&lt;=624329.01,(((K280*12-416220.01)*0.15)/12),IF((K280*12&lt;=867123.01),(31216+0.2*(K280*12-624329.01))/12,((79776+0.25*(K280*12-867123.01))/12))))</f>
        <v>2271.7078750000001</v>
      </c>
      <c r="M280" s="69"/>
      <c r="N280" s="227">
        <v>225</v>
      </c>
      <c r="O280" s="221">
        <f>+N280+I280+H280+G280+L280</f>
        <v>7666.9878749999998</v>
      </c>
      <c r="P280" s="84">
        <f>+F280-O280</f>
        <v>47333.012125000001</v>
      </c>
    </row>
    <row r="281" spans="1:20" s="225" customFormat="1" ht="35.1" customHeight="1" x14ac:dyDescent="0.2">
      <c r="A281" s="73">
        <f>+A280+1</f>
        <v>144</v>
      </c>
      <c r="B281" s="72" t="s">
        <v>328</v>
      </c>
      <c r="C281" s="73" t="s">
        <v>345</v>
      </c>
      <c r="D281" s="72" t="s">
        <v>120</v>
      </c>
      <c r="E281" s="72" t="s">
        <v>196</v>
      </c>
      <c r="F281" s="222">
        <v>32000</v>
      </c>
      <c r="G281" s="222">
        <f t="shared" ref="G281:G284" si="105">F281*2.87%</f>
        <v>918.4</v>
      </c>
      <c r="H281" s="222">
        <f t="shared" ref="H281:H284" si="106">+F281*3.04%</f>
        <v>972.8</v>
      </c>
      <c r="I281" s="68"/>
      <c r="J281" s="69">
        <f t="shared" si="73"/>
        <v>1891.1999999999998</v>
      </c>
      <c r="K281" s="69">
        <f t="shared" ref="K281:K283" si="107">+F281-J281</f>
        <v>30108.799999999999</v>
      </c>
      <c r="L281" s="69">
        <f t="shared" ref="L281:L284" si="108">+IF(K281*12&lt;=416220.01,0,IF(K281*12&lt;=624329.01,(((K281*12-416220.01)*0.15)/12),IF((K281*12&lt;=867123.01),(31216+0.2*(K281*12-624329.01))/12,((79776+0.25*(K281*12-867123.01))/12))))</f>
        <v>0</v>
      </c>
      <c r="M281" s="69"/>
      <c r="N281" s="223">
        <v>225</v>
      </c>
      <c r="O281" s="221">
        <f>+N281+I281+H281+G281+L281</f>
        <v>2116.1999999999998</v>
      </c>
      <c r="P281" s="84">
        <f>+F281-O281</f>
        <v>29883.8</v>
      </c>
    </row>
    <row r="282" spans="1:20" s="225" customFormat="1" ht="35.1" customHeight="1" x14ac:dyDescent="0.2">
      <c r="A282" s="73">
        <f>+A281+1</f>
        <v>145</v>
      </c>
      <c r="B282" s="72" t="s">
        <v>269</v>
      </c>
      <c r="C282" s="73" t="s">
        <v>345</v>
      </c>
      <c r="D282" s="72" t="s">
        <v>120</v>
      </c>
      <c r="E282" s="72" t="s">
        <v>196</v>
      </c>
      <c r="F282" s="222">
        <v>28000</v>
      </c>
      <c r="G282" s="222">
        <f t="shared" si="105"/>
        <v>803.6</v>
      </c>
      <c r="H282" s="222">
        <f t="shared" si="106"/>
        <v>851.2</v>
      </c>
      <c r="I282" s="68"/>
      <c r="J282" s="69">
        <f t="shared" ref="J282" si="109">+G282+H282+I282</f>
        <v>1654.8000000000002</v>
      </c>
      <c r="K282" s="69">
        <f t="shared" si="107"/>
        <v>26345.200000000001</v>
      </c>
      <c r="L282" s="69">
        <f t="shared" si="108"/>
        <v>0</v>
      </c>
      <c r="M282" s="221"/>
      <c r="N282" s="227">
        <v>6724.89</v>
      </c>
      <c r="O282" s="69">
        <f>+N282+I282+H282+G282+L282</f>
        <v>8379.69</v>
      </c>
      <c r="P282" s="84">
        <f>+F282-O282</f>
        <v>19620.309999999998</v>
      </c>
    </row>
    <row r="283" spans="1:20" s="225" customFormat="1" ht="35.1" customHeight="1" x14ac:dyDescent="0.2">
      <c r="A283" s="73">
        <f>+A282+1</f>
        <v>146</v>
      </c>
      <c r="B283" s="222" t="s">
        <v>536</v>
      </c>
      <c r="C283" s="282" t="s">
        <v>345</v>
      </c>
      <c r="D283" s="248" t="s">
        <v>120</v>
      </c>
      <c r="E283" s="72" t="s">
        <v>196</v>
      </c>
      <c r="F283" s="227">
        <v>24000</v>
      </c>
      <c r="G283" s="222">
        <f t="shared" si="105"/>
        <v>688.8</v>
      </c>
      <c r="H283" s="222">
        <f t="shared" si="106"/>
        <v>729.6</v>
      </c>
      <c r="I283" s="68">
        <v>1919.78</v>
      </c>
      <c r="J283" s="69">
        <f t="shared" si="73"/>
        <v>3338.1800000000003</v>
      </c>
      <c r="K283" s="69">
        <f t="shared" si="107"/>
        <v>20661.82</v>
      </c>
      <c r="L283" s="69">
        <f t="shared" si="108"/>
        <v>0</v>
      </c>
      <c r="M283" s="69"/>
      <c r="N283" s="221">
        <v>3458.61</v>
      </c>
      <c r="O283" s="221">
        <f>+N283+I283+H283+G283+L283</f>
        <v>6796.7900000000009</v>
      </c>
      <c r="P283" s="84">
        <f>+F283-O283</f>
        <v>17203.21</v>
      </c>
    </row>
    <row r="284" spans="1:20" s="225" customFormat="1" ht="35.1" customHeight="1" x14ac:dyDescent="0.2">
      <c r="A284" s="73">
        <f t="shared" ref="A284" si="110">+A283+1</f>
        <v>147</v>
      </c>
      <c r="B284" s="222" t="s">
        <v>570</v>
      </c>
      <c r="C284" s="282" t="s">
        <v>345</v>
      </c>
      <c r="D284" s="248" t="s">
        <v>120</v>
      </c>
      <c r="E284" s="72" t="s">
        <v>196</v>
      </c>
      <c r="F284" s="240">
        <v>24000</v>
      </c>
      <c r="G284" s="68">
        <f t="shared" si="105"/>
        <v>688.8</v>
      </c>
      <c r="H284" s="68">
        <f t="shared" si="106"/>
        <v>729.6</v>
      </c>
      <c r="I284" s="68"/>
      <c r="J284" s="69">
        <f t="shared" si="73"/>
        <v>1418.4</v>
      </c>
      <c r="K284" s="69">
        <f>+F284-J284</f>
        <v>22581.599999999999</v>
      </c>
      <c r="L284" s="69">
        <f t="shared" si="108"/>
        <v>0</v>
      </c>
      <c r="M284" s="69"/>
      <c r="N284" s="69">
        <v>25</v>
      </c>
      <c r="O284" s="221">
        <f>+N284+I284+H284+G284+L284</f>
        <v>1443.4</v>
      </c>
      <c r="P284" s="84">
        <f>+F284-O284</f>
        <v>22556.6</v>
      </c>
    </row>
    <row r="285" spans="1:20" s="225" customFormat="1" ht="35.1" customHeight="1" thickBot="1" x14ac:dyDescent="0.25">
      <c r="A285" s="229" t="s">
        <v>103</v>
      </c>
      <c r="B285" s="230"/>
      <c r="C285" s="230"/>
      <c r="D285" s="230"/>
      <c r="E285" s="246"/>
      <c r="F285" s="231">
        <f t="shared" ref="F285:P285" si="111">SUM(F280:F284)</f>
        <v>163000</v>
      </c>
      <c r="G285" s="231">
        <f t="shared" si="111"/>
        <v>4678.1000000000004</v>
      </c>
      <c r="H285" s="231">
        <f t="shared" si="111"/>
        <v>4955.2000000000007</v>
      </c>
      <c r="I285" s="231">
        <f t="shared" si="111"/>
        <v>3839.56</v>
      </c>
      <c r="J285" s="231">
        <f t="shared" si="111"/>
        <v>13472.859999999999</v>
      </c>
      <c r="K285" s="231">
        <f t="shared" si="111"/>
        <v>149527.14000000001</v>
      </c>
      <c r="L285" s="231">
        <f t="shared" si="111"/>
        <v>2271.7078750000001</v>
      </c>
      <c r="M285" s="231">
        <f t="shared" si="111"/>
        <v>0</v>
      </c>
      <c r="N285" s="231">
        <f t="shared" si="111"/>
        <v>10658.5</v>
      </c>
      <c r="O285" s="231">
        <f t="shared" si="111"/>
        <v>26403.067875000001</v>
      </c>
      <c r="P285" s="231">
        <f t="shared" si="111"/>
        <v>136596.93212499999</v>
      </c>
      <c r="Q285" s="329"/>
    </row>
    <row r="286" spans="1:20" s="225" customFormat="1" ht="35.1" customHeight="1" thickBot="1" x14ac:dyDescent="0.25">
      <c r="A286" s="235" t="s">
        <v>277</v>
      </c>
      <c r="B286" s="236"/>
      <c r="C286" s="236"/>
      <c r="D286" s="236"/>
      <c r="E286" s="236"/>
      <c r="F286" s="236"/>
      <c r="G286" s="236"/>
      <c r="H286" s="236"/>
      <c r="I286" s="236"/>
      <c r="J286" s="236"/>
      <c r="K286" s="236"/>
      <c r="L286" s="236"/>
      <c r="M286" s="236"/>
      <c r="N286" s="236"/>
      <c r="O286" s="236"/>
      <c r="P286" s="236"/>
    </row>
    <row r="287" spans="1:20" s="225" customFormat="1" ht="35.1" customHeight="1" x14ac:dyDescent="0.2">
      <c r="A287" s="73">
        <f>+A284+1</f>
        <v>148</v>
      </c>
      <c r="B287" s="72" t="s">
        <v>110</v>
      </c>
      <c r="C287" s="73" t="s">
        <v>345</v>
      </c>
      <c r="D287" s="72" t="s">
        <v>112</v>
      </c>
      <c r="E287" s="72" t="s">
        <v>196</v>
      </c>
      <c r="F287" s="222">
        <v>60000</v>
      </c>
      <c r="G287" s="222">
        <f>F287*2.87%</f>
        <v>1722</v>
      </c>
      <c r="H287" s="222">
        <f>+F287*3.04%</f>
        <v>1824</v>
      </c>
      <c r="I287" s="222"/>
      <c r="J287" s="221">
        <f t="shared" si="73"/>
        <v>3546</v>
      </c>
      <c r="K287" s="221">
        <f>+F287-J287</f>
        <v>56454</v>
      </c>
      <c r="L287" s="69">
        <f>+IF(K287*12&lt;=416220.01,0,IF(K287*12&lt;=624329.01,(((K287*12-416220.01)*0.15)/12),IF((K287*12&lt;=867123.01),(31216+0.2*(K287*12-624329.01))/12,((79776+0.25*(K287*12-867123.01))/12))))</f>
        <v>3486.6498333333329</v>
      </c>
      <c r="M287" s="221"/>
      <c r="N287" s="227">
        <v>25</v>
      </c>
      <c r="O287" s="221">
        <f t="shared" ref="O287:O310" si="112">+N287+I287+H287+G287+L287</f>
        <v>7057.6498333333329</v>
      </c>
      <c r="P287" s="227">
        <f t="shared" ref="P287:P310" si="113">+F287-O287</f>
        <v>52942.350166666671</v>
      </c>
    </row>
    <row r="288" spans="1:20" s="225" customFormat="1" ht="35.1" customHeight="1" x14ac:dyDescent="0.2">
      <c r="A288" s="73">
        <f>+A287+1</f>
        <v>149</v>
      </c>
      <c r="B288" s="72" t="s">
        <v>26</v>
      </c>
      <c r="C288" s="73" t="s">
        <v>345</v>
      </c>
      <c r="D288" s="72" t="s">
        <v>112</v>
      </c>
      <c r="E288" s="72" t="s">
        <v>101</v>
      </c>
      <c r="F288" s="222">
        <v>60000</v>
      </c>
      <c r="G288" s="222">
        <f t="shared" ref="G288:G295" si="114">F288*2.87%</f>
        <v>1722</v>
      </c>
      <c r="H288" s="222">
        <f t="shared" ref="H288:H302" si="115">+F288*3.04%</f>
        <v>1824</v>
      </c>
      <c r="I288" s="222"/>
      <c r="J288" s="221">
        <f t="shared" si="73"/>
        <v>3546</v>
      </c>
      <c r="K288" s="221">
        <f t="shared" ref="K288:K309" si="116">+F288-J288</f>
        <v>56454</v>
      </c>
      <c r="L288" s="69">
        <f t="shared" ref="L288:L310" si="117">+IF(K288*12&lt;=416220.01,0,IF(K288*12&lt;=624329.01,(((K288*12-416220.01)*0.15)/12),IF((K288*12&lt;=867123.01),(31216+0.2*(K288*12-624329.01))/12,((79776+0.25*(K288*12-867123.01))/12))))</f>
        <v>3486.6498333333329</v>
      </c>
      <c r="M288" s="221"/>
      <c r="N288" s="227">
        <v>265</v>
      </c>
      <c r="O288" s="221">
        <f t="shared" si="112"/>
        <v>7297.6498333333329</v>
      </c>
      <c r="P288" s="227">
        <f t="shared" si="113"/>
        <v>52702.350166666671</v>
      </c>
    </row>
    <row r="289" spans="1:18" s="150" customFormat="1" ht="35.1" customHeight="1" x14ac:dyDescent="0.2">
      <c r="A289" s="73">
        <f>+A288+1</f>
        <v>150</v>
      </c>
      <c r="B289" s="72" t="s">
        <v>483</v>
      </c>
      <c r="C289" s="73" t="s">
        <v>346</v>
      </c>
      <c r="D289" s="88" t="s">
        <v>14</v>
      </c>
      <c r="E289" s="72" t="s">
        <v>196</v>
      </c>
      <c r="F289" s="222">
        <v>38000</v>
      </c>
      <c r="G289" s="222">
        <f>F289*2.87%</f>
        <v>1090.5999999999999</v>
      </c>
      <c r="H289" s="222">
        <f>+F289*3.04%</f>
        <v>1155.2</v>
      </c>
      <c r="I289" s="222"/>
      <c r="J289" s="221">
        <f>+G289+H289+I289</f>
        <v>2245.8000000000002</v>
      </c>
      <c r="K289" s="221">
        <f>+F289-J289</f>
        <v>35754.199999999997</v>
      </c>
      <c r="L289" s="69">
        <f t="shared" si="117"/>
        <v>160.37987499999943</v>
      </c>
      <c r="M289" s="221"/>
      <c r="N289" s="227">
        <v>2323.69</v>
      </c>
      <c r="O289" s="221">
        <f t="shared" si="112"/>
        <v>4729.8698749999994</v>
      </c>
      <c r="P289" s="221">
        <f t="shared" si="113"/>
        <v>33270.130125000003</v>
      </c>
      <c r="Q289" s="225"/>
      <c r="R289" s="225"/>
    </row>
    <row r="290" spans="1:18" s="150" customFormat="1" ht="35.1" customHeight="1" x14ac:dyDescent="0.2">
      <c r="A290" s="73">
        <f>+A289+1</f>
        <v>151</v>
      </c>
      <c r="B290" s="72" t="s">
        <v>278</v>
      </c>
      <c r="C290" s="73" t="s">
        <v>345</v>
      </c>
      <c r="D290" s="72" t="s">
        <v>28</v>
      </c>
      <c r="E290" s="72" t="s">
        <v>196</v>
      </c>
      <c r="F290" s="222">
        <v>36000</v>
      </c>
      <c r="G290" s="222">
        <f t="shared" si="114"/>
        <v>1033.2</v>
      </c>
      <c r="H290" s="222">
        <f t="shared" si="115"/>
        <v>1094.4000000000001</v>
      </c>
      <c r="I290" s="222"/>
      <c r="J290" s="221">
        <f t="shared" si="73"/>
        <v>2127.6000000000004</v>
      </c>
      <c r="K290" s="221">
        <f t="shared" si="116"/>
        <v>33872.400000000001</v>
      </c>
      <c r="L290" s="69">
        <f t="shared" si="117"/>
        <v>0</v>
      </c>
      <c r="M290" s="221"/>
      <c r="N290" s="227">
        <v>345</v>
      </c>
      <c r="O290" s="221">
        <f t="shared" si="112"/>
        <v>2472.6000000000004</v>
      </c>
      <c r="P290" s="227">
        <f t="shared" si="113"/>
        <v>33527.4</v>
      </c>
      <c r="Q290" s="225"/>
      <c r="R290" s="225"/>
    </row>
    <row r="291" spans="1:18" s="150" customFormat="1" ht="35.1" customHeight="1" x14ac:dyDescent="0.2">
      <c r="A291" s="73">
        <f>+A290+1</f>
        <v>152</v>
      </c>
      <c r="B291" s="72" t="s">
        <v>279</v>
      </c>
      <c r="C291" s="73" t="s">
        <v>345</v>
      </c>
      <c r="D291" s="72" t="s">
        <v>28</v>
      </c>
      <c r="E291" s="72" t="s">
        <v>196</v>
      </c>
      <c r="F291" s="222">
        <v>36000</v>
      </c>
      <c r="G291" s="222">
        <f t="shared" si="114"/>
        <v>1033.2</v>
      </c>
      <c r="H291" s="222">
        <f t="shared" si="115"/>
        <v>1094.4000000000001</v>
      </c>
      <c r="I291" s="222"/>
      <c r="J291" s="221">
        <f t="shared" si="73"/>
        <v>2127.6000000000004</v>
      </c>
      <c r="K291" s="221">
        <f t="shared" si="116"/>
        <v>33872.400000000001</v>
      </c>
      <c r="L291" s="69">
        <f t="shared" si="117"/>
        <v>0</v>
      </c>
      <c r="M291" s="221"/>
      <c r="N291" s="227">
        <v>2290.29</v>
      </c>
      <c r="O291" s="221">
        <f t="shared" si="112"/>
        <v>4417.8900000000003</v>
      </c>
      <c r="P291" s="227">
        <f t="shared" si="113"/>
        <v>31582.11</v>
      </c>
      <c r="Q291" s="225"/>
      <c r="R291" s="225"/>
    </row>
    <row r="292" spans="1:18" s="150" customFormat="1" ht="35.1" customHeight="1" x14ac:dyDescent="0.2">
      <c r="A292" s="73">
        <f t="shared" ref="A292:A303" si="118">+A291+1</f>
        <v>153</v>
      </c>
      <c r="B292" s="72" t="s">
        <v>65</v>
      </c>
      <c r="C292" s="73" t="s">
        <v>345</v>
      </c>
      <c r="D292" s="72" t="s">
        <v>28</v>
      </c>
      <c r="E292" s="72" t="s">
        <v>196</v>
      </c>
      <c r="F292" s="222">
        <v>36000</v>
      </c>
      <c r="G292" s="222">
        <f t="shared" si="114"/>
        <v>1033.2</v>
      </c>
      <c r="H292" s="222">
        <f t="shared" si="115"/>
        <v>1094.4000000000001</v>
      </c>
      <c r="I292" s="222"/>
      <c r="J292" s="221">
        <f t="shared" ref="J292:J302" si="119">+G292+H292+I292</f>
        <v>2127.6000000000004</v>
      </c>
      <c r="K292" s="221">
        <f t="shared" si="116"/>
        <v>33872.400000000001</v>
      </c>
      <c r="L292" s="69">
        <f t="shared" si="117"/>
        <v>0</v>
      </c>
      <c r="M292" s="221"/>
      <c r="N292" s="227">
        <v>5083.78</v>
      </c>
      <c r="O292" s="221">
        <f t="shared" si="112"/>
        <v>7211.38</v>
      </c>
      <c r="P292" s="227">
        <f t="shared" si="113"/>
        <v>28788.62</v>
      </c>
      <c r="Q292" s="225"/>
      <c r="R292" s="225"/>
    </row>
    <row r="293" spans="1:18" s="150" customFormat="1" ht="35.1" customHeight="1" x14ac:dyDescent="0.2">
      <c r="A293" s="73">
        <f t="shared" si="118"/>
        <v>154</v>
      </c>
      <c r="B293" s="72" t="s">
        <v>29</v>
      </c>
      <c r="C293" s="73" t="s">
        <v>345</v>
      </c>
      <c r="D293" s="72" t="s">
        <v>28</v>
      </c>
      <c r="E293" s="72" t="s">
        <v>196</v>
      </c>
      <c r="F293" s="222">
        <v>36000</v>
      </c>
      <c r="G293" s="222">
        <f t="shared" si="114"/>
        <v>1033.2</v>
      </c>
      <c r="H293" s="222">
        <f t="shared" si="115"/>
        <v>1094.4000000000001</v>
      </c>
      <c r="I293" s="222"/>
      <c r="J293" s="221">
        <f t="shared" si="119"/>
        <v>2127.6000000000004</v>
      </c>
      <c r="K293" s="221">
        <f t="shared" si="116"/>
        <v>33872.400000000001</v>
      </c>
      <c r="L293" s="69">
        <f t="shared" si="117"/>
        <v>0</v>
      </c>
      <c r="M293" s="221"/>
      <c r="N293" s="227">
        <v>765</v>
      </c>
      <c r="O293" s="221">
        <f t="shared" si="112"/>
        <v>2892.6000000000004</v>
      </c>
      <c r="P293" s="227">
        <f t="shared" si="113"/>
        <v>33107.4</v>
      </c>
      <c r="Q293" s="225"/>
      <c r="R293" s="225"/>
    </row>
    <row r="294" spans="1:18" s="150" customFormat="1" ht="35.1" customHeight="1" x14ac:dyDescent="0.2">
      <c r="A294" s="73">
        <f t="shared" si="118"/>
        <v>155</v>
      </c>
      <c r="B294" s="72" t="s">
        <v>111</v>
      </c>
      <c r="C294" s="73" t="s">
        <v>345</v>
      </c>
      <c r="D294" s="88" t="s">
        <v>113</v>
      </c>
      <c r="E294" s="72" t="s">
        <v>196</v>
      </c>
      <c r="F294" s="222">
        <v>35000</v>
      </c>
      <c r="G294" s="222">
        <f>F294*2.87%</f>
        <v>1004.5</v>
      </c>
      <c r="H294" s="222">
        <f>+F294*3.04%</f>
        <v>1064</v>
      </c>
      <c r="I294" s="222"/>
      <c r="J294" s="221">
        <f t="shared" si="119"/>
        <v>2068.5</v>
      </c>
      <c r="K294" s="221">
        <f t="shared" si="116"/>
        <v>32931.5</v>
      </c>
      <c r="L294" s="69">
        <f t="shared" si="117"/>
        <v>0</v>
      </c>
      <c r="M294" s="221"/>
      <c r="N294" s="227">
        <v>25</v>
      </c>
      <c r="O294" s="221">
        <f t="shared" si="112"/>
        <v>2093.5</v>
      </c>
      <c r="P294" s="227">
        <f t="shared" si="113"/>
        <v>32906.5</v>
      </c>
      <c r="Q294" s="225"/>
      <c r="R294" s="225"/>
    </row>
    <row r="295" spans="1:18" s="150" customFormat="1" ht="35.1" customHeight="1" x14ac:dyDescent="0.2">
      <c r="A295" s="73">
        <f>+A294+1</f>
        <v>156</v>
      </c>
      <c r="B295" s="72" t="s">
        <v>281</v>
      </c>
      <c r="C295" s="73" t="s">
        <v>345</v>
      </c>
      <c r="D295" s="88" t="s">
        <v>118</v>
      </c>
      <c r="E295" s="72" t="s">
        <v>196</v>
      </c>
      <c r="F295" s="222">
        <v>36000</v>
      </c>
      <c r="G295" s="222">
        <f t="shared" si="114"/>
        <v>1033.2</v>
      </c>
      <c r="H295" s="222">
        <f t="shared" si="115"/>
        <v>1094.4000000000001</v>
      </c>
      <c r="I295" s="222">
        <v>1919.78</v>
      </c>
      <c r="J295" s="221">
        <f t="shared" si="119"/>
        <v>4047.38</v>
      </c>
      <c r="K295" s="221">
        <f t="shared" si="116"/>
        <v>31952.62</v>
      </c>
      <c r="L295" s="69">
        <f t="shared" si="117"/>
        <v>0</v>
      </c>
      <c r="M295" s="221"/>
      <c r="N295" s="227">
        <v>2290.29</v>
      </c>
      <c r="O295" s="221">
        <f t="shared" si="112"/>
        <v>6337.6699999999992</v>
      </c>
      <c r="P295" s="227">
        <f t="shared" si="113"/>
        <v>29662.33</v>
      </c>
      <c r="Q295" s="225"/>
      <c r="R295" s="225"/>
    </row>
    <row r="296" spans="1:18" s="150" customFormat="1" ht="35.1" customHeight="1" x14ac:dyDescent="0.2">
      <c r="A296" s="73">
        <f t="shared" si="118"/>
        <v>157</v>
      </c>
      <c r="B296" s="72" t="s">
        <v>280</v>
      </c>
      <c r="C296" s="73" t="s">
        <v>345</v>
      </c>
      <c r="D296" s="72" t="s">
        <v>118</v>
      </c>
      <c r="E296" s="72" t="s">
        <v>196</v>
      </c>
      <c r="F296" s="222">
        <v>36000</v>
      </c>
      <c r="G296" s="222">
        <f t="shared" ref="G296:G299" si="120">F296*2.87%</f>
        <v>1033.2</v>
      </c>
      <c r="H296" s="222">
        <f t="shared" ref="H296:H299" si="121">+F296*3.04%</f>
        <v>1094.4000000000001</v>
      </c>
      <c r="I296" s="222"/>
      <c r="J296" s="221">
        <f t="shared" si="119"/>
        <v>2127.6000000000004</v>
      </c>
      <c r="K296" s="221">
        <f t="shared" si="116"/>
        <v>33872.400000000001</v>
      </c>
      <c r="L296" s="69">
        <f t="shared" si="117"/>
        <v>0</v>
      </c>
      <c r="M296" s="221"/>
      <c r="N296" s="227">
        <v>1290.29</v>
      </c>
      <c r="O296" s="221">
        <f t="shared" si="112"/>
        <v>3417.8900000000003</v>
      </c>
      <c r="P296" s="227">
        <f t="shared" si="113"/>
        <v>32582.11</v>
      </c>
      <c r="Q296" s="225"/>
      <c r="R296" s="225"/>
    </row>
    <row r="297" spans="1:18" s="225" customFormat="1" ht="35.1" customHeight="1" x14ac:dyDescent="0.2">
      <c r="A297" s="73">
        <f t="shared" si="118"/>
        <v>158</v>
      </c>
      <c r="B297" s="72" t="s">
        <v>282</v>
      </c>
      <c r="C297" s="73" t="s">
        <v>345</v>
      </c>
      <c r="D297" s="88" t="s">
        <v>113</v>
      </c>
      <c r="E297" s="72" t="s">
        <v>196</v>
      </c>
      <c r="F297" s="222">
        <v>35000</v>
      </c>
      <c r="G297" s="222">
        <f t="shared" si="120"/>
        <v>1004.5</v>
      </c>
      <c r="H297" s="222">
        <f t="shared" si="121"/>
        <v>1064</v>
      </c>
      <c r="I297" s="222"/>
      <c r="J297" s="221">
        <f>+G297+H297+I297</f>
        <v>2068.5</v>
      </c>
      <c r="K297" s="221">
        <f t="shared" si="116"/>
        <v>32931.5</v>
      </c>
      <c r="L297" s="69">
        <f t="shared" si="117"/>
        <v>0</v>
      </c>
      <c r="M297" s="221"/>
      <c r="N297" s="227">
        <v>25</v>
      </c>
      <c r="O297" s="221">
        <f t="shared" si="112"/>
        <v>2093.5</v>
      </c>
      <c r="P297" s="227">
        <f t="shared" si="113"/>
        <v>32906.5</v>
      </c>
    </row>
    <row r="298" spans="1:18" s="149" customFormat="1" ht="35.1" customHeight="1" x14ac:dyDescent="0.2">
      <c r="A298" s="73">
        <f t="shared" si="118"/>
        <v>159</v>
      </c>
      <c r="B298" s="72" t="s">
        <v>382</v>
      </c>
      <c r="C298" s="73" t="s">
        <v>345</v>
      </c>
      <c r="D298" s="88" t="s">
        <v>383</v>
      </c>
      <c r="E298" s="72" t="s">
        <v>196</v>
      </c>
      <c r="F298" s="222">
        <v>36000</v>
      </c>
      <c r="G298" s="222">
        <f t="shared" si="120"/>
        <v>1033.2</v>
      </c>
      <c r="H298" s="222">
        <f t="shared" si="121"/>
        <v>1094.4000000000001</v>
      </c>
      <c r="I298" s="222">
        <v>1919.78</v>
      </c>
      <c r="J298" s="221">
        <f>+G298+H298+I298</f>
        <v>4047.38</v>
      </c>
      <c r="K298" s="221">
        <f t="shared" si="116"/>
        <v>31952.62</v>
      </c>
      <c r="L298" s="69">
        <f t="shared" si="117"/>
        <v>0</v>
      </c>
      <c r="M298" s="221"/>
      <c r="N298" s="227">
        <v>4161.88</v>
      </c>
      <c r="O298" s="221">
        <f t="shared" si="112"/>
        <v>8209.26</v>
      </c>
      <c r="P298" s="227">
        <f t="shared" si="113"/>
        <v>27790.739999999998</v>
      </c>
      <c r="Q298" s="225"/>
      <c r="R298" s="225"/>
    </row>
    <row r="299" spans="1:18" s="225" customFormat="1" ht="35.1" customHeight="1" x14ac:dyDescent="0.2">
      <c r="A299" s="73">
        <f t="shared" si="118"/>
        <v>160</v>
      </c>
      <c r="B299" s="72" t="s">
        <v>426</v>
      </c>
      <c r="C299" s="73" t="s">
        <v>345</v>
      </c>
      <c r="D299" s="72" t="s">
        <v>113</v>
      </c>
      <c r="E299" s="72" t="s">
        <v>196</v>
      </c>
      <c r="F299" s="222">
        <v>36000</v>
      </c>
      <c r="G299" s="222">
        <f t="shared" si="120"/>
        <v>1033.2</v>
      </c>
      <c r="H299" s="222">
        <f t="shared" si="121"/>
        <v>1094.4000000000001</v>
      </c>
      <c r="I299" s="222"/>
      <c r="J299" s="221">
        <f>+G299+H299+I299</f>
        <v>2127.6000000000004</v>
      </c>
      <c r="K299" s="221">
        <f t="shared" si="116"/>
        <v>33872.400000000001</v>
      </c>
      <c r="L299" s="69">
        <f t="shared" si="117"/>
        <v>0</v>
      </c>
      <c r="M299" s="221"/>
      <c r="N299" s="227">
        <v>3330.29</v>
      </c>
      <c r="O299" s="221">
        <f t="shared" si="112"/>
        <v>5457.89</v>
      </c>
      <c r="P299" s="227">
        <f t="shared" si="113"/>
        <v>30542.11</v>
      </c>
    </row>
    <row r="300" spans="1:18" s="225" customFormat="1" ht="35.1" customHeight="1" x14ac:dyDescent="0.2">
      <c r="A300" s="73">
        <f>+A299+1</f>
        <v>161</v>
      </c>
      <c r="B300" s="72" t="s">
        <v>285</v>
      </c>
      <c r="C300" s="73" t="s">
        <v>345</v>
      </c>
      <c r="D300" s="88" t="s">
        <v>383</v>
      </c>
      <c r="E300" s="72" t="s">
        <v>101</v>
      </c>
      <c r="F300" s="222">
        <v>32000</v>
      </c>
      <c r="G300" s="222">
        <f>F300*2.87%</f>
        <v>918.4</v>
      </c>
      <c r="H300" s="222">
        <f>+F300*3.04%</f>
        <v>972.8</v>
      </c>
      <c r="I300" s="222"/>
      <c r="J300" s="221">
        <f>+G300+H300+I300</f>
        <v>1891.1999999999998</v>
      </c>
      <c r="K300" s="221">
        <f>+F300-J300</f>
        <v>30108.799999999999</v>
      </c>
      <c r="L300" s="69">
        <f t="shared" si="117"/>
        <v>0</v>
      </c>
      <c r="M300" s="221"/>
      <c r="N300" s="227">
        <v>65</v>
      </c>
      <c r="O300" s="221">
        <f t="shared" si="112"/>
        <v>1956.1999999999998</v>
      </c>
      <c r="P300" s="227">
        <f t="shared" si="113"/>
        <v>30043.8</v>
      </c>
    </row>
    <row r="301" spans="1:18" s="225" customFormat="1" ht="35.1" customHeight="1" x14ac:dyDescent="0.2">
      <c r="A301" s="73">
        <f>+A300+1</f>
        <v>162</v>
      </c>
      <c r="B301" s="72" t="s">
        <v>537</v>
      </c>
      <c r="C301" s="73" t="s">
        <v>345</v>
      </c>
      <c r="D301" s="88" t="s">
        <v>113</v>
      </c>
      <c r="E301" s="72" t="s">
        <v>196</v>
      </c>
      <c r="F301" s="222">
        <v>30000</v>
      </c>
      <c r="G301" s="222">
        <f t="shared" ref="G301:G309" si="122">F301*2.87%</f>
        <v>861</v>
      </c>
      <c r="H301" s="222">
        <f t="shared" si="115"/>
        <v>912</v>
      </c>
      <c r="I301" s="222"/>
      <c r="J301" s="221">
        <f t="shared" si="119"/>
        <v>1773</v>
      </c>
      <c r="K301" s="221">
        <f t="shared" si="116"/>
        <v>28227</v>
      </c>
      <c r="L301" s="69">
        <f t="shared" si="117"/>
        <v>0</v>
      </c>
      <c r="M301" s="221"/>
      <c r="N301" s="227">
        <v>2290.29</v>
      </c>
      <c r="O301" s="221">
        <f t="shared" si="112"/>
        <v>4063.29</v>
      </c>
      <c r="P301" s="227">
        <f t="shared" si="113"/>
        <v>25936.71</v>
      </c>
    </row>
    <row r="302" spans="1:18" s="225" customFormat="1" ht="35.1" customHeight="1" x14ac:dyDescent="0.2">
      <c r="A302" s="73">
        <f>+A301+1</f>
        <v>163</v>
      </c>
      <c r="B302" s="72" t="s">
        <v>538</v>
      </c>
      <c r="C302" s="73" t="s">
        <v>345</v>
      </c>
      <c r="D302" s="88" t="s">
        <v>113</v>
      </c>
      <c r="E302" s="72" t="s">
        <v>196</v>
      </c>
      <c r="F302" s="222">
        <v>30000</v>
      </c>
      <c r="G302" s="222">
        <f t="shared" si="122"/>
        <v>861</v>
      </c>
      <c r="H302" s="222">
        <f t="shared" si="115"/>
        <v>912</v>
      </c>
      <c r="I302" s="222"/>
      <c r="J302" s="221">
        <f t="shared" si="119"/>
        <v>1773</v>
      </c>
      <c r="K302" s="221">
        <f t="shared" si="116"/>
        <v>28227</v>
      </c>
      <c r="L302" s="69">
        <f t="shared" si="117"/>
        <v>0</v>
      </c>
      <c r="M302" s="221"/>
      <c r="N302" s="227">
        <v>2637.94</v>
      </c>
      <c r="O302" s="221">
        <f t="shared" si="112"/>
        <v>4410.9400000000005</v>
      </c>
      <c r="P302" s="227">
        <f t="shared" si="113"/>
        <v>25589.059999999998</v>
      </c>
    </row>
    <row r="303" spans="1:18" s="225" customFormat="1" ht="35.1" customHeight="1" x14ac:dyDescent="0.2">
      <c r="A303" s="73">
        <f t="shared" si="118"/>
        <v>164</v>
      </c>
      <c r="B303" s="266" t="s">
        <v>503</v>
      </c>
      <c r="C303" s="73" t="s">
        <v>345</v>
      </c>
      <c r="D303" s="72" t="s">
        <v>113</v>
      </c>
      <c r="E303" s="72" t="s">
        <v>196</v>
      </c>
      <c r="F303" s="222">
        <v>30000</v>
      </c>
      <c r="G303" s="222">
        <f t="shared" si="122"/>
        <v>861</v>
      </c>
      <c r="H303" s="222">
        <f>+F303*3.04%</f>
        <v>912</v>
      </c>
      <c r="I303" s="222"/>
      <c r="J303" s="221">
        <f>+G303+H303+I303</f>
        <v>1773</v>
      </c>
      <c r="K303" s="221">
        <f t="shared" si="116"/>
        <v>28227</v>
      </c>
      <c r="L303" s="69">
        <f t="shared" si="117"/>
        <v>0</v>
      </c>
      <c r="M303" s="221"/>
      <c r="N303" s="227">
        <v>1290.29</v>
      </c>
      <c r="O303" s="221">
        <f t="shared" si="112"/>
        <v>3063.29</v>
      </c>
      <c r="P303" s="227">
        <f t="shared" si="113"/>
        <v>26936.71</v>
      </c>
    </row>
    <row r="304" spans="1:18" s="225" customFormat="1" ht="35.1" customHeight="1" x14ac:dyDescent="0.2">
      <c r="A304" s="73">
        <f t="shared" ref="A304:A309" si="123">+A303+1</f>
        <v>165</v>
      </c>
      <c r="B304" s="266" t="s">
        <v>571</v>
      </c>
      <c r="C304" s="73" t="s">
        <v>345</v>
      </c>
      <c r="D304" s="72" t="s">
        <v>113</v>
      </c>
      <c r="E304" s="72" t="s">
        <v>196</v>
      </c>
      <c r="F304" s="222">
        <v>30000</v>
      </c>
      <c r="G304" s="222">
        <f t="shared" si="122"/>
        <v>861</v>
      </c>
      <c r="H304" s="222">
        <f>+F304*3.04%</f>
        <v>912</v>
      </c>
      <c r="I304" s="222"/>
      <c r="J304" s="221">
        <f>+G304+H304+I304</f>
        <v>1773</v>
      </c>
      <c r="K304" s="221">
        <f t="shared" si="116"/>
        <v>28227</v>
      </c>
      <c r="L304" s="69">
        <f t="shared" si="117"/>
        <v>0</v>
      </c>
      <c r="M304" s="221"/>
      <c r="N304" s="227">
        <v>3560.89</v>
      </c>
      <c r="O304" s="221">
        <f t="shared" si="112"/>
        <v>5333.8899999999994</v>
      </c>
      <c r="P304" s="227">
        <f t="shared" si="113"/>
        <v>24666.11</v>
      </c>
    </row>
    <row r="305" spans="1:18" s="225" customFormat="1" ht="35.1" customHeight="1" x14ac:dyDescent="0.2">
      <c r="A305" s="310">
        <f t="shared" si="123"/>
        <v>166</v>
      </c>
      <c r="B305" s="72" t="s">
        <v>535</v>
      </c>
      <c r="C305" s="73" t="s">
        <v>345</v>
      </c>
      <c r="D305" s="72" t="s">
        <v>113</v>
      </c>
      <c r="E305" s="72" t="s">
        <v>196</v>
      </c>
      <c r="F305" s="222">
        <v>30000</v>
      </c>
      <c r="G305" s="222">
        <f t="shared" si="122"/>
        <v>861</v>
      </c>
      <c r="H305" s="222">
        <f t="shared" ref="H305:H309" si="124">+F305*3.04%</f>
        <v>912</v>
      </c>
      <c r="I305" s="222"/>
      <c r="J305" s="221">
        <f t="shared" ref="J305:J309" si="125">+G305+H305+I305</f>
        <v>1773</v>
      </c>
      <c r="K305" s="221">
        <f t="shared" si="116"/>
        <v>28227</v>
      </c>
      <c r="L305" s="69">
        <f t="shared" si="117"/>
        <v>0</v>
      </c>
      <c r="M305" s="221"/>
      <c r="N305" s="227">
        <v>225</v>
      </c>
      <c r="O305" s="221">
        <f t="shared" si="112"/>
        <v>1998</v>
      </c>
      <c r="P305" s="223">
        <f t="shared" si="113"/>
        <v>28002</v>
      </c>
    </row>
    <row r="306" spans="1:18" s="224" customFormat="1" ht="35.1" customHeight="1" x14ac:dyDescent="0.2">
      <c r="A306" s="310">
        <f t="shared" si="123"/>
        <v>167</v>
      </c>
      <c r="B306" s="72" t="s">
        <v>602</v>
      </c>
      <c r="C306" s="73" t="s">
        <v>345</v>
      </c>
      <c r="D306" s="72" t="s">
        <v>113</v>
      </c>
      <c r="E306" s="72" t="s">
        <v>196</v>
      </c>
      <c r="F306" s="222">
        <v>30000</v>
      </c>
      <c r="G306" s="222">
        <f t="shared" si="122"/>
        <v>861</v>
      </c>
      <c r="H306" s="222">
        <f t="shared" si="124"/>
        <v>912</v>
      </c>
      <c r="I306" s="222"/>
      <c r="J306" s="221">
        <f t="shared" si="125"/>
        <v>1773</v>
      </c>
      <c r="K306" s="221">
        <f t="shared" si="116"/>
        <v>28227</v>
      </c>
      <c r="L306" s="69">
        <f t="shared" si="117"/>
        <v>0</v>
      </c>
      <c r="M306" s="221"/>
      <c r="N306" s="227">
        <v>1290.29</v>
      </c>
      <c r="O306" s="221">
        <f t="shared" si="112"/>
        <v>3063.29</v>
      </c>
      <c r="P306" s="223">
        <f t="shared" si="113"/>
        <v>26936.71</v>
      </c>
      <c r="Q306" s="225"/>
      <c r="R306" s="225"/>
    </row>
    <row r="307" spans="1:18" s="224" customFormat="1" ht="35.1" customHeight="1" x14ac:dyDescent="0.2">
      <c r="A307" s="310">
        <f t="shared" si="123"/>
        <v>168</v>
      </c>
      <c r="B307" s="72" t="s">
        <v>626</v>
      </c>
      <c r="C307" s="73" t="s">
        <v>345</v>
      </c>
      <c r="D307" s="72" t="s">
        <v>113</v>
      </c>
      <c r="E307" s="72" t="s">
        <v>196</v>
      </c>
      <c r="F307" s="222">
        <v>30000</v>
      </c>
      <c r="G307" s="222">
        <f t="shared" si="122"/>
        <v>861</v>
      </c>
      <c r="H307" s="222">
        <f t="shared" si="124"/>
        <v>912</v>
      </c>
      <c r="I307" s="222"/>
      <c r="J307" s="221">
        <f t="shared" si="125"/>
        <v>1773</v>
      </c>
      <c r="K307" s="221">
        <f t="shared" si="116"/>
        <v>28227</v>
      </c>
      <c r="L307" s="69">
        <f t="shared" si="117"/>
        <v>0</v>
      </c>
      <c r="M307" s="221"/>
      <c r="N307" s="227">
        <v>25</v>
      </c>
      <c r="O307" s="221">
        <f t="shared" si="112"/>
        <v>1798</v>
      </c>
      <c r="P307" s="223">
        <f t="shared" si="113"/>
        <v>28202</v>
      </c>
      <c r="Q307" s="225"/>
      <c r="R307" s="225"/>
    </row>
    <row r="308" spans="1:18" s="224" customFormat="1" ht="35.1" customHeight="1" x14ac:dyDescent="0.2">
      <c r="A308" s="310">
        <f t="shared" si="123"/>
        <v>169</v>
      </c>
      <c r="B308" s="72" t="s">
        <v>627</v>
      </c>
      <c r="C308" s="73" t="s">
        <v>345</v>
      </c>
      <c r="D308" s="72" t="s">
        <v>113</v>
      </c>
      <c r="E308" s="72" t="s">
        <v>196</v>
      </c>
      <c r="F308" s="222">
        <v>30000</v>
      </c>
      <c r="G308" s="222">
        <f t="shared" si="122"/>
        <v>861</v>
      </c>
      <c r="H308" s="222">
        <f t="shared" si="124"/>
        <v>912</v>
      </c>
      <c r="I308" s="222"/>
      <c r="J308" s="221">
        <f t="shared" si="125"/>
        <v>1773</v>
      </c>
      <c r="K308" s="221">
        <f t="shared" si="116"/>
        <v>28227</v>
      </c>
      <c r="L308" s="69">
        <f t="shared" si="117"/>
        <v>0</v>
      </c>
      <c r="M308" s="221"/>
      <c r="N308" s="227">
        <v>25</v>
      </c>
      <c r="O308" s="221">
        <f t="shared" si="112"/>
        <v>1798</v>
      </c>
      <c r="P308" s="223">
        <f t="shared" si="113"/>
        <v>28202</v>
      </c>
      <c r="Q308" s="225"/>
      <c r="R308" s="225"/>
    </row>
    <row r="309" spans="1:18" s="224" customFormat="1" ht="35.1" customHeight="1" x14ac:dyDescent="0.2">
      <c r="A309" s="310">
        <f t="shared" si="123"/>
        <v>170</v>
      </c>
      <c r="B309" s="72" t="s">
        <v>638</v>
      </c>
      <c r="C309" s="73" t="s">
        <v>345</v>
      </c>
      <c r="D309" s="72" t="s">
        <v>113</v>
      </c>
      <c r="E309" s="72" t="s">
        <v>196</v>
      </c>
      <c r="F309" s="222">
        <v>30000</v>
      </c>
      <c r="G309" s="222">
        <f t="shared" si="122"/>
        <v>861</v>
      </c>
      <c r="H309" s="222">
        <f t="shared" si="124"/>
        <v>912</v>
      </c>
      <c r="I309" s="222"/>
      <c r="J309" s="221">
        <f t="shared" si="125"/>
        <v>1773</v>
      </c>
      <c r="K309" s="221">
        <f t="shared" si="116"/>
        <v>28227</v>
      </c>
      <c r="L309" s="69">
        <f t="shared" si="117"/>
        <v>0</v>
      </c>
      <c r="M309" s="221"/>
      <c r="N309" s="227">
        <v>590.29</v>
      </c>
      <c r="O309" s="221">
        <f t="shared" si="112"/>
        <v>2363.29</v>
      </c>
      <c r="P309" s="223">
        <f t="shared" si="113"/>
        <v>27636.71</v>
      </c>
      <c r="Q309" s="225"/>
      <c r="R309" s="225"/>
    </row>
    <row r="310" spans="1:18" s="224" customFormat="1" ht="35.1" customHeight="1" x14ac:dyDescent="0.2">
      <c r="A310" s="241">
        <f>+A309+1</f>
        <v>171</v>
      </c>
      <c r="B310" s="72" t="s">
        <v>179</v>
      </c>
      <c r="C310" s="241" t="s">
        <v>345</v>
      </c>
      <c r="D310" s="244" t="s">
        <v>180</v>
      </c>
      <c r="E310" s="244" t="s">
        <v>196</v>
      </c>
      <c r="F310" s="68">
        <v>30000</v>
      </c>
      <c r="G310" s="68">
        <f>F310*2.87%</f>
        <v>861</v>
      </c>
      <c r="H310" s="68">
        <f>+F310*3.04%</f>
        <v>912</v>
      </c>
      <c r="I310" s="68">
        <v>1919.78</v>
      </c>
      <c r="J310" s="69">
        <f>+G310+H310+I310</f>
        <v>3692.7799999999997</v>
      </c>
      <c r="K310" s="69">
        <f>+F310-J310</f>
        <v>26307.22</v>
      </c>
      <c r="L310" s="69">
        <f t="shared" si="117"/>
        <v>0</v>
      </c>
      <c r="M310" s="69"/>
      <c r="N310" s="227">
        <v>3290.29</v>
      </c>
      <c r="O310" s="221">
        <f t="shared" si="112"/>
        <v>6983.07</v>
      </c>
      <c r="P310" s="240">
        <f t="shared" si="113"/>
        <v>23016.93</v>
      </c>
      <c r="Q310" s="225"/>
      <c r="R310" s="225"/>
    </row>
    <row r="311" spans="1:18" s="149" customFormat="1" ht="35.1" customHeight="1" x14ac:dyDescent="0.2">
      <c r="A311" s="229" t="s">
        <v>103</v>
      </c>
      <c r="B311" s="230"/>
      <c r="C311" s="230"/>
      <c r="D311" s="230"/>
      <c r="E311" s="246"/>
      <c r="F311" s="231">
        <f>SUM(F287:F310)</f>
        <v>848000</v>
      </c>
      <c r="G311" s="231">
        <f t="shared" ref="G311:P311" si="126">SUM(G287:G310)</f>
        <v>24337.600000000002</v>
      </c>
      <c r="H311" s="231">
        <f t="shared" si="126"/>
        <v>25779.199999999997</v>
      </c>
      <c r="I311" s="231">
        <f t="shared" si="126"/>
        <v>5759.34</v>
      </c>
      <c r="J311" s="231">
        <f t="shared" si="126"/>
        <v>55876.14</v>
      </c>
      <c r="K311" s="231">
        <f t="shared" si="126"/>
        <v>792123.86</v>
      </c>
      <c r="L311" s="231">
        <f t="shared" si="126"/>
        <v>7133.6795416666655</v>
      </c>
      <c r="M311" s="231">
        <f t="shared" si="126"/>
        <v>0</v>
      </c>
      <c r="N311" s="231">
        <f t="shared" si="126"/>
        <v>37510.79</v>
      </c>
      <c r="O311" s="231">
        <f t="shared" si="126"/>
        <v>100520.60954166664</v>
      </c>
      <c r="P311" s="231">
        <f t="shared" si="126"/>
        <v>747479.39045833331</v>
      </c>
      <c r="Q311" s="329"/>
    </row>
    <row r="312" spans="1:18" s="149" customFormat="1" ht="35.1" customHeight="1" thickBot="1" x14ac:dyDescent="0.25">
      <c r="A312" s="147"/>
      <c r="B312" s="147"/>
      <c r="C312" s="147"/>
      <c r="D312" s="147"/>
      <c r="E312" s="147"/>
      <c r="F312" s="232"/>
      <c r="G312" s="232"/>
      <c r="H312" s="232"/>
      <c r="I312" s="232"/>
      <c r="J312" s="232"/>
      <c r="K312" s="232"/>
      <c r="L312" s="232"/>
      <c r="M312" s="232"/>
      <c r="N312" s="232"/>
      <c r="O312" s="232"/>
      <c r="P312" s="232"/>
    </row>
    <row r="313" spans="1:18" s="149" customFormat="1" ht="35.1" customHeight="1" thickBot="1" x14ac:dyDescent="0.25">
      <c r="A313" s="235" t="s">
        <v>364</v>
      </c>
      <c r="B313" s="236"/>
      <c r="C313" s="236"/>
      <c r="D313" s="236"/>
      <c r="E313" s="236"/>
      <c r="F313" s="236"/>
      <c r="G313" s="236"/>
      <c r="H313" s="236"/>
      <c r="I313" s="236"/>
      <c r="J313" s="236"/>
      <c r="K313" s="236"/>
      <c r="L313" s="236"/>
      <c r="M313" s="236"/>
      <c r="N313" s="236"/>
      <c r="O313" s="236"/>
      <c r="P313" s="236"/>
    </row>
    <row r="314" spans="1:18" s="149" customFormat="1" ht="35.1" customHeight="1" x14ac:dyDescent="0.2">
      <c r="A314" s="241">
        <f>+A310+1</f>
        <v>172</v>
      </c>
      <c r="B314" s="72" t="s">
        <v>330</v>
      </c>
      <c r="C314" s="73" t="s">
        <v>346</v>
      </c>
      <c r="D314" s="88" t="s">
        <v>193</v>
      </c>
      <c r="E314" s="244" t="s">
        <v>101</v>
      </c>
      <c r="F314" s="68">
        <v>95000</v>
      </c>
      <c r="G314" s="68">
        <f t="shared" ref="G314" si="127">F314*2.87%</f>
        <v>2726.5</v>
      </c>
      <c r="H314" s="68">
        <f t="shared" ref="H314" si="128">+F314*3.04%</f>
        <v>2888</v>
      </c>
      <c r="I314" s="222">
        <f>1919.78*2</f>
        <v>3839.56</v>
      </c>
      <c r="J314" s="69">
        <f>+G314+H314+I314</f>
        <v>9454.06</v>
      </c>
      <c r="K314" s="69">
        <f>+F314-J314</f>
        <v>85545.94</v>
      </c>
      <c r="L314" s="69">
        <f t="shared" ref="L314" si="129">+IF(K314*12&lt;=416220.01,0,IF(K314*12&lt;=624329.01,(((K314*12-416220.01)*0.15)/12),IF((K314*12&lt;=867123.01),(31216+0.2*(K314*12-624329.01))/12,((79776+0.25*(K314*12-867123.01))/12))))-M314</f>
        <v>9969.4222916666677</v>
      </c>
      <c r="M314" s="69"/>
      <c r="N314" s="69">
        <v>2090.29</v>
      </c>
      <c r="O314" s="221">
        <f>+N314+I314+H314+G314+L314</f>
        <v>21513.772291666668</v>
      </c>
      <c r="P314" s="240">
        <f>+F314-O314</f>
        <v>73486.227708333332</v>
      </c>
    </row>
    <row r="315" spans="1:18" s="149" customFormat="1" ht="35.1" customHeight="1" x14ac:dyDescent="0.2">
      <c r="A315" s="229" t="s">
        <v>103</v>
      </c>
      <c r="B315" s="230"/>
      <c r="C315" s="230"/>
      <c r="D315" s="230"/>
      <c r="E315" s="246"/>
      <c r="F315" s="231">
        <f t="shared" ref="F315:L315" si="130">SUM(F314:F314)</f>
        <v>95000</v>
      </c>
      <c r="G315" s="231">
        <f t="shared" si="130"/>
        <v>2726.5</v>
      </c>
      <c r="H315" s="231">
        <f t="shared" si="130"/>
        <v>2888</v>
      </c>
      <c r="I315" s="231">
        <f t="shared" si="130"/>
        <v>3839.56</v>
      </c>
      <c r="J315" s="231">
        <f t="shared" si="130"/>
        <v>9454.06</v>
      </c>
      <c r="K315" s="231">
        <f t="shared" si="130"/>
        <v>85545.94</v>
      </c>
      <c r="L315" s="231">
        <f t="shared" si="130"/>
        <v>9969.4222916666677</v>
      </c>
      <c r="M315" s="231"/>
      <c r="N315" s="231">
        <f>SUM(N314:N314)</f>
        <v>2090.29</v>
      </c>
      <c r="O315" s="231">
        <f>SUM(O314:O314)</f>
        <v>21513.772291666668</v>
      </c>
      <c r="P315" s="231">
        <f>SUM(P314:P314)</f>
        <v>73486.227708333332</v>
      </c>
      <c r="Q315" s="329"/>
    </row>
    <row r="316" spans="1:18" s="225" customFormat="1" ht="35.1" customHeight="1" thickBot="1" x14ac:dyDescent="0.25">
      <c r="A316" s="147"/>
      <c r="B316" s="147"/>
      <c r="C316" s="147"/>
      <c r="D316" s="147"/>
      <c r="E316" s="147"/>
      <c r="F316" s="224"/>
      <c r="G316" s="224"/>
      <c r="H316" s="224"/>
      <c r="I316" s="224"/>
      <c r="J316" s="224"/>
      <c r="K316" s="224"/>
      <c r="L316" s="224"/>
      <c r="M316" s="224"/>
      <c r="N316" s="224"/>
      <c r="O316" s="224"/>
      <c r="P316" s="224"/>
    </row>
    <row r="317" spans="1:18" s="225" customFormat="1" ht="35.1" customHeight="1" thickBot="1" x14ac:dyDescent="0.25">
      <c r="A317" s="235" t="s">
        <v>177</v>
      </c>
      <c r="B317" s="236"/>
      <c r="C317" s="236"/>
      <c r="D317" s="236"/>
      <c r="E317" s="236"/>
      <c r="F317" s="236"/>
      <c r="G317" s="236"/>
      <c r="H317" s="236"/>
      <c r="I317" s="236"/>
      <c r="J317" s="236"/>
      <c r="K317" s="236"/>
      <c r="L317" s="236"/>
      <c r="M317" s="236"/>
      <c r="N317" s="236"/>
      <c r="O317" s="236"/>
      <c r="P317" s="236"/>
    </row>
    <row r="318" spans="1:18" s="225" customFormat="1" ht="35.1" customHeight="1" x14ac:dyDescent="0.2">
      <c r="A318" s="73">
        <f>+A314+1</f>
        <v>173</v>
      </c>
      <c r="B318" s="72" t="s">
        <v>62</v>
      </c>
      <c r="C318" s="73" t="s">
        <v>346</v>
      </c>
      <c r="D318" s="88" t="s">
        <v>590</v>
      </c>
      <c r="E318" s="72" t="s">
        <v>100</v>
      </c>
      <c r="F318" s="222">
        <v>110000</v>
      </c>
      <c r="G318" s="222">
        <f>F318*2.87%</f>
        <v>3157</v>
      </c>
      <c r="H318" s="68">
        <f>+F318*3.04%</f>
        <v>3344</v>
      </c>
      <c r="I318" s="68"/>
      <c r="J318" s="69">
        <f>+G318+H318+I318</f>
        <v>6501</v>
      </c>
      <c r="K318" s="69">
        <f>+F318-J318</f>
        <v>103499</v>
      </c>
      <c r="L318" s="69">
        <f t="shared" ref="L318:L319" si="131">+IF(K318*12&lt;=416220.01,0,IF(K318*12&lt;=624329.01,(((K318*12-416220.01)*0.15)/12),IF((K318*12&lt;=867123.01),(31216+0.2*(K318*12-624329.01))/12,((79776+0.25*(K318*12-867123.01))/12))))-M318</f>
        <v>14457.687291666667</v>
      </c>
      <c r="M318" s="69"/>
      <c r="N318" s="69">
        <v>25</v>
      </c>
      <c r="O318" s="221">
        <f>+N318+I318+H318+G318+L318</f>
        <v>20983.687291666669</v>
      </c>
      <c r="P318" s="240">
        <f>+F318-O318</f>
        <v>89016.312708333338</v>
      </c>
    </row>
    <row r="319" spans="1:18" s="225" customFormat="1" ht="35.1" customHeight="1" x14ac:dyDescent="0.2">
      <c r="A319" s="73">
        <f>+A318+1</f>
        <v>174</v>
      </c>
      <c r="B319" s="72" t="s">
        <v>286</v>
      </c>
      <c r="C319" s="73" t="s">
        <v>345</v>
      </c>
      <c r="D319" s="72" t="s">
        <v>14</v>
      </c>
      <c r="E319" s="72" t="s">
        <v>101</v>
      </c>
      <c r="F319" s="222">
        <v>40000</v>
      </c>
      <c r="G319" s="222">
        <f>F319*2.87%</f>
        <v>1148</v>
      </c>
      <c r="H319" s="68">
        <f>+F319*3.04%</f>
        <v>1216</v>
      </c>
      <c r="I319" s="68">
        <v>1919.78</v>
      </c>
      <c r="J319" s="69">
        <f>+G319+H319+I319</f>
        <v>4283.78</v>
      </c>
      <c r="K319" s="69">
        <f>+F319-J319</f>
        <v>35716.22</v>
      </c>
      <c r="L319" s="69">
        <f t="shared" si="131"/>
        <v>154.68287500000005</v>
      </c>
      <c r="M319" s="69"/>
      <c r="N319" s="221">
        <v>13268.93</v>
      </c>
      <c r="O319" s="221">
        <f>+N319+I319+H319+G319+L319</f>
        <v>17707.392874999998</v>
      </c>
      <c r="P319" s="240">
        <f>+F319-O319</f>
        <v>22292.607125000002</v>
      </c>
    </row>
    <row r="320" spans="1:18" s="225" customFormat="1" ht="35.1" customHeight="1" x14ac:dyDescent="0.2">
      <c r="A320" s="229" t="s">
        <v>103</v>
      </c>
      <c r="B320" s="230"/>
      <c r="C320" s="230"/>
      <c r="D320" s="230"/>
      <c r="E320" s="246"/>
      <c r="F320" s="231">
        <f>SUM(F318:F319)</f>
        <v>150000</v>
      </c>
      <c r="G320" s="231">
        <f t="shared" ref="G320:P320" si="132">SUM(G318:G319)</f>
        <v>4305</v>
      </c>
      <c r="H320" s="231">
        <f t="shared" si="132"/>
        <v>4560</v>
      </c>
      <c r="I320" s="231">
        <f t="shared" si="132"/>
        <v>1919.78</v>
      </c>
      <c r="J320" s="231">
        <f t="shared" si="132"/>
        <v>10784.779999999999</v>
      </c>
      <c r="K320" s="231">
        <f t="shared" si="132"/>
        <v>139215.22</v>
      </c>
      <c r="L320" s="231">
        <f t="shared" si="132"/>
        <v>14612.370166666668</v>
      </c>
      <c r="M320" s="231">
        <f t="shared" si="132"/>
        <v>0</v>
      </c>
      <c r="N320" s="231">
        <f t="shared" si="132"/>
        <v>13293.93</v>
      </c>
      <c r="O320" s="231">
        <f t="shared" si="132"/>
        <v>38691.080166666667</v>
      </c>
      <c r="P320" s="231">
        <f t="shared" si="132"/>
        <v>111308.91983333335</v>
      </c>
      <c r="Q320" s="329"/>
    </row>
    <row r="321" spans="1:17" s="225" customFormat="1" ht="35.1" customHeight="1" thickBot="1" x14ac:dyDescent="0.25">
      <c r="A321" s="147"/>
      <c r="B321" s="147"/>
      <c r="C321" s="147"/>
      <c r="D321" s="147"/>
      <c r="E321" s="147"/>
      <c r="F321" s="232"/>
      <c r="G321" s="232"/>
      <c r="H321" s="232"/>
      <c r="I321" s="232"/>
      <c r="J321" s="232"/>
      <c r="K321" s="232"/>
      <c r="L321" s="232"/>
      <c r="M321" s="232"/>
      <c r="N321" s="232"/>
      <c r="O321" s="232"/>
      <c r="P321" s="232"/>
    </row>
    <row r="322" spans="1:17" s="225" customFormat="1" ht="35.1" customHeight="1" thickBot="1" x14ac:dyDescent="0.25">
      <c r="A322" s="235" t="s">
        <v>178</v>
      </c>
      <c r="B322" s="236"/>
      <c r="C322" s="236"/>
      <c r="D322" s="236"/>
      <c r="E322" s="236"/>
      <c r="F322" s="236"/>
      <c r="G322" s="236"/>
      <c r="H322" s="236"/>
      <c r="I322" s="236"/>
      <c r="J322" s="236"/>
      <c r="K322" s="236"/>
      <c r="L322" s="236"/>
      <c r="M322" s="236"/>
      <c r="N322" s="236"/>
      <c r="O322" s="236"/>
      <c r="P322" s="236"/>
    </row>
    <row r="323" spans="1:17" s="283" customFormat="1" ht="35.1" customHeight="1" x14ac:dyDescent="0.2">
      <c r="A323" s="241">
        <f>+A319+1</f>
        <v>175</v>
      </c>
      <c r="B323" s="72" t="s">
        <v>67</v>
      </c>
      <c r="C323" s="73" t="s">
        <v>345</v>
      </c>
      <c r="D323" s="72" t="s">
        <v>86</v>
      </c>
      <c r="E323" s="72" t="s">
        <v>100</v>
      </c>
      <c r="F323" s="222">
        <v>60000</v>
      </c>
      <c r="G323" s="68">
        <f>F323*2.87%</f>
        <v>1722</v>
      </c>
      <c r="H323" s="68">
        <f>+F323*3.04%</f>
        <v>1824</v>
      </c>
      <c r="I323" s="68">
        <v>1919.78</v>
      </c>
      <c r="J323" s="69">
        <f>+G323+H323+I323</f>
        <v>5465.78</v>
      </c>
      <c r="K323" s="69">
        <f>+F323-J323</f>
        <v>54534.22</v>
      </c>
      <c r="L323" s="69">
        <f t="shared" ref="L323" si="133">+IF(K323*12&lt;=416220.01,0,IF(K323*12&lt;=624329.01,(((K323*12-416220.01)*0.15)/12),IF((K323*12&lt;=867123.01),(31216+0.2*(K323*12-624329.01))/12,((79776+0.25*(K323*12-867123.01))/12))))-M323</f>
        <v>3102.6938333333333</v>
      </c>
      <c r="M323" s="69"/>
      <c r="N323" s="221">
        <v>5090.29</v>
      </c>
      <c r="O323" s="221">
        <f>+N323+I323+H323+G323+L323</f>
        <v>13658.763833333333</v>
      </c>
      <c r="P323" s="240">
        <f>+F323-O323</f>
        <v>46341.236166666669</v>
      </c>
    </row>
    <row r="324" spans="1:17" s="225" customFormat="1" ht="35.1" customHeight="1" x14ac:dyDescent="0.2">
      <c r="A324" s="229" t="s">
        <v>103</v>
      </c>
      <c r="B324" s="230"/>
      <c r="C324" s="230"/>
      <c r="D324" s="230"/>
      <c r="E324" s="246"/>
      <c r="F324" s="231">
        <f>SUM(F323:F323)</f>
        <v>60000</v>
      </c>
      <c r="G324" s="231">
        <f t="shared" ref="G324:P324" si="134">SUM(G323:G323)</f>
        <v>1722</v>
      </c>
      <c r="H324" s="231">
        <f t="shared" si="134"/>
        <v>1824</v>
      </c>
      <c r="I324" s="231">
        <f t="shared" si="134"/>
        <v>1919.78</v>
      </c>
      <c r="J324" s="231">
        <f t="shared" si="134"/>
        <v>5465.78</v>
      </c>
      <c r="K324" s="231">
        <f t="shared" si="134"/>
        <v>54534.22</v>
      </c>
      <c r="L324" s="231">
        <f t="shared" si="134"/>
        <v>3102.6938333333333</v>
      </c>
      <c r="M324" s="231"/>
      <c r="N324" s="231">
        <f t="shared" si="134"/>
        <v>5090.29</v>
      </c>
      <c r="O324" s="231">
        <f t="shared" si="134"/>
        <v>13658.763833333333</v>
      </c>
      <c r="P324" s="231">
        <f t="shared" si="134"/>
        <v>46341.236166666669</v>
      </c>
      <c r="Q324" s="329"/>
    </row>
    <row r="325" spans="1:17" s="224" customFormat="1" ht="35.1" customHeight="1" thickBot="1" x14ac:dyDescent="0.25">
      <c r="A325" s="147"/>
      <c r="B325" s="147"/>
      <c r="C325" s="147"/>
      <c r="D325" s="147"/>
      <c r="E325" s="147"/>
      <c r="F325" s="232"/>
      <c r="G325" s="232"/>
      <c r="H325" s="232"/>
      <c r="I325" s="232"/>
      <c r="J325" s="232"/>
      <c r="K325" s="232"/>
      <c r="L325" s="232"/>
      <c r="M325" s="232"/>
      <c r="N325" s="232"/>
      <c r="O325" s="232"/>
      <c r="P325" s="232"/>
    </row>
    <row r="326" spans="1:17" s="225" customFormat="1" ht="35.1" customHeight="1" thickBot="1" x14ac:dyDescent="0.25">
      <c r="A326" s="235" t="s">
        <v>287</v>
      </c>
      <c r="B326" s="236"/>
      <c r="C326" s="236"/>
      <c r="D326" s="236"/>
      <c r="E326" s="236"/>
      <c r="F326" s="236"/>
      <c r="G326" s="236"/>
      <c r="H326" s="236"/>
      <c r="I326" s="236"/>
      <c r="J326" s="236"/>
      <c r="K326" s="236"/>
      <c r="L326" s="236"/>
      <c r="M326" s="236"/>
      <c r="N326" s="236"/>
      <c r="O326" s="236"/>
      <c r="P326" s="236"/>
    </row>
    <row r="327" spans="1:17" s="224" customFormat="1" ht="35.1" customHeight="1" x14ac:dyDescent="0.2">
      <c r="A327" s="241">
        <f>+A323+1</f>
        <v>176</v>
      </c>
      <c r="B327" s="244" t="s">
        <v>289</v>
      </c>
      <c r="C327" s="241" t="s">
        <v>345</v>
      </c>
      <c r="D327" s="244" t="s">
        <v>288</v>
      </c>
      <c r="E327" s="244" t="s">
        <v>196</v>
      </c>
      <c r="F327" s="68">
        <v>45000</v>
      </c>
      <c r="G327" s="68">
        <f t="shared" ref="G327" si="135">F327*2.87%</f>
        <v>1291.5</v>
      </c>
      <c r="H327" s="68">
        <f t="shared" ref="H327" si="136">+F327*3.04%</f>
        <v>1368</v>
      </c>
      <c r="I327" s="68"/>
      <c r="J327" s="69">
        <f>+G327+H327+I327</f>
        <v>2659.5</v>
      </c>
      <c r="K327" s="69">
        <f>+F327-J327</f>
        <v>42340.5</v>
      </c>
      <c r="L327" s="69">
        <f>+IF(K327*12&lt;=416220.01,0,IF(K327*12&lt;=624329.01,(((K327*12-416220.01)*0.15)/12),IF((K327*12&lt;=867123.01),(31216+0.2*(K327*12-624329.01))/12,((79776+0.25*(K327*12-867123.01))/12))))-M327</f>
        <v>1148.3248749999998</v>
      </c>
      <c r="M327" s="69"/>
      <c r="N327" s="227">
        <v>1290.29</v>
      </c>
      <c r="O327" s="221">
        <f>+N327+I327+H327+G327+L327</f>
        <v>5098.1148749999993</v>
      </c>
      <c r="P327" s="240">
        <f>+F327-O327</f>
        <v>39901.885125000001</v>
      </c>
    </row>
    <row r="328" spans="1:17" s="283" customFormat="1" ht="35.1" customHeight="1" x14ac:dyDescent="0.2">
      <c r="A328" s="241">
        <f>+A327+1</f>
        <v>177</v>
      </c>
      <c r="B328" s="244" t="s">
        <v>348</v>
      </c>
      <c r="C328" s="241" t="s">
        <v>345</v>
      </c>
      <c r="D328" s="281" t="s">
        <v>288</v>
      </c>
      <c r="E328" s="244" t="s">
        <v>196</v>
      </c>
      <c r="F328" s="68">
        <v>35000</v>
      </c>
      <c r="G328" s="68">
        <f>F328*2.87%</f>
        <v>1004.5</v>
      </c>
      <c r="H328" s="68">
        <f>+F328*3.04%</f>
        <v>1064</v>
      </c>
      <c r="I328" s="68"/>
      <c r="J328" s="69">
        <f>+G328+H328+I328</f>
        <v>2068.5</v>
      </c>
      <c r="K328" s="69">
        <f t="shared" ref="K328:K329" si="137">+F328-J328</f>
        <v>32931.5</v>
      </c>
      <c r="L328" s="69">
        <f t="shared" ref="L328:L329" si="138">+IF(K328*12&lt;=416220.01,0,IF(K328*12&lt;=624329.01,(((K328*12-416220.01)*0.15)/12),IF((K328*12&lt;=867123.01),(31216+0.2*(K328*12-624329.01))/12,((79776+0.25*(K328*12-867123.01))/12))))-M328</f>
        <v>0</v>
      </c>
      <c r="M328" s="69"/>
      <c r="N328" s="227">
        <v>225</v>
      </c>
      <c r="O328" s="221">
        <f>+N328+I328+H328+G328+L328</f>
        <v>2293.5</v>
      </c>
      <c r="P328" s="84">
        <f>+F328-O328</f>
        <v>32706.5</v>
      </c>
    </row>
    <row r="329" spans="1:17" s="225" customFormat="1" ht="35.1" customHeight="1" x14ac:dyDescent="0.2">
      <c r="A329" s="241">
        <f>+A328+1</f>
        <v>178</v>
      </c>
      <c r="B329" s="244" t="s">
        <v>522</v>
      </c>
      <c r="C329" s="241" t="s">
        <v>345</v>
      </c>
      <c r="D329" s="244" t="s">
        <v>288</v>
      </c>
      <c r="E329" s="244" t="s">
        <v>196</v>
      </c>
      <c r="F329" s="68">
        <v>38000</v>
      </c>
      <c r="G329" s="68">
        <f t="shared" ref="G329" si="139">F329*2.87%</f>
        <v>1090.5999999999999</v>
      </c>
      <c r="H329" s="68">
        <f t="shared" ref="H329" si="140">+F329*3.04%</f>
        <v>1155.2</v>
      </c>
      <c r="I329" s="68"/>
      <c r="J329" s="69">
        <f>+G329+H329+I329</f>
        <v>2245.8000000000002</v>
      </c>
      <c r="K329" s="69">
        <f t="shared" si="137"/>
        <v>35754.199999999997</v>
      </c>
      <c r="L329" s="69">
        <f t="shared" si="138"/>
        <v>160.37987499999943</v>
      </c>
      <c r="M329" s="69"/>
      <c r="N329" s="227">
        <v>225</v>
      </c>
      <c r="O329" s="221">
        <f>+N329+I329+H329+G329+L329</f>
        <v>2631.1798749999998</v>
      </c>
      <c r="P329" s="240">
        <f>+F329-O329</f>
        <v>35368.820124999998</v>
      </c>
    </row>
    <row r="330" spans="1:17" s="225" customFormat="1" ht="35.1" customHeight="1" x14ac:dyDescent="0.2">
      <c r="A330" s="229" t="s">
        <v>103</v>
      </c>
      <c r="B330" s="230"/>
      <c r="C330" s="230"/>
      <c r="D330" s="230"/>
      <c r="E330" s="246"/>
      <c r="F330" s="231">
        <f t="shared" ref="F330:P330" si="141">SUM(F327:F329)</f>
        <v>118000</v>
      </c>
      <c r="G330" s="231">
        <f t="shared" si="141"/>
        <v>3386.6</v>
      </c>
      <c r="H330" s="231">
        <f t="shared" si="141"/>
        <v>3587.2</v>
      </c>
      <c r="I330" s="231">
        <f t="shared" si="141"/>
        <v>0</v>
      </c>
      <c r="J330" s="231">
        <f t="shared" si="141"/>
        <v>6973.8</v>
      </c>
      <c r="K330" s="231">
        <f t="shared" si="141"/>
        <v>111026.2</v>
      </c>
      <c r="L330" s="231">
        <f t="shared" si="141"/>
        <v>1308.7047499999992</v>
      </c>
      <c r="M330" s="231">
        <f t="shared" si="141"/>
        <v>0</v>
      </c>
      <c r="N330" s="231">
        <f t="shared" si="141"/>
        <v>1740.29</v>
      </c>
      <c r="O330" s="231">
        <f t="shared" si="141"/>
        <v>10022.794749999999</v>
      </c>
      <c r="P330" s="231">
        <f t="shared" si="141"/>
        <v>107977.20525</v>
      </c>
      <c r="Q330" s="329"/>
    </row>
    <row r="331" spans="1:17" s="150" customFormat="1" ht="35.1" customHeight="1" x14ac:dyDescent="0.2">
      <c r="A331" s="147"/>
      <c r="B331" s="147"/>
      <c r="C331" s="147"/>
      <c r="D331" s="147"/>
      <c r="E331" s="147"/>
      <c r="F331" s="232"/>
      <c r="G331" s="232"/>
      <c r="H331" s="232"/>
      <c r="I331" s="232"/>
      <c r="J331" s="232"/>
      <c r="K331" s="232"/>
      <c r="L331" s="232"/>
      <c r="M331" s="232"/>
      <c r="N331" s="232"/>
      <c r="O331" s="232"/>
      <c r="P331" s="232"/>
    </row>
    <row r="332" spans="1:17" s="225" customFormat="1" ht="35.1" customHeight="1" thickBot="1" x14ac:dyDescent="0.25">
      <c r="A332" s="147"/>
      <c r="B332" s="147"/>
      <c r="C332" s="147"/>
      <c r="D332" s="147"/>
      <c r="E332" s="147"/>
      <c r="F332" s="232"/>
      <c r="G332" s="232"/>
      <c r="H332" s="232"/>
      <c r="I332" s="232"/>
      <c r="J332" s="232"/>
      <c r="K332" s="232"/>
      <c r="L332" s="232"/>
      <c r="M332" s="232"/>
      <c r="N332" s="232"/>
      <c r="O332" s="232"/>
      <c r="P332" s="232"/>
    </row>
    <row r="333" spans="1:17" s="150" customFormat="1" ht="35.1" customHeight="1" thickBot="1" x14ac:dyDescent="0.25">
      <c r="A333" s="235" t="s">
        <v>151</v>
      </c>
      <c r="B333" s="236"/>
      <c r="C333" s="236"/>
      <c r="D333" s="236"/>
      <c r="E333" s="236"/>
      <c r="F333" s="236"/>
      <c r="G333" s="236"/>
      <c r="H333" s="236"/>
      <c r="I333" s="236"/>
      <c r="J333" s="236"/>
      <c r="K333" s="236"/>
      <c r="L333" s="236"/>
      <c r="M333" s="236"/>
      <c r="N333" s="236"/>
      <c r="O333" s="236"/>
      <c r="P333" s="236"/>
    </row>
    <row r="334" spans="1:17" s="150" customFormat="1" ht="35.1" customHeight="1" x14ac:dyDescent="0.2">
      <c r="A334" s="219">
        <f>+A329+1</f>
        <v>179</v>
      </c>
      <c r="B334" s="220" t="s">
        <v>33</v>
      </c>
      <c r="C334" s="219" t="s">
        <v>346</v>
      </c>
      <c r="D334" s="228" t="s">
        <v>199</v>
      </c>
      <c r="E334" s="72" t="s">
        <v>101</v>
      </c>
      <c r="F334" s="221">
        <v>80000</v>
      </c>
      <c r="G334" s="221">
        <f>F334*2.87%</f>
        <v>2296</v>
      </c>
      <c r="H334" s="221">
        <f>+F334*3.04%</f>
        <v>2432</v>
      </c>
      <c r="I334" s="221"/>
      <c r="J334" s="221">
        <f>+G334+H334+I334</f>
        <v>4728</v>
      </c>
      <c r="K334" s="221">
        <f>+F334-J334</f>
        <v>75272</v>
      </c>
      <c r="L334" s="69">
        <f t="shared" ref="L334:L348" si="142">+IF(K334*12&lt;=416220.01,0,IF(K334*12&lt;=624329.01,(((K334*12-416220.01)*0.15)/12),IF((K334*12&lt;=867123.01),(31216+0.2*(K334*12-624329.01))/12,((79776+0.25*(K334*12-867123.01))/12))))</f>
        <v>7400.9372916666662</v>
      </c>
      <c r="M334" s="221"/>
      <c r="N334" s="227">
        <v>4911.82</v>
      </c>
      <c r="O334" s="221">
        <f t="shared" ref="O334:O348" si="143">+N334+I334+H334+G334+L334</f>
        <v>17040.757291666665</v>
      </c>
      <c r="P334" s="227">
        <f t="shared" ref="P334:P348" si="144">+F334-O334</f>
        <v>62959.242708333331</v>
      </c>
    </row>
    <row r="335" spans="1:17" s="150" customFormat="1" ht="35.1" customHeight="1" x14ac:dyDescent="0.2">
      <c r="A335" s="219">
        <f>+A334+1</f>
        <v>180</v>
      </c>
      <c r="B335" s="220" t="s">
        <v>290</v>
      </c>
      <c r="C335" s="219" t="s">
        <v>346</v>
      </c>
      <c r="D335" s="228" t="s">
        <v>89</v>
      </c>
      <c r="E335" s="72" t="s">
        <v>101</v>
      </c>
      <c r="F335" s="221">
        <v>80000</v>
      </c>
      <c r="G335" s="221">
        <f>F335*2.87%</f>
        <v>2296</v>
      </c>
      <c r="H335" s="221">
        <f t="shared" ref="H335:H339" si="145">+F335*3.04%</f>
        <v>2432</v>
      </c>
      <c r="I335" s="221">
        <v>1919.78</v>
      </c>
      <c r="J335" s="221">
        <f>+G335+H335+I335</f>
        <v>6647.78</v>
      </c>
      <c r="K335" s="221">
        <f t="shared" ref="K335:K347" si="146">+F335-J335</f>
        <v>73352.22</v>
      </c>
      <c r="L335" s="69">
        <f t="shared" si="142"/>
        <v>6920.9922916666665</v>
      </c>
      <c r="M335" s="221"/>
      <c r="N335" s="227">
        <v>9388.7099999999991</v>
      </c>
      <c r="O335" s="221">
        <f t="shared" si="143"/>
        <v>22957.482291666667</v>
      </c>
      <c r="P335" s="227">
        <f t="shared" si="144"/>
        <v>57042.517708333333</v>
      </c>
    </row>
    <row r="336" spans="1:17" s="150" customFormat="1" ht="35.1" customHeight="1" x14ac:dyDescent="0.2">
      <c r="A336" s="219">
        <f>+A335+1</f>
        <v>181</v>
      </c>
      <c r="B336" s="220" t="s">
        <v>5</v>
      </c>
      <c r="C336" s="219" t="s">
        <v>346</v>
      </c>
      <c r="D336" s="228" t="s">
        <v>293</v>
      </c>
      <c r="E336" s="72" t="s">
        <v>101</v>
      </c>
      <c r="F336" s="221">
        <v>47500</v>
      </c>
      <c r="G336" s="221">
        <f t="shared" ref="G336:G339" si="147">F336*2.87%</f>
        <v>1363.25</v>
      </c>
      <c r="H336" s="221">
        <f t="shared" si="145"/>
        <v>1444</v>
      </c>
      <c r="I336" s="221">
        <v>1919.78</v>
      </c>
      <c r="J336" s="221">
        <f t="shared" ref="J336:J339" si="148">+G336+H336+I336</f>
        <v>4727.03</v>
      </c>
      <c r="K336" s="221">
        <f t="shared" si="146"/>
        <v>42772.97</v>
      </c>
      <c r="L336" s="69">
        <f t="shared" si="142"/>
        <v>1213.195375</v>
      </c>
      <c r="M336" s="221"/>
      <c r="N336" s="227">
        <v>225</v>
      </c>
      <c r="O336" s="221">
        <f t="shared" si="143"/>
        <v>6165.225375</v>
      </c>
      <c r="P336" s="227">
        <f t="shared" si="144"/>
        <v>41334.774624999998</v>
      </c>
    </row>
    <row r="337" spans="1:17" s="150" customFormat="1" ht="35.1" customHeight="1" x14ac:dyDescent="0.2">
      <c r="A337" s="219">
        <f t="shared" ref="A337:A341" si="149">+A336+1</f>
        <v>182</v>
      </c>
      <c r="B337" s="220" t="s">
        <v>32</v>
      </c>
      <c r="C337" s="219" t="s">
        <v>346</v>
      </c>
      <c r="D337" s="228" t="s">
        <v>293</v>
      </c>
      <c r="E337" s="72" t="s">
        <v>101</v>
      </c>
      <c r="F337" s="221">
        <v>47500</v>
      </c>
      <c r="G337" s="221">
        <f t="shared" si="147"/>
        <v>1363.25</v>
      </c>
      <c r="H337" s="221">
        <f t="shared" si="145"/>
        <v>1444</v>
      </c>
      <c r="I337" s="221">
        <v>1919.78</v>
      </c>
      <c r="J337" s="221">
        <f t="shared" si="148"/>
        <v>4727.03</v>
      </c>
      <c r="K337" s="221">
        <f t="shared" si="146"/>
        <v>42772.97</v>
      </c>
      <c r="L337" s="69">
        <f t="shared" si="142"/>
        <v>1213.195375</v>
      </c>
      <c r="M337" s="221"/>
      <c r="N337" s="227">
        <v>1790.29</v>
      </c>
      <c r="O337" s="221">
        <f t="shared" si="143"/>
        <v>7730.5153749999999</v>
      </c>
      <c r="P337" s="227">
        <f t="shared" si="144"/>
        <v>39769.484624999997</v>
      </c>
    </row>
    <row r="338" spans="1:17" s="149" customFormat="1" ht="35.1" customHeight="1" x14ac:dyDescent="0.2">
      <c r="A338" s="219">
        <f t="shared" si="149"/>
        <v>183</v>
      </c>
      <c r="B338" s="220" t="s">
        <v>298</v>
      </c>
      <c r="C338" s="219" t="s">
        <v>346</v>
      </c>
      <c r="D338" s="228" t="s">
        <v>292</v>
      </c>
      <c r="E338" s="72" t="s">
        <v>101</v>
      </c>
      <c r="F338" s="221">
        <v>47500</v>
      </c>
      <c r="G338" s="221">
        <f t="shared" si="147"/>
        <v>1363.25</v>
      </c>
      <c r="H338" s="221">
        <f t="shared" si="145"/>
        <v>1444</v>
      </c>
      <c r="I338" s="221">
        <v>1919.78</v>
      </c>
      <c r="J338" s="221">
        <f>+G338+H338+I338</f>
        <v>4727.03</v>
      </c>
      <c r="K338" s="221">
        <f t="shared" si="146"/>
        <v>42772.97</v>
      </c>
      <c r="L338" s="69">
        <f t="shared" si="142"/>
        <v>1213.195375</v>
      </c>
      <c r="M338" s="221"/>
      <c r="N338" s="227">
        <v>4758.24</v>
      </c>
      <c r="O338" s="221">
        <f t="shared" si="143"/>
        <v>10698.465375</v>
      </c>
      <c r="P338" s="227">
        <f t="shared" si="144"/>
        <v>36801.534625</v>
      </c>
    </row>
    <row r="339" spans="1:17" s="225" customFormat="1" ht="35.1" customHeight="1" x14ac:dyDescent="0.2">
      <c r="A339" s="219">
        <f t="shared" si="149"/>
        <v>184</v>
      </c>
      <c r="B339" s="220" t="s">
        <v>294</v>
      </c>
      <c r="C339" s="219" t="s">
        <v>345</v>
      </c>
      <c r="D339" s="228" t="s">
        <v>292</v>
      </c>
      <c r="E339" s="72" t="s">
        <v>101</v>
      </c>
      <c r="F339" s="221">
        <v>47500</v>
      </c>
      <c r="G339" s="221">
        <f t="shared" si="147"/>
        <v>1363.25</v>
      </c>
      <c r="H339" s="221">
        <f t="shared" si="145"/>
        <v>1444</v>
      </c>
      <c r="I339" s="221"/>
      <c r="J339" s="221">
        <f t="shared" si="148"/>
        <v>2807.25</v>
      </c>
      <c r="K339" s="221">
        <f t="shared" si="146"/>
        <v>44692.75</v>
      </c>
      <c r="L339" s="69">
        <f t="shared" si="142"/>
        <v>1501.1623749999999</v>
      </c>
      <c r="M339" s="221"/>
      <c r="N339" s="227">
        <v>11070.9</v>
      </c>
      <c r="O339" s="221">
        <f t="shared" si="143"/>
        <v>15379.312375</v>
      </c>
      <c r="P339" s="227">
        <f t="shared" si="144"/>
        <v>32120.687624999999</v>
      </c>
    </row>
    <row r="340" spans="1:17" s="225" customFormat="1" ht="35.1" customHeight="1" x14ac:dyDescent="0.2">
      <c r="A340" s="219">
        <f t="shared" si="149"/>
        <v>185</v>
      </c>
      <c r="B340" s="220" t="s">
        <v>296</v>
      </c>
      <c r="C340" s="219" t="s">
        <v>346</v>
      </c>
      <c r="D340" s="228" t="s">
        <v>292</v>
      </c>
      <c r="E340" s="72" t="s">
        <v>101</v>
      </c>
      <c r="F340" s="221">
        <v>47500</v>
      </c>
      <c r="G340" s="221">
        <f t="shared" ref="G340:G348" si="150">F340*2.87%</f>
        <v>1363.25</v>
      </c>
      <c r="H340" s="221">
        <f t="shared" ref="H340:H348" si="151">+F340*3.04%</f>
        <v>1444</v>
      </c>
      <c r="I340" s="221"/>
      <c r="J340" s="221">
        <f t="shared" ref="J340:J346" si="152">+G340+H340+I340</f>
        <v>2807.25</v>
      </c>
      <c r="K340" s="221">
        <f t="shared" si="146"/>
        <v>44692.75</v>
      </c>
      <c r="L340" s="69">
        <f t="shared" si="142"/>
        <v>1501.1623749999999</v>
      </c>
      <c r="M340" s="221"/>
      <c r="N340" s="227">
        <v>3698.95</v>
      </c>
      <c r="O340" s="221">
        <f t="shared" si="143"/>
        <v>8007.3623749999997</v>
      </c>
      <c r="P340" s="227">
        <f t="shared" si="144"/>
        <v>39492.637625000003</v>
      </c>
    </row>
    <row r="341" spans="1:17" s="225" customFormat="1" ht="35.1" customHeight="1" x14ac:dyDescent="0.2">
      <c r="A341" s="219">
        <f t="shared" si="149"/>
        <v>186</v>
      </c>
      <c r="B341" s="220" t="s">
        <v>31</v>
      </c>
      <c r="C341" s="219" t="s">
        <v>346</v>
      </c>
      <c r="D341" s="228" t="s">
        <v>292</v>
      </c>
      <c r="E341" s="72" t="s">
        <v>101</v>
      </c>
      <c r="F341" s="221">
        <v>47500</v>
      </c>
      <c r="G341" s="221">
        <f t="shared" si="150"/>
        <v>1363.25</v>
      </c>
      <c r="H341" s="221">
        <f t="shared" si="151"/>
        <v>1444</v>
      </c>
      <c r="I341" s="221">
        <v>1919.78</v>
      </c>
      <c r="J341" s="221">
        <f t="shared" si="152"/>
        <v>4727.03</v>
      </c>
      <c r="K341" s="221">
        <f t="shared" si="146"/>
        <v>42772.97</v>
      </c>
      <c r="L341" s="69">
        <f t="shared" si="142"/>
        <v>1213.195375</v>
      </c>
      <c r="M341" s="221"/>
      <c r="N341" s="227">
        <v>12798.78</v>
      </c>
      <c r="O341" s="221">
        <f t="shared" si="143"/>
        <v>18739.005375000001</v>
      </c>
      <c r="P341" s="227">
        <f t="shared" si="144"/>
        <v>28760.994624999999</v>
      </c>
    </row>
    <row r="342" spans="1:17" s="149" customFormat="1" ht="35.1" customHeight="1" x14ac:dyDescent="0.2">
      <c r="A342" s="219">
        <f>+A341+1</f>
        <v>187</v>
      </c>
      <c r="B342" s="220" t="s">
        <v>15</v>
      </c>
      <c r="C342" s="219" t="s">
        <v>346</v>
      </c>
      <c r="D342" s="228" t="s">
        <v>292</v>
      </c>
      <c r="E342" s="72" t="s">
        <v>100</v>
      </c>
      <c r="F342" s="221">
        <v>40000</v>
      </c>
      <c r="G342" s="221">
        <f>F342*2.87%</f>
        <v>1148</v>
      </c>
      <c r="H342" s="221">
        <f>+F342*3.04%</f>
        <v>1216</v>
      </c>
      <c r="I342" s="221">
        <v>1919.78</v>
      </c>
      <c r="J342" s="221">
        <f>+G342+H342+I342</f>
        <v>4283.78</v>
      </c>
      <c r="K342" s="221">
        <f>+F342-J342</f>
        <v>35716.22</v>
      </c>
      <c r="L342" s="69">
        <f t="shared" si="142"/>
        <v>154.68287500000005</v>
      </c>
      <c r="M342" s="221"/>
      <c r="N342" s="227">
        <v>19587.240000000002</v>
      </c>
      <c r="O342" s="221">
        <f t="shared" si="143"/>
        <v>24025.702874999999</v>
      </c>
      <c r="P342" s="227">
        <f t="shared" si="144"/>
        <v>15974.297125000001</v>
      </c>
    </row>
    <row r="343" spans="1:17" s="149" customFormat="1" ht="35.1" customHeight="1" x14ac:dyDescent="0.2">
      <c r="A343" s="219">
        <f>+A342+1</f>
        <v>188</v>
      </c>
      <c r="B343" s="220" t="s">
        <v>297</v>
      </c>
      <c r="C343" s="219" t="s">
        <v>346</v>
      </c>
      <c r="D343" s="228" t="s">
        <v>18</v>
      </c>
      <c r="E343" s="72" t="s">
        <v>101</v>
      </c>
      <c r="F343" s="221">
        <v>42500</v>
      </c>
      <c r="G343" s="221">
        <f>F343*2.87%</f>
        <v>1219.75</v>
      </c>
      <c r="H343" s="221">
        <f t="shared" ref="H343:H345" si="153">+F343*3.04%</f>
        <v>1292</v>
      </c>
      <c r="I343" s="221">
        <v>1919.78</v>
      </c>
      <c r="J343" s="221">
        <f>+G343+H343+I343</f>
        <v>4431.53</v>
      </c>
      <c r="K343" s="221">
        <f t="shared" si="146"/>
        <v>38068.47</v>
      </c>
      <c r="L343" s="69">
        <f t="shared" si="142"/>
        <v>507.52037500000006</v>
      </c>
      <c r="M343" s="221"/>
      <c r="N343" s="227">
        <v>345</v>
      </c>
      <c r="O343" s="221">
        <f t="shared" si="143"/>
        <v>5284.0503749999998</v>
      </c>
      <c r="P343" s="227">
        <f t="shared" si="144"/>
        <v>37215.949625000001</v>
      </c>
    </row>
    <row r="344" spans="1:17" s="225" customFormat="1" ht="35.1" customHeight="1" x14ac:dyDescent="0.2">
      <c r="A344" s="219">
        <f>+A343+1</f>
        <v>189</v>
      </c>
      <c r="B344" s="220" t="s">
        <v>300</v>
      </c>
      <c r="C344" s="219" t="s">
        <v>345</v>
      </c>
      <c r="D344" s="228" t="s">
        <v>80</v>
      </c>
      <c r="E344" s="72" t="s">
        <v>101</v>
      </c>
      <c r="F344" s="221">
        <v>38000</v>
      </c>
      <c r="G344" s="221">
        <f>F344*2.87%</f>
        <v>1090.5999999999999</v>
      </c>
      <c r="H344" s="221">
        <f t="shared" si="153"/>
        <v>1155.2</v>
      </c>
      <c r="I344" s="221"/>
      <c r="J344" s="221">
        <f>+G344+H344+I344</f>
        <v>2245.8000000000002</v>
      </c>
      <c r="K344" s="221">
        <f>+F344-J344</f>
        <v>35754.199999999997</v>
      </c>
      <c r="L344" s="69">
        <f t="shared" si="142"/>
        <v>160.37987499999943</v>
      </c>
      <c r="M344" s="221"/>
      <c r="N344" s="227">
        <v>6033.3</v>
      </c>
      <c r="O344" s="221">
        <f t="shared" si="143"/>
        <v>8439.4798749999991</v>
      </c>
      <c r="P344" s="227">
        <f t="shared" si="144"/>
        <v>29560.520125000003</v>
      </c>
    </row>
    <row r="345" spans="1:17" s="149" customFormat="1" ht="35.1" customHeight="1" x14ac:dyDescent="0.2">
      <c r="A345" s="219">
        <f>+A344+1</f>
        <v>190</v>
      </c>
      <c r="B345" s="220" t="s">
        <v>452</v>
      </c>
      <c r="C345" s="219" t="s">
        <v>345</v>
      </c>
      <c r="D345" s="228" t="s">
        <v>18</v>
      </c>
      <c r="E345" s="72" t="s">
        <v>101</v>
      </c>
      <c r="F345" s="221">
        <v>38000</v>
      </c>
      <c r="G345" s="221">
        <f t="shared" ref="G345" si="154">F345*2.87%</f>
        <v>1090.5999999999999</v>
      </c>
      <c r="H345" s="221">
        <f t="shared" si="153"/>
        <v>1155.2</v>
      </c>
      <c r="I345" s="221">
        <v>0</v>
      </c>
      <c r="J345" s="221">
        <f t="shared" ref="J345" si="155">+G345+H345+I345</f>
        <v>2245.8000000000002</v>
      </c>
      <c r="K345" s="221">
        <f t="shared" si="146"/>
        <v>35754.199999999997</v>
      </c>
      <c r="L345" s="69">
        <f t="shared" si="142"/>
        <v>160.37987499999943</v>
      </c>
      <c r="M345" s="221"/>
      <c r="N345" s="227">
        <v>25</v>
      </c>
      <c r="O345" s="221">
        <f t="shared" si="143"/>
        <v>2431.1798749999998</v>
      </c>
      <c r="P345" s="227">
        <f t="shared" si="144"/>
        <v>35568.820124999998</v>
      </c>
    </row>
    <row r="346" spans="1:17" s="225" customFormat="1" ht="35.1" customHeight="1" x14ac:dyDescent="0.2">
      <c r="A346" s="219">
        <f t="shared" ref="A346:A348" si="156">+A345+1</f>
        <v>191</v>
      </c>
      <c r="B346" s="220" t="s">
        <v>35</v>
      </c>
      <c r="C346" s="219" t="s">
        <v>346</v>
      </c>
      <c r="D346" s="228" t="s">
        <v>295</v>
      </c>
      <c r="E346" s="72" t="s">
        <v>101</v>
      </c>
      <c r="F346" s="221">
        <v>35000</v>
      </c>
      <c r="G346" s="221">
        <f t="shared" si="150"/>
        <v>1004.5</v>
      </c>
      <c r="H346" s="221">
        <f t="shared" si="151"/>
        <v>1064</v>
      </c>
      <c r="I346" s="221">
        <v>1919.78</v>
      </c>
      <c r="J346" s="221">
        <f t="shared" si="152"/>
        <v>3988.2799999999997</v>
      </c>
      <c r="K346" s="221">
        <f t="shared" si="146"/>
        <v>31011.72</v>
      </c>
      <c r="L346" s="69">
        <f t="shared" si="142"/>
        <v>0</v>
      </c>
      <c r="M346" s="221"/>
      <c r="N346" s="227">
        <v>1290.29</v>
      </c>
      <c r="O346" s="221">
        <f t="shared" si="143"/>
        <v>5278.57</v>
      </c>
      <c r="P346" s="227">
        <f t="shared" si="144"/>
        <v>29721.43</v>
      </c>
    </row>
    <row r="347" spans="1:17" s="225" customFormat="1" ht="35.1" customHeight="1" x14ac:dyDescent="0.2">
      <c r="A347" s="219">
        <f t="shared" si="156"/>
        <v>192</v>
      </c>
      <c r="B347" s="220" t="s">
        <v>299</v>
      </c>
      <c r="C347" s="219" t="s">
        <v>345</v>
      </c>
      <c r="D347" s="228" t="s">
        <v>80</v>
      </c>
      <c r="E347" s="72" t="s">
        <v>196</v>
      </c>
      <c r="F347" s="221">
        <v>28000</v>
      </c>
      <c r="G347" s="221">
        <f t="shared" si="150"/>
        <v>803.6</v>
      </c>
      <c r="H347" s="221">
        <f t="shared" si="151"/>
        <v>851.2</v>
      </c>
      <c r="I347" s="221"/>
      <c r="J347" s="221">
        <f t="shared" ref="J347:J348" si="157">+G347+H347+I347</f>
        <v>1654.8000000000002</v>
      </c>
      <c r="K347" s="221">
        <f t="shared" si="146"/>
        <v>26345.200000000001</v>
      </c>
      <c r="L347" s="69">
        <f t="shared" si="142"/>
        <v>0</v>
      </c>
      <c r="M347" s="221"/>
      <c r="N347" s="227">
        <v>3659.83</v>
      </c>
      <c r="O347" s="221">
        <f t="shared" si="143"/>
        <v>5314.63</v>
      </c>
      <c r="P347" s="227">
        <f t="shared" si="144"/>
        <v>22685.37</v>
      </c>
    </row>
    <row r="348" spans="1:17" s="149" customFormat="1" ht="35.1" customHeight="1" x14ac:dyDescent="0.2">
      <c r="A348" s="219">
        <f t="shared" si="156"/>
        <v>193</v>
      </c>
      <c r="B348" s="220" t="s">
        <v>460</v>
      </c>
      <c r="C348" s="219" t="s">
        <v>345</v>
      </c>
      <c r="D348" s="228" t="s">
        <v>171</v>
      </c>
      <c r="E348" s="72" t="s">
        <v>196</v>
      </c>
      <c r="F348" s="221">
        <v>24000</v>
      </c>
      <c r="G348" s="221">
        <f t="shared" si="150"/>
        <v>688.8</v>
      </c>
      <c r="H348" s="221">
        <f t="shared" si="151"/>
        <v>729.6</v>
      </c>
      <c r="I348" s="221"/>
      <c r="J348" s="221">
        <f t="shared" si="157"/>
        <v>1418.4</v>
      </c>
      <c r="K348" s="221">
        <f>+F348-J348</f>
        <v>22581.599999999999</v>
      </c>
      <c r="L348" s="69">
        <f t="shared" si="142"/>
        <v>0</v>
      </c>
      <c r="M348" s="221"/>
      <c r="N348" s="227">
        <v>3612.79</v>
      </c>
      <c r="O348" s="221">
        <f t="shared" si="143"/>
        <v>5031.1900000000005</v>
      </c>
      <c r="P348" s="227">
        <f t="shared" si="144"/>
        <v>18968.809999999998</v>
      </c>
    </row>
    <row r="349" spans="1:17" s="149" customFormat="1" ht="35.1" customHeight="1" x14ac:dyDescent="0.2">
      <c r="A349" s="229" t="s">
        <v>103</v>
      </c>
      <c r="B349" s="230"/>
      <c r="C349" s="230"/>
      <c r="D349" s="230"/>
      <c r="E349" s="246"/>
      <c r="F349" s="231">
        <f t="shared" ref="F349:P349" si="158">SUM(F334:F348)</f>
        <v>690500</v>
      </c>
      <c r="G349" s="231">
        <f t="shared" si="158"/>
        <v>19817.349999999999</v>
      </c>
      <c r="H349" s="231">
        <f t="shared" si="158"/>
        <v>20991.200000000001</v>
      </c>
      <c r="I349" s="231">
        <f t="shared" si="158"/>
        <v>15358.240000000002</v>
      </c>
      <c r="J349" s="231">
        <f t="shared" si="158"/>
        <v>56166.79</v>
      </c>
      <c r="K349" s="231">
        <f t="shared" si="158"/>
        <v>634333.20999999985</v>
      </c>
      <c r="L349" s="231">
        <f t="shared" si="158"/>
        <v>23159.998833333328</v>
      </c>
      <c r="M349" s="231">
        <f t="shared" si="158"/>
        <v>0</v>
      </c>
      <c r="N349" s="231">
        <f t="shared" si="158"/>
        <v>83196.139999999985</v>
      </c>
      <c r="O349" s="231">
        <f t="shared" si="158"/>
        <v>162522.92883333334</v>
      </c>
      <c r="P349" s="231">
        <f t="shared" si="158"/>
        <v>527977.07116666657</v>
      </c>
      <c r="Q349" s="329"/>
    </row>
    <row r="350" spans="1:17" s="149" customFormat="1" ht="35.1" customHeight="1" thickBot="1" x14ac:dyDescent="0.25">
      <c r="A350" s="233"/>
      <c r="B350" s="267"/>
      <c r="C350" s="268"/>
      <c r="D350" s="267"/>
      <c r="E350" s="267"/>
      <c r="F350" s="269"/>
      <c r="G350" s="269"/>
      <c r="H350" s="269"/>
      <c r="I350" s="269"/>
      <c r="J350" s="269"/>
      <c r="K350" s="269"/>
      <c r="L350" s="269"/>
      <c r="M350" s="269"/>
      <c r="N350" s="269"/>
      <c r="O350" s="269"/>
      <c r="P350" s="269"/>
    </row>
    <row r="351" spans="1:17" s="149" customFormat="1" ht="35.1" customHeight="1" thickBot="1" x14ac:dyDescent="0.25">
      <c r="A351" s="284"/>
      <c r="B351" s="285" t="s">
        <v>340</v>
      </c>
      <c r="C351" s="286"/>
      <c r="D351" s="287"/>
      <c r="E351" s="288"/>
      <c r="F351" s="289">
        <f>+F18+F26+F30+F34+F41+F48+F52+F56+F62+F68+F72+F79+F85+F91+F95+F103+F108+F115+F121+F128+F133+F140+F145+F153+F158+F162+F165+F173+F180+F184+F189+F194+F198+F202+F209+F213+F217+F223+F228+F232+F237+F242+F277+F285+F311+F315+F320+F324+F330+F349+F149</f>
        <v>13483792</v>
      </c>
      <c r="G351" s="289">
        <f t="shared" ref="G351:P351" si="159">+G18+G26+G30+G34+G41+G48+G52+G56+G62+G68+G72+G79+G85+G91+G95+G103+G108+G115+G121+G128+G133+G140+G145+G153+G158+G162+G165+G173+G180+G184+G189+G194+G198+G202+G209+G213+G217+G223+G228+G232+G237+G242+G277+G285+G311+G315+G320+G324+G330+G349+G149</f>
        <v>384688.83039999986</v>
      </c>
      <c r="H351" s="289">
        <f t="shared" si="159"/>
        <v>408645.5552</v>
      </c>
      <c r="I351" s="289">
        <f t="shared" si="159"/>
        <v>117106.57999999997</v>
      </c>
      <c r="J351" s="289">
        <f t="shared" si="159"/>
        <v>908008.96560000035</v>
      </c>
      <c r="K351" s="289">
        <f t="shared" si="159"/>
        <v>12495783.034400003</v>
      </c>
      <c r="L351" s="289">
        <f t="shared" si="159"/>
        <v>1259492.3841083334</v>
      </c>
      <c r="M351" s="289">
        <f t="shared" si="159"/>
        <v>0</v>
      </c>
      <c r="N351" s="289">
        <f t="shared" si="159"/>
        <v>880548.05000000016</v>
      </c>
      <c r="O351" s="289">
        <f t="shared" si="159"/>
        <v>3060178.3370000017</v>
      </c>
      <c r="P351" s="289">
        <f t="shared" si="159"/>
        <v>10423613.663000001</v>
      </c>
    </row>
    <row r="352" spans="1:17" s="149" customFormat="1" ht="35.1" customHeight="1" x14ac:dyDescent="0.2">
      <c r="A352" s="284"/>
      <c r="B352" s="294"/>
      <c r="C352" s="295"/>
      <c r="D352" s="294"/>
      <c r="E352" s="294"/>
      <c r="G352" s="150"/>
      <c r="H352" s="150"/>
      <c r="I352" s="150"/>
      <c r="J352" s="150"/>
      <c r="K352" s="290"/>
      <c r="L352" s="150"/>
      <c r="M352" s="150"/>
      <c r="N352" s="150"/>
      <c r="O352" s="150"/>
      <c r="P352" s="150"/>
    </row>
    <row r="353" spans="1:16" s="149" customFormat="1" ht="35.1" customHeight="1" x14ac:dyDescent="0.2">
      <c r="A353" s="209"/>
      <c r="B353" s="148"/>
      <c r="C353" s="209"/>
      <c r="D353" s="148"/>
      <c r="E353" s="148"/>
      <c r="G353" s="150"/>
      <c r="H353" s="150"/>
      <c r="I353" s="150"/>
      <c r="J353" s="150"/>
      <c r="K353" s="150"/>
      <c r="L353" s="150"/>
      <c r="M353" s="150"/>
      <c r="N353" s="150"/>
      <c r="O353" s="150"/>
      <c r="P353" s="290"/>
    </row>
    <row r="354" spans="1:16" s="149" customFormat="1" ht="35.1" customHeight="1" thickBot="1" x14ac:dyDescent="0.25">
      <c r="A354" s="209"/>
      <c r="B354" s="352" t="s">
        <v>90</v>
      </c>
      <c r="C354" s="352"/>
      <c r="D354" s="120"/>
      <c r="E354" s="352" t="s">
        <v>662</v>
      </c>
      <c r="F354" s="352"/>
      <c r="G354" s="150"/>
      <c r="H354" s="335"/>
      <c r="I354" s="290"/>
      <c r="J354" s="150"/>
      <c r="K354" s="297"/>
      <c r="L354" s="150"/>
      <c r="M354" s="150"/>
      <c r="N354" s="150"/>
      <c r="O354" s="150"/>
      <c r="P354" s="150"/>
    </row>
    <row r="355" spans="1:16" s="149" customFormat="1" ht="35.1" customHeight="1" x14ac:dyDescent="0.2">
      <c r="A355" s="209"/>
      <c r="B355" s="353" t="s">
        <v>552</v>
      </c>
      <c r="C355" s="353"/>
      <c r="D355" s="120"/>
      <c r="E355" s="353" t="s">
        <v>663</v>
      </c>
      <c r="F355" s="353"/>
      <c r="G355" s="150"/>
      <c r="H355" s="150"/>
      <c r="I355" s="150"/>
      <c r="J355" s="150"/>
      <c r="K355" s="297"/>
      <c r="L355" s="150"/>
      <c r="M355" s="150"/>
      <c r="N355" s="150"/>
      <c r="O355" s="150"/>
      <c r="P355" s="150"/>
    </row>
    <row r="356" spans="1:16" s="149" customFormat="1" ht="35.1" customHeight="1" x14ac:dyDescent="0.2">
      <c r="A356" s="209"/>
      <c r="B356" s="148"/>
      <c r="C356" s="209"/>
      <c r="D356" s="148"/>
      <c r="E356" s="148"/>
      <c r="G356" s="150"/>
      <c r="H356" s="150"/>
      <c r="I356" s="150"/>
      <c r="J356" s="150"/>
      <c r="K356" s="297"/>
      <c r="L356" s="150"/>
      <c r="M356" s="150"/>
      <c r="N356" s="150"/>
      <c r="O356" s="150"/>
      <c r="P356" s="150"/>
    </row>
    <row r="357" spans="1:16" s="225" customFormat="1" ht="35.1" customHeight="1" x14ac:dyDescent="0.2">
      <c r="A357" s="209"/>
      <c r="B357" s="148"/>
      <c r="C357" s="209"/>
      <c r="D357" s="148"/>
      <c r="E357" s="148"/>
      <c r="F357" s="149"/>
      <c r="G357" s="150"/>
      <c r="H357" s="150"/>
      <c r="I357" s="150"/>
      <c r="J357" s="150"/>
      <c r="K357" s="297"/>
      <c r="L357" s="150"/>
      <c r="M357" s="150"/>
      <c r="N357" s="150"/>
      <c r="O357" s="150"/>
      <c r="P357" s="150"/>
    </row>
    <row r="358" spans="1:16" s="149" customFormat="1" ht="35.1" customHeight="1" x14ac:dyDescent="0.2">
      <c r="A358" s="209"/>
      <c r="B358" s="148"/>
      <c r="C358" s="209"/>
      <c r="D358" s="148"/>
      <c r="E358" s="148"/>
      <c r="G358" s="150"/>
      <c r="H358" s="150"/>
      <c r="I358" s="150"/>
      <c r="J358" s="150"/>
      <c r="K358" s="297"/>
      <c r="L358" s="150"/>
      <c r="M358" s="150"/>
      <c r="N358" s="150"/>
      <c r="O358" s="150"/>
      <c r="P358" s="150"/>
    </row>
    <row r="359" spans="1:16" s="149" customFormat="1" ht="35.1" customHeight="1" x14ac:dyDescent="0.2">
      <c r="A359" s="209"/>
      <c r="B359" s="148"/>
      <c r="C359" s="209"/>
      <c r="D359" s="148"/>
      <c r="E359" s="148"/>
      <c r="G359" s="150"/>
      <c r="H359" s="150"/>
      <c r="I359" s="150"/>
      <c r="J359" s="150"/>
      <c r="K359" s="297"/>
      <c r="L359" s="150"/>
      <c r="M359" s="150"/>
      <c r="N359" s="150"/>
      <c r="O359" s="150"/>
      <c r="P359" s="150"/>
    </row>
    <row r="360" spans="1:16" s="149" customFormat="1" ht="35.1" customHeight="1" x14ac:dyDescent="0.2">
      <c r="A360" s="209"/>
      <c r="B360" s="148"/>
      <c r="C360" s="209"/>
      <c r="D360" s="148"/>
      <c r="E360" s="148"/>
      <c r="G360" s="150"/>
      <c r="H360" s="150"/>
      <c r="I360" s="150"/>
      <c r="J360" s="150"/>
      <c r="K360" s="297"/>
      <c r="L360" s="150"/>
      <c r="M360" s="150"/>
      <c r="N360" s="150"/>
      <c r="O360" s="150"/>
      <c r="P360" s="150"/>
    </row>
    <row r="361" spans="1:16" s="149" customFormat="1" ht="35.1" customHeight="1" x14ac:dyDescent="0.2">
      <c r="A361" s="209"/>
      <c r="B361" s="148"/>
      <c r="C361" s="209"/>
      <c r="D361" s="148"/>
      <c r="E361" s="148"/>
      <c r="G361" s="150"/>
      <c r="H361" s="150"/>
      <c r="I361" s="150"/>
      <c r="J361" s="150"/>
      <c r="K361" s="150"/>
      <c r="L361" s="150"/>
      <c r="M361" s="150"/>
      <c r="N361" s="150"/>
      <c r="O361" s="150"/>
      <c r="P361" s="150"/>
    </row>
    <row r="362" spans="1:16" s="224" customFormat="1" ht="35.1" customHeight="1" x14ac:dyDescent="0.2">
      <c r="A362" s="209"/>
      <c r="B362" s="148"/>
      <c r="C362" s="209"/>
      <c r="D362" s="148"/>
      <c r="E362" s="148"/>
      <c r="F362" s="149"/>
      <c r="G362" s="150"/>
      <c r="H362" s="150"/>
      <c r="I362" s="150"/>
      <c r="J362" s="150"/>
      <c r="K362" s="150"/>
      <c r="L362" s="150"/>
      <c r="M362" s="150"/>
      <c r="N362" s="150"/>
      <c r="O362" s="150"/>
      <c r="P362" s="150"/>
    </row>
    <row r="363" spans="1:16" s="224" customFormat="1" ht="35.1" customHeight="1" x14ac:dyDescent="0.2">
      <c r="A363" s="209"/>
      <c r="B363" s="148"/>
      <c r="C363" s="209"/>
      <c r="D363" s="148"/>
      <c r="E363" s="148"/>
      <c r="F363" s="149"/>
      <c r="G363" s="150"/>
      <c r="H363" s="150"/>
      <c r="I363" s="150"/>
      <c r="J363" s="150"/>
      <c r="K363" s="150"/>
      <c r="L363" s="150"/>
      <c r="M363" s="150"/>
      <c r="N363" s="150"/>
      <c r="O363" s="150"/>
      <c r="P363" s="150"/>
    </row>
    <row r="16866" spans="2:2" ht="35.1" customHeight="1" x14ac:dyDescent="0.2">
      <c r="B16866" s="145">
        <f>SUM(B6:B16865)</f>
        <v>0</v>
      </c>
    </row>
    <row r="16868" spans="2:2" s="113" customFormat="1" ht="35.1" customHeight="1" x14ac:dyDescent="0.2">
      <c r="B16868" s="145">
        <f>SUM(B16866)</f>
        <v>0</v>
      </c>
    </row>
    <row r="1000191" spans="15:15" ht="35.1" customHeight="1" x14ac:dyDescent="0.2">
      <c r="O1000191" s="123" t="e">
        <f>SUM(#REF!)</f>
        <v>#REF!</v>
      </c>
    </row>
  </sheetData>
  <mergeCells count="25">
    <mergeCell ref="A93:E93"/>
    <mergeCell ref="A97:E97"/>
    <mergeCell ref="A105:E105"/>
    <mergeCell ref="A110:E110"/>
    <mergeCell ref="A116:E116"/>
    <mergeCell ref="A1:P1"/>
    <mergeCell ref="A2:P2"/>
    <mergeCell ref="A3:P3"/>
    <mergeCell ref="A87:D87"/>
    <mergeCell ref="G5:J5"/>
    <mergeCell ref="A54:B54"/>
    <mergeCell ref="A58:B58"/>
    <mergeCell ref="A64:B64"/>
    <mergeCell ref="A69:C69"/>
    <mergeCell ref="A74:D74"/>
    <mergeCell ref="A81:D81"/>
    <mergeCell ref="B355:C355"/>
    <mergeCell ref="B354:C354"/>
    <mergeCell ref="A123:E123"/>
    <mergeCell ref="A130:E130"/>
    <mergeCell ref="A135:E135"/>
    <mergeCell ref="A151:E151"/>
    <mergeCell ref="A225:D225"/>
    <mergeCell ref="E354:F354"/>
    <mergeCell ref="E355:F355"/>
  </mergeCells>
  <pageMargins left="0.23622047244094488" right="0.23622047244094488" top="0.31" bottom="0.25" header="0.31496062992125984" footer="0.26"/>
  <pageSetup paperSize="5" scale="47" fitToHeight="0" orientation="landscape" r:id="rId1"/>
  <rowBreaks count="14" manualBreakCount="14">
    <brk id="34" max="15" man="1"/>
    <brk id="60" max="15" man="1"/>
    <brk id="89" max="15" man="1"/>
    <brk id="118" max="15" man="1"/>
    <brk id="145" max="15" man="1"/>
    <brk id="171" max="15" man="1"/>
    <brk id="197" max="15" man="1"/>
    <brk id="224" max="15" man="1"/>
    <brk id="246" max="15" man="1"/>
    <brk id="274" max="15" man="1"/>
    <brk id="302" max="15" man="1"/>
    <brk id="330" max="15" man="1"/>
    <brk id="347" max="15" man="1"/>
    <brk id="363" max="15" man="1"/>
  </rowBreaks>
  <ignoredErrors>
    <ignoredError sqref="H152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7"/>
  <sheetViews>
    <sheetView showGridLines="0" topLeftCell="A266" zoomScaleNormal="100" zoomScaleSheetLayoutView="30" workbookViewId="0">
      <pane xSplit="4" topLeftCell="E1" activePane="topRight" state="frozen"/>
      <selection pane="topRight" activeCell="E273" sqref="E273:F274"/>
    </sheetView>
  </sheetViews>
  <sheetFormatPr baseColWidth="10" defaultColWidth="11.42578125" defaultRowHeight="39.950000000000003" customHeight="1" x14ac:dyDescent="0.2"/>
  <cols>
    <col min="1" max="1" width="6.42578125" style="113" customWidth="1"/>
    <col min="2" max="2" width="38.85546875" style="145" customWidth="1"/>
    <col min="3" max="3" width="11.7109375" style="113" customWidth="1"/>
    <col min="4" max="4" width="38.5703125" style="145" customWidth="1"/>
    <col min="5" max="5" width="20.42578125" style="145" customWidth="1"/>
    <col min="6" max="6" width="25.42578125" style="145" customWidth="1"/>
    <col min="7" max="7" width="23.140625" style="145" customWidth="1"/>
    <col min="8" max="8" width="19.85546875" style="111" customWidth="1"/>
    <col min="9" max="9" width="17.140625" style="110" customWidth="1"/>
    <col min="10" max="10" width="16.85546875" style="110" customWidth="1"/>
    <col min="11" max="11" width="16.140625" style="110" customWidth="1"/>
    <col min="12" max="12" width="17.28515625" style="110" customWidth="1"/>
    <col min="13" max="13" width="26.140625" style="110" customWidth="1"/>
    <col min="14" max="14" width="16.42578125" style="110" customWidth="1"/>
    <col min="15" max="15" width="14.140625" style="110" customWidth="1"/>
    <col min="16" max="16" width="19" style="110" customWidth="1"/>
    <col min="17" max="17" width="20" style="110" customWidth="1"/>
    <col min="18" max="18" width="20.140625" style="110" customWidth="1"/>
    <col min="19" max="16384" width="11.42578125" style="110"/>
  </cols>
  <sheetData>
    <row r="1" spans="1:19" ht="39.950000000000003" customHeight="1" x14ac:dyDescent="0.2">
      <c r="B1" s="144"/>
      <c r="C1" s="133"/>
    </row>
    <row r="2" spans="1:19" ht="31.5" customHeight="1" x14ac:dyDescent="0.2">
      <c r="A2" s="348" t="s">
        <v>335</v>
      </c>
      <c r="B2" s="348"/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</row>
    <row r="3" spans="1:19" ht="24.75" customHeight="1" x14ac:dyDescent="0.2">
      <c r="A3" s="349" t="s">
        <v>338</v>
      </c>
      <c r="B3" s="349"/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</row>
    <row r="4" spans="1:19" ht="27" customHeight="1" x14ac:dyDescent="0.2">
      <c r="A4" s="368" t="s">
        <v>658</v>
      </c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  <c r="M4" s="368"/>
      <c r="N4" s="368"/>
      <c r="O4" s="368"/>
      <c r="P4" s="368"/>
      <c r="Q4" s="368"/>
      <c r="R4" s="368"/>
    </row>
    <row r="5" spans="1:19" ht="39.950000000000003" customHeight="1" thickBot="1" x14ac:dyDescent="0.25">
      <c r="A5" s="139"/>
      <c r="B5" s="139"/>
      <c r="C5" s="106"/>
      <c r="D5" s="144"/>
      <c r="E5" s="144"/>
      <c r="F5" s="144"/>
      <c r="G5" s="144"/>
      <c r="H5" s="106"/>
    </row>
    <row r="6" spans="1:19" ht="39.950000000000003" customHeight="1" thickBot="1" x14ac:dyDescent="0.25">
      <c r="A6" s="146"/>
      <c r="B6" s="146"/>
      <c r="C6" s="147"/>
      <c r="D6" s="148"/>
      <c r="E6" s="148"/>
      <c r="F6" s="148"/>
      <c r="G6" s="148"/>
      <c r="H6" s="149"/>
      <c r="I6" s="369" t="s">
        <v>99</v>
      </c>
      <c r="J6" s="370"/>
      <c r="K6" s="370"/>
      <c r="L6" s="371"/>
      <c r="M6" s="95"/>
      <c r="N6" s="150"/>
      <c r="O6" s="150"/>
      <c r="P6" s="150"/>
      <c r="Q6" s="150"/>
      <c r="R6" s="150"/>
    </row>
    <row r="7" spans="1:19" s="111" customFormat="1" ht="51.75" customHeight="1" thickBot="1" x14ac:dyDescent="0.25">
      <c r="A7" s="19" t="s">
        <v>0</v>
      </c>
      <c r="B7" s="19" t="s">
        <v>343</v>
      </c>
      <c r="C7" s="19" t="s">
        <v>347</v>
      </c>
      <c r="D7" s="19" t="s">
        <v>361</v>
      </c>
      <c r="E7" s="19" t="s">
        <v>93</v>
      </c>
      <c r="F7" s="19" t="s">
        <v>97</v>
      </c>
      <c r="G7" s="19" t="s">
        <v>98</v>
      </c>
      <c r="H7" s="21" t="s">
        <v>102</v>
      </c>
      <c r="I7" s="19" t="s">
        <v>1</v>
      </c>
      <c r="J7" s="19" t="s">
        <v>2</v>
      </c>
      <c r="K7" s="21" t="s">
        <v>632</v>
      </c>
      <c r="L7" s="19" t="s">
        <v>450</v>
      </c>
      <c r="M7" s="21" t="s">
        <v>451</v>
      </c>
      <c r="N7" s="21" t="s">
        <v>94</v>
      </c>
      <c r="O7" s="21" t="s">
        <v>529</v>
      </c>
      <c r="P7" s="21" t="s">
        <v>96</v>
      </c>
      <c r="Q7" s="21" t="s">
        <v>3</v>
      </c>
      <c r="R7" s="21" t="s">
        <v>95</v>
      </c>
    </row>
    <row r="8" spans="1:19" s="111" customFormat="1" ht="39.950000000000003" customHeight="1" thickBot="1" x14ac:dyDescent="0.25">
      <c r="A8" s="151" t="s">
        <v>304</v>
      </c>
      <c r="B8" s="152"/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</row>
    <row r="9" spans="1:19" s="115" customFormat="1" ht="39.950000000000003" customHeight="1" x14ac:dyDescent="0.2">
      <c r="A9" s="153">
        <v>1</v>
      </c>
      <c r="B9" s="116" t="s">
        <v>305</v>
      </c>
      <c r="C9" s="130" t="s">
        <v>345</v>
      </c>
      <c r="D9" s="154" t="s">
        <v>504</v>
      </c>
      <c r="E9" s="154" t="s">
        <v>183</v>
      </c>
      <c r="F9" s="155" t="s">
        <v>576</v>
      </c>
      <c r="G9" s="155" t="s">
        <v>630</v>
      </c>
      <c r="H9" s="156">
        <v>200000</v>
      </c>
      <c r="I9" s="116">
        <v>5740</v>
      </c>
      <c r="J9" s="116">
        <v>6080</v>
      </c>
      <c r="K9" s="116"/>
      <c r="L9" s="116">
        <f>+J9+I9+K9</f>
        <v>11820</v>
      </c>
      <c r="M9" s="116">
        <f>+H9-L9</f>
        <v>188180</v>
      </c>
      <c r="N9" s="116">
        <f>+IF(M9*12&lt;=416220.01,0,IF(M9*12&lt;=624329.01,(((M9*12-416220.01)*0.15)/12),IF((M9*12&lt;=867123.01),(31216+0.2*(M9*12-624329.01))/12,((79776+0.25*(M9*12-867123.01))/12))))-O9</f>
        <v>35627.937291666669</v>
      </c>
      <c r="O9" s="116"/>
      <c r="P9" s="156">
        <v>25</v>
      </c>
      <c r="Q9" s="116">
        <f>+P9+N9+L9</f>
        <v>47472.937291666669</v>
      </c>
      <c r="R9" s="156">
        <f>+H9-Q9</f>
        <v>152527.06270833334</v>
      </c>
    </row>
    <row r="10" spans="1:19" s="115" customFormat="1" ht="39.950000000000003" customHeight="1" x14ac:dyDescent="0.2">
      <c r="A10" s="157">
        <v>2</v>
      </c>
      <c r="B10" s="158" t="s">
        <v>306</v>
      </c>
      <c r="C10" s="130" t="s">
        <v>345</v>
      </c>
      <c r="D10" s="154" t="s">
        <v>344</v>
      </c>
      <c r="E10" s="154" t="s">
        <v>183</v>
      </c>
      <c r="F10" s="159" t="s">
        <v>661</v>
      </c>
      <c r="G10" s="159" t="s">
        <v>659</v>
      </c>
      <c r="H10" s="160">
        <v>130000</v>
      </c>
      <c r="I10" s="116">
        <f>H10*2.87%</f>
        <v>3731</v>
      </c>
      <c r="J10" s="116">
        <f>+H10*3.04%</f>
        <v>3952</v>
      </c>
      <c r="K10" s="116"/>
      <c r="L10" s="116">
        <f>+J10+I10+K10</f>
        <v>7683</v>
      </c>
      <c r="M10" s="116">
        <f>+H10-L10</f>
        <v>122317</v>
      </c>
      <c r="N10" s="116">
        <f>+IF(M10*12&lt;=416220.01,0,IF(M10*12&lt;=624329.01,(((M10*12-416220.01)*0.15)/12),IF((M10*12&lt;=867123.01),(31216+0.2*(M10*12-624329.01))/12,((79776+0.25*(M10*12-867123.01))/12))))-O10</f>
        <v>19162.187291666665</v>
      </c>
      <c r="O10" s="116"/>
      <c r="P10" s="156">
        <v>25</v>
      </c>
      <c r="Q10" s="116">
        <f>+P10+N10+L10</f>
        <v>26870.187291666665</v>
      </c>
      <c r="R10" s="161">
        <f>+H10-Q10</f>
        <v>103129.81270833334</v>
      </c>
    </row>
    <row r="11" spans="1:19" s="115" customFormat="1" ht="39.950000000000003" customHeight="1" x14ac:dyDescent="0.2">
      <c r="A11" s="363" t="s">
        <v>103</v>
      </c>
      <c r="B11" s="364"/>
      <c r="C11" s="100"/>
      <c r="D11" s="100"/>
      <c r="E11" s="100"/>
      <c r="F11" s="100"/>
      <c r="G11" s="100"/>
      <c r="H11" s="101">
        <f>SUM(H9:H10)</f>
        <v>330000</v>
      </c>
      <c r="I11" s="101">
        <f t="shared" ref="I11:Q11" si="0">SUM(I9:I10)</f>
        <v>9471</v>
      </c>
      <c r="J11" s="101">
        <f t="shared" si="0"/>
        <v>10032</v>
      </c>
      <c r="K11" s="101">
        <f t="shared" si="0"/>
        <v>0</v>
      </c>
      <c r="L11" s="101">
        <f t="shared" si="0"/>
        <v>19503</v>
      </c>
      <c r="M11" s="101">
        <f t="shared" si="0"/>
        <v>310497</v>
      </c>
      <c r="N11" s="101">
        <f t="shared" si="0"/>
        <v>54790.124583333338</v>
      </c>
      <c r="O11" s="101">
        <f t="shared" si="0"/>
        <v>0</v>
      </c>
      <c r="P11" s="101">
        <f t="shared" si="0"/>
        <v>50</v>
      </c>
      <c r="Q11" s="101">
        <f t="shared" si="0"/>
        <v>74343.124583333338</v>
      </c>
      <c r="R11" s="101">
        <f>SUM(R9:R10)</f>
        <v>255656.87541666668</v>
      </c>
      <c r="S11" s="338"/>
    </row>
    <row r="12" spans="1:19" s="111" customFormat="1" ht="39.950000000000003" customHeight="1" thickBot="1" x14ac:dyDescent="0.25">
      <c r="A12" s="98"/>
      <c r="B12" s="98"/>
      <c r="C12" s="133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</row>
    <row r="13" spans="1:19" s="111" customFormat="1" ht="39.950000000000003" customHeight="1" thickBot="1" x14ac:dyDescent="0.25">
      <c r="A13" s="151" t="s">
        <v>250</v>
      </c>
      <c r="B13" s="152"/>
      <c r="C13" s="152"/>
      <c r="D13" s="152"/>
      <c r="E13" s="152"/>
      <c r="F13" s="152"/>
      <c r="G13" s="152"/>
      <c r="H13" s="152"/>
      <c r="I13" s="152"/>
      <c r="J13" s="152"/>
      <c r="K13" s="152"/>
      <c r="L13" s="152"/>
      <c r="M13" s="152"/>
      <c r="N13" s="152"/>
      <c r="O13" s="152"/>
      <c r="P13" s="152"/>
      <c r="Q13" s="152"/>
      <c r="R13" s="152"/>
    </row>
    <row r="14" spans="1:19" s="111" customFormat="1" ht="39.950000000000003" customHeight="1" x14ac:dyDescent="0.2">
      <c r="A14" s="108">
        <f>+A10+1</f>
        <v>3</v>
      </c>
      <c r="B14" s="162" t="s">
        <v>447</v>
      </c>
      <c r="C14" s="136" t="s">
        <v>346</v>
      </c>
      <c r="D14" s="107" t="s">
        <v>518</v>
      </c>
      <c r="E14" s="154" t="s">
        <v>183</v>
      </c>
      <c r="F14" s="165" t="s">
        <v>611</v>
      </c>
      <c r="G14" s="159" t="s">
        <v>616</v>
      </c>
      <c r="H14" s="166">
        <v>180000</v>
      </c>
      <c r="I14" s="105">
        <f>H14*2.87%</f>
        <v>5166</v>
      </c>
      <c r="J14" s="105">
        <f>+H14*3.04%</f>
        <v>5472</v>
      </c>
      <c r="K14" s="105"/>
      <c r="L14" s="116">
        <f>+J14+I14+K14</f>
        <v>10638</v>
      </c>
      <c r="M14" s="116">
        <f>+H14-L14</f>
        <v>169362</v>
      </c>
      <c r="N14" s="116">
        <f>+IF(M14*12&lt;=416220.01,0,IF(M14*12&lt;=624329.01,(((M14*12-416220.01)*0.15)/12),IF((M14*12&lt;=867123.01),(31216+0.2*(M14*12-624329.01))/12,((79776+0.25*(M14*12-867123.01))/12))))-O14</f>
        <v>30923.437291666665</v>
      </c>
      <c r="O14" s="116"/>
      <c r="P14" s="117">
        <v>25</v>
      </c>
      <c r="Q14" s="116">
        <f>+P14+N14+L14</f>
        <v>41586.437291666662</v>
      </c>
      <c r="R14" s="117">
        <f>H14-Q14</f>
        <v>138413.56270833334</v>
      </c>
    </row>
    <row r="15" spans="1:19" s="115" customFormat="1" ht="39.950000000000003" customHeight="1" x14ac:dyDescent="0.2">
      <c r="A15" s="108">
        <f>+A14+1</f>
        <v>4</v>
      </c>
      <c r="B15" s="162" t="s">
        <v>448</v>
      </c>
      <c r="C15" s="136" t="s">
        <v>345</v>
      </c>
      <c r="D15" s="107" t="s">
        <v>434</v>
      </c>
      <c r="E15" s="154" t="s">
        <v>183</v>
      </c>
      <c r="F15" s="154" t="s">
        <v>592</v>
      </c>
      <c r="G15" s="154" t="s">
        <v>640</v>
      </c>
      <c r="H15" s="166">
        <v>80000</v>
      </c>
      <c r="I15" s="105">
        <f>H15*2.87%</f>
        <v>2296</v>
      </c>
      <c r="J15" s="105">
        <f>+H15*3.04%</f>
        <v>2432</v>
      </c>
      <c r="K15" s="105"/>
      <c r="L15" s="116">
        <f t="shared" ref="L15" si="1">+J15+I15+K15</f>
        <v>4728</v>
      </c>
      <c r="M15" s="116">
        <f t="shared" ref="M15" si="2">+H15-L15</f>
        <v>75272</v>
      </c>
      <c r="N15" s="116">
        <f t="shared" ref="N15:N19" si="3">+IF(M15*12&lt;=416220.01,0,IF(M15*12&lt;=624329.01,(((M15*12-416220.01)*0.15)/12),IF((M15*12&lt;=867123.01),(31216+0.2*(M15*12-624329.01))/12,((79776+0.25*(M15*12-867123.01))/12))))-O15</f>
        <v>7400.9372916666662</v>
      </c>
      <c r="O15" s="116">
        <v>0</v>
      </c>
      <c r="P15" s="117">
        <v>25</v>
      </c>
      <c r="Q15" s="116">
        <f>+P15+N15+L15</f>
        <v>12153.937291666665</v>
      </c>
      <c r="R15" s="117">
        <f>H15-Q15</f>
        <v>67846.062708333338</v>
      </c>
    </row>
    <row r="16" spans="1:19" s="115" customFormat="1" ht="39.950000000000003" customHeight="1" x14ac:dyDescent="0.2">
      <c r="A16" s="153">
        <f>+A15+1</f>
        <v>5</v>
      </c>
      <c r="B16" s="158" t="s">
        <v>428</v>
      </c>
      <c r="C16" s="130" t="s">
        <v>345</v>
      </c>
      <c r="D16" s="154" t="s">
        <v>542</v>
      </c>
      <c r="E16" s="154" t="s">
        <v>183</v>
      </c>
      <c r="F16" s="168" t="s">
        <v>572</v>
      </c>
      <c r="G16" s="159" t="s">
        <v>616</v>
      </c>
      <c r="H16" s="160">
        <v>80000</v>
      </c>
      <c r="I16" s="105">
        <f>H16*2.87%</f>
        <v>2296</v>
      </c>
      <c r="J16" s="105">
        <f>+H16*3.04%</f>
        <v>2432</v>
      </c>
      <c r="K16" s="105"/>
      <c r="L16" s="116">
        <f>+J16+I16+K16</f>
        <v>4728</v>
      </c>
      <c r="M16" s="116">
        <f>+H16-L16</f>
        <v>75272</v>
      </c>
      <c r="N16" s="116">
        <f t="shared" si="3"/>
        <v>7400.9372916666662</v>
      </c>
      <c r="O16" s="116">
        <v>0</v>
      </c>
      <c r="P16" s="117">
        <v>1640.38</v>
      </c>
      <c r="Q16" s="116">
        <f>+P16+N16+L16</f>
        <v>13769.317291666666</v>
      </c>
      <c r="R16" s="117">
        <f>H16-Q16</f>
        <v>66230.682708333334</v>
      </c>
    </row>
    <row r="17" spans="1:19" s="115" customFormat="1" ht="39.950000000000003" customHeight="1" x14ac:dyDescent="0.2">
      <c r="A17" s="153">
        <f t="shared" ref="A17:A18" si="4">+A16+1</f>
        <v>6</v>
      </c>
      <c r="B17" s="158" t="s">
        <v>302</v>
      </c>
      <c r="C17" s="130" t="s">
        <v>346</v>
      </c>
      <c r="D17" s="154" t="s">
        <v>542</v>
      </c>
      <c r="E17" s="154" t="s">
        <v>183</v>
      </c>
      <c r="F17" s="168" t="s">
        <v>576</v>
      </c>
      <c r="G17" s="155" t="s">
        <v>630</v>
      </c>
      <c r="H17" s="160">
        <v>80000</v>
      </c>
      <c r="I17" s="105">
        <f t="shared" ref="I17:I19" si="5">H17*2.87%</f>
        <v>2296</v>
      </c>
      <c r="J17" s="105">
        <f t="shared" ref="J17:J19" si="6">+H17*3.04%</f>
        <v>2432</v>
      </c>
      <c r="K17" s="105"/>
      <c r="L17" s="116">
        <f t="shared" ref="L17:L19" si="7">+J17+I17+K17</f>
        <v>4728</v>
      </c>
      <c r="M17" s="116">
        <f t="shared" ref="M17:M19" si="8">+H17-L17</f>
        <v>75272</v>
      </c>
      <c r="N17" s="116">
        <f t="shared" si="3"/>
        <v>7400.9372916666662</v>
      </c>
      <c r="O17" s="116">
        <v>0</v>
      </c>
      <c r="P17" s="161">
        <f>200+65</f>
        <v>265</v>
      </c>
      <c r="Q17" s="116">
        <f t="shared" ref="Q17:Q19" si="9">+P17+N17+L17</f>
        <v>12393.937291666665</v>
      </c>
      <c r="R17" s="117">
        <f t="shared" ref="R17:R19" si="10">H17-Q17</f>
        <v>67606.062708333338</v>
      </c>
    </row>
    <row r="18" spans="1:19" s="111" customFormat="1" ht="39.950000000000003" customHeight="1" x14ac:dyDescent="0.2">
      <c r="A18" s="108">
        <f t="shared" si="4"/>
        <v>7</v>
      </c>
      <c r="B18" s="169" t="s">
        <v>543</v>
      </c>
      <c r="C18" s="136" t="s">
        <v>346</v>
      </c>
      <c r="D18" s="107" t="s">
        <v>542</v>
      </c>
      <c r="E18" s="154" t="s">
        <v>183</v>
      </c>
      <c r="F18" s="165" t="s">
        <v>576</v>
      </c>
      <c r="G18" s="154" t="s">
        <v>630</v>
      </c>
      <c r="H18" s="166">
        <v>80000</v>
      </c>
      <c r="I18" s="105">
        <f t="shared" si="5"/>
        <v>2296</v>
      </c>
      <c r="J18" s="105">
        <f t="shared" si="6"/>
        <v>2432</v>
      </c>
      <c r="K18" s="105"/>
      <c r="L18" s="116">
        <f t="shared" si="7"/>
        <v>4728</v>
      </c>
      <c r="M18" s="116">
        <f t="shared" si="8"/>
        <v>75272</v>
      </c>
      <c r="N18" s="116">
        <f t="shared" si="3"/>
        <v>7400.9372916666662</v>
      </c>
      <c r="O18" s="116">
        <v>0</v>
      </c>
      <c r="P18" s="161">
        <v>25</v>
      </c>
      <c r="Q18" s="116">
        <f t="shared" si="9"/>
        <v>12153.937291666665</v>
      </c>
      <c r="R18" s="117">
        <f t="shared" si="10"/>
        <v>67846.062708333338</v>
      </c>
    </row>
    <row r="19" spans="1:19" s="111" customFormat="1" ht="39.950000000000003" customHeight="1" x14ac:dyDescent="0.2">
      <c r="A19" s="108">
        <f>+A18+1</f>
        <v>8</v>
      </c>
      <c r="B19" s="169" t="s">
        <v>591</v>
      </c>
      <c r="C19" s="136" t="s">
        <v>345</v>
      </c>
      <c r="D19" s="107" t="s">
        <v>542</v>
      </c>
      <c r="E19" s="154" t="s">
        <v>183</v>
      </c>
      <c r="F19" s="154" t="s">
        <v>592</v>
      </c>
      <c r="G19" s="154" t="s">
        <v>640</v>
      </c>
      <c r="H19" s="166">
        <v>80000</v>
      </c>
      <c r="I19" s="105">
        <f t="shared" si="5"/>
        <v>2296</v>
      </c>
      <c r="J19" s="105">
        <f t="shared" si="6"/>
        <v>2432</v>
      </c>
      <c r="K19" s="105"/>
      <c r="L19" s="116">
        <f t="shared" si="7"/>
        <v>4728</v>
      </c>
      <c r="M19" s="116">
        <f t="shared" si="8"/>
        <v>75272</v>
      </c>
      <c r="N19" s="116">
        <f t="shared" si="3"/>
        <v>7400.9372916666662</v>
      </c>
      <c r="O19" s="116"/>
      <c r="P19" s="161">
        <v>4525</v>
      </c>
      <c r="Q19" s="116">
        <f t="shared" si="9"/>
        <v>16653.937291666665</v>
      </c>
      <c r="R19" s="117">
        <f t="shared" si="10"/>
        <v>63346.062708333338</v>
      </c>
    </row>
    <row r="20" spans="1:19" s="111" customFormat="1" ht="39.950000000000003" customHeight="1" x14ac:dyDescent="0.2">
      <c r="A20" s="363" t="s">
        <v>103</v>
      </c>
      <c r="B20" s="364"/>
      <c r="C20" s="100"/>
      <c r="D20" s="100"/>
      <c r="E20" s="100"/>
      <c r="F20" s="100"/>
      <c r="G20" s="100"/>
      <c r="H20" s="101">
        <f>SUM(H14:H19)</f>
        <v>580000</v>
      </c>
      <c r="I20" s="101">
        <f>SUM(I14:I19)</f>
        <v>16646</v>
      </c>
      <c r="J20" s="101">
        <f>SUM(J14:J19)</f>
        <v>17632</v>
      </c>
      <c r="K20" s="101">
        <f>SUM(K14:K18)</f>
        <v>0</v>
      </c>
      <c r="L20" s="101">
        <f>SUM(L14:L19)</f>
        <v>34278</v>
      </c>
      <c r="M20" s="101">
        <f>SUM(M14:M19)</f>
        <v>545722</v>
      </c>
      <c r="N20" s="101">
        <f>SUM(N14:N19)</f>
        <v>67928.123749999999</v>
      </c>
      <c r="O20" s="101">
        <f>SUM(O14:O18)</f>
        <v>0</v>
      </c>
      <c r="P20" s="101">
        <f>SUM(P14:P19)</f>
        <v>6505.38</v>
      </c>
      <c r="Q20" s="101">
        <f t="shared" ref="Q20:R20" si="11">SUM(Q14:Q19)</f>
        <v>108711.50374999997</v>
      </c>
      <c r="R20" s="101">
        <f t="shared" si="11"/>
        <v>471288.49625000008</v>
      </c>
      <c r="S20" s="338"/>
    </row>
    <row r="21" spans="1:19" s="171" customFormat="1" ht="39.950000000000003" customHeight="1" thickBot="1" x14ac:dyDescent="0.25">
      <c r="A21" s="170"/>
      <c r="B21" s="170"/>
      <c r="C21" s="170"/>
      <c r="D21" s="170"/>
      <c r="E21" s="170"/>
      <c r="F21" s="170"/>
      <c r="G21" s="170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</row>
    <row r="22" spans="1:19" s="115" customFormat="1" ht="39.950000000000003" customHeight="1" thickBot="1" x14ac:dyDescent="0.25">
      <c r="A22" s="151" t="s">
        <v>72</v>
      </c>
      <c r="B22" s="152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</row>
    <row r="23" spans="1:19" s="115" customFormat="1" ht="39.950000000000003" customHeight="1" x14ac:dyDescent="0.2">
      <c r="A23" s="157">
        <f>+A19+1</f>
        <v>9</v>
      </c>
      <c r="B23" s="158" t="s">
        <v>307</v>
      </c>
      <c r="C23" s="130" t="s">
        <v>345</v>
      </c>
      <c r="D23" s="107" t="s">
        <v>517</v>
      </c>
      <c r="E23" s="154" t="s">
        <v>183</v>
      </c>
      <c r="F23" s="165" t="s">
        <v>641</v>
      </c>
      <c r="G23" s="154" t="s">
        <v>642</v>
      </c>
      <c r="H23" s="156">
        <v>180000</v>
      </c>
      <c r="I23" s="118">
        <f>H23*2.87%</f>
        <v>5166</v>
      </c>
      <c r="J23" s="172">
        <f>+H23*3.04%</f>
        <v>5472</v>
      </c>
      <c r="K23" s="118"/>
      <c r="L23" s="116">
        <f>+J23+I23+K23</f>
        <v>10638</v>
      </c>
      <c r="M23" s="116">
        <f>+H23-L23</f>
        <v>169362</v>
      </c>
      <c r="N23" s="116">
        <f>+IF(M23*12&lt;=416220.01,0,IF(M23*12&lt;=624329.01,(((M23*12-416220.01)*0.15)/12),IF((M23*12&lt;=867123.01),(31216+0.2*(M23*12-624329.01))/12,((79776+0.25*(M23*12-867123.01))/12))))-O23</f>
        <v>30923.437291666665</v>
      </c>
      <c r="O23" s="116"/>
      <c r="P23" s="116">
        <v>25</v>
      </c>
      <c r="Q23" s="116">
        <f>+P23+N23+L23</f>
        <v>41586.437291666662</v>
      </c>
      <c r="R23" s="156">
        <f>+H23-Q23</f>
        <v>138413.56270833334</v>
      </c>
    </row>
    <row r="24" spans="1:19" s="111" customFormat="1" ht="39.950000000000003" customHeight="1" x14ac:dyDescent="0.2">
      <c r="A24" s="157">
        <f>+A23+1</f>
        <v>10</v>
      </c>
      <c r="B24" s="158" t="s">
        <v>309</v>
      </c>
      <c r="C24" s="130" t="s">
        <v>345</v>
      </c>
      <c r="D24" s="107" t="s">
        <v>119</v>
      </c>
      <c r="E24" s="154" t="s">
        <v>183</v>
      </c>
      <c r="F24" s="165" t="s">
        <v>618</v>
      </c>
      <c r="G24" s="165" t="s">
        <v>619</v>
      </c>
      <c r="H24" s="156">
        <v>100000</v>
      </c>
      <c r="I24" s="118">
        <f>H24*2.87%</f>
        <v>2870</v>
      </c>
      <c r="J24" s="97">
        <f>+H24*3.04%</f>
        <v>3040</v>
      </c>
      <c r="K24" s="118"/>
      <c r="L24" s="116">
        <f>+J24+I24+K24</f>
        <v>5910</v>
      </c>
      <c r="M24" s="116">
        <f>+H24-L24</f>
        <v>94090</v>
      </c>
      <c r="N24" s="116">
        <f>+IF(M24*12&lt;=416220.01,0,IF(M24*12&lt;=624329.01,(((M24*12-416220.01)*0.15)/12),IF((M24*12&lt;=867123.01),(31216+0.2*(M24*12-624329.01))/12,((79776+0.25*(M24*12-867123.01))/12))))-O24</f>
        <v>12105.437291666667</v>
      </c>
      <c r="O24" s="116"/>
      <c r="P24" s="156">
        <v>25</v>
      </c>
      <c r="Q24" s="116">
        <f>+P24+N24+L24</f>
        <v>18040.437291666669</v>
      </c>
      <c r="R24" s="156">
        <f>+H24-Q24</f>
        <v>81959.562708333338</v>
      </c>
    </row>
    <row r="25" spans="1:19" s="111" customFormat="1" ht="39.950000000000003" customHeight="1" x14ac:dyDescent="0.2">
      <c r="A25" s="157">
        <f>+A24+1</f>
        <v>11</v>
      </c>
      <c r="B25" s="158" t="s">
        <v>469</v>
      </c>
      <c r="C25" s="130" t="s">
        <v>345</v>
      </c>
      <c r="D25" s="107" t="s">
        <v>119</v>
      </c>
      <c r="E25" s="154" t="s">
        <v>183</v>
      </c>
      <c r="F25" s="154" t="s">
        <v>604</v>
      </c>
      <c r="G25" s="154" t="s">
        <v>654</v>
      </c>
      <c r="H25" s="156">
        <v>80000</v>
      </c>
      <c r="I25" s="118">
        <f>H25*2.87%</f>
        <v>2296</v>
      </c>
      <c r="J25" s="118">
        <f>+H25*3.04%</f>
        <v>2432</v>
      </c>
      <c r="K25" s="118"/>
      <c r="L25" s="116">
        <f>+J25+I25+K25</f>
        <v>4728</v>
      </c>
      <c r="M25" s="116">
        <f>+H25-L25</f>
        <v>75272</v>
      </c>
      <c r="N25" s="116">
        <f>+IF(M25*12&lt;=416220.01,0,IF(M25*12&lt;=624329.01,(((M25*12-416220.01)*0.15)/12),IF((M25*12&lt;=867123.01),(31216+0.2*(M25*12-624329.01))/12,((79776+0.25*(M25*12-867123.01))/12))))-O25</f>
        <v>7400.9372916666662</v>
      </c>
      <c r="O25" s="116"/>
      <c r="P25" s="156">
        <f>40+25</f>
        <v>65</v>
      </c>
      <c r="Q25" s="116">
        <f>+P25+N25+L25</f>
        <v>12193.937291666665</v>
      </c>
      <c r="R25" s="156">
        <f>+H25-Q25</f>
        <v>67806.062708333338</v>
      </c>
    </row>
    <row r="26" spans="1:19" s="111" customFormat="1" ht="39.950000000000003" customHeight="1" x14ac:dyDescent="0.2">
      <c r="A26" s="363" t="s">
        <v>103</v>
      </c>
      <c r="B26" s="364"/>
      <c r="C26" s="100"/>
      <c r="D26" s="100"/>
      <c r="E26" s="100"/>
      <c r="F26" s="100"/>
      <c r="G26" s="100"/>
      <c r="H26" s="101">
        <f>SUM(H23:H25)</f>
        <v>360000</v>
      </c>
      <c r="I26" s="101">
        <f t="shared" ref="I26:R26" si="12">SUM(I23:I25)</f>
        <v>10332</v>
      </c>
      <c r="J26" s="101">
        <f t="shared" si="12"/>
        <v>10944</v>
      </c>
      <c r="K26" s="101">
        <f t="shared" si="12"/>
        <v>0</v>
      </c>
      <c r="L26" s="101">
        <f t="shared" si="12"/>
        <v>21276</v>
      </c>
      <c r="M26" s="101">
        <f t="shared" si="12"/>
        <v>338724</v>
      </c>
      <c r="N26" s="101">
        <f t="shared" si="12"/>
        <v>50429.811874999999</v>
      </c>
      <c r="O26" s="101">
        <f t="shared" si="12"/>
        <v>0</v>
      </c>
      <c r="P26" s="101">
        <f t="shared" si="12"/>
        <v>115</v>
      </c>
      <c r="Q26" s="101">
        <f t="shared" si="12"/>
        <v>71820.811874999999</v>
      </c>
      <c r="R26" s="101">
        <f t="shared" si="12"/>
        <v>288179.18812499999</v>
      </c>
      <c r="S26" s="338"/>
    </row>
    <row r="27" spans="1:19" s="171" customFormat="1" ht="39.950000000000003" customHeight="1" thickBot="1" x14ac:dyDescent="0.25">
      <c r="A27" s="170"/>
      <c r="B27" s="170"/>
      <c r="C27" s="170"/>
      <c r="D27" s="170"/>
      <c r="E27" s="170"/>
      <c r="F27" s="170"/>
      <c r="G27" s="170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</row>
    <row r="28" spans="1:19" s="114" customFormat="1" ht="39.950000000000003" customHeight="1" thickBot="1" x14ac:dyDescent="0.25">
      <c r="A28" s="151" t="s">
        <v>310</v>
      </c>
      <c r="B28" s="152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52"/>
    </row>
    <row r="29" spans="1:19" s="114" customFormat="1" ht="39.950000000000003" customHeight="1" x14ac:dyDescent="0.2">
      <c r="A29" s="157">
        <f>+A25+1</f>
        <v>12</v>
      </c>
      <c r="B29" s="142" t="s">
        <v>308</v>
      </c>
      <c r="C29" s="129" t="s">
        <v>345</v>
      </c>
      <c r="D29" s="176" t="s">
        <v>423</v>
      </c>
      <c r="E29" s="176" t="s">
        <v>183</v>
      </c>
      <c r="F29" s="165" t="s">
        <v>576</v>
      </c>
      <c r="G29" s="154" t="s">
        <v>630</v>
      </c>
      <c r="H29" s="164">
        <v>115000</v>
      </c>
      <c r="I29" s="116">
        <f>H29*2.87%</f>
        <v>3300.5</v>
      </c>
      <c r="J29" s="116">
        <f>+H29*3.04%</f>
        <v>3496</v>
      </c>
      <c r="K29" s="116"/>
      <c r="L29" s="116">
        <f>+J29+I29+K29</f>
        <v>6796.5</v>
      </c>
      <c r="M29" s="116">
        <f>+H29-L29</f>
        <v>108203.5</v>
      </c>
      <c r="N29" s="116">
        <f>+IF(M29*12&lt;=416220.01,0,IF(M29*12&lt;=624329.01,(((M29*12-416220.01)*0.15)/12),IF((M29*12&lt;=867123.01),(31216+0.2*(M29*12-624329.01))/12,((79776+0.25*(M29*12-867123.01))/12))))-O29</f>
        <v>15633.812291666667</v>
      </c>
      <c r="O29" s="116"/>
      <c r="P29" s="161">
        <v>24005.75</v>
      </c>
      <c r="Q29" s="116">
        <f>+P29+N29+L29</f>
        <v>46436.062291666669</v>
      </c>
      <c r="R29" s="161">
        <f>+H29-Q29</f>
        <v>68563.937708333338</v>
      </c>
    </row>
    <row r="30" spans="1:19" s="111" customFormat="1" ht="39.950000000000003" customHeight="1" x14ac:dyDescent="0.2">
      <c r="A30" s="157">
        <f>+A29+1</f>
        <v>13</v>
      </c>
      <c r="B30" s="142" t="s">
        <v>185</v>
      </c>
      <c r="C30" s="129" t="s">
        <v>345</v>
      </c>
      <c r="D30" s="176" t="s">
        <v>513</v>
      </c>
      <c r="E30" s="176" t="s">
        <v>183</v>
      </c>
      <c r="F30" s="159" t="s">
        <v>661</v>
      </c>
      <c r="G30" s="159" t="s">
        <v>659</v>
      </c>
      <c r="H30" s="164">
        <v>100000</v>
      </c>
      <c r="I30" s="116">
        <f>H30*2.87%</f>
        <v>2870</v>
      </c>
      <c r="J30" s="118">
        <f>+H30*3.04%</f>
        <v>3040</v>
      </c>
      <c r="K30" s="118">
        <f>1919.78*2</f>
        <v>3839.56</v>
      </c>
      <c r="L30" s="118">
        <f>+J30+I30+K30</f>
        <v>9749.56</v>
      </c>
      <c r="M30" s="116">
        <f>+H30-L30</f>
        <v>90250.44</v>
      </c>
      <c r="N30" s="116">
        <f t="shared" ref="N30:N33" si="13">+IF(M30*12&lt;=416220.01,0,IF(M30*12&lt;=624329.01,(((M30*12-416220.01)*0.15)/12),IF((M30*12&lt;=867123.01),(31216+0.2*(M30*12-624329.01))/12,((79776+0.25*(M30*12-867123.01))/12))))-O30</f>
        <v>11145.547291666668</v>
      </c>
      <c r="O30" s="116"/>
      <c r="P30" s="161">
        <v>25</v>
      </c>
      <c r="Q30" s="116">
        <f>+P30+N30+L30</f>
        <v>20920.107291666667</v>
      </c>
      <c r="R30" s="161">
        <f>+H30-Q30</f>
        <v>79079.892708333326</v>
      </c>
    </row>
    <row r="31" spans="1:19" s="111" customFormat="1" ht="39.950000000000003" customHeight="1" x14ac:dyDescent="0.2">
      <c r="A31" s="157">
        <f>+A30+1</f>
        <v>14</v>
      </c>
      <c r="B31" s="142" t="s">
        <v>512</v>
      </c>
      <c r="C31" s="129" t="s">
        <v>345</v>
      </c>
      <c r="D31" s="176" t="s">
        <v>513</v>
      </c>
      <c r="E31" s="176" t="s">
        <v>183</v>
      </c>
      <c r="F31" s="165" t="s">
        <v>576</v>
      </c>
      <c r="G31" s="154" t="s">
        <v>630</v>
      </c>
      <c r="H31" s="164">
        <v>90000</v>
      </c>
      <c r="I31" s="116">
        <f>H31*2.87%</f>
        <v>2583</v>
      </c>
      <c r="J31" s="116">
        <f>+H31*3.04%</f>
        <v>2736</v>
      </c>
      <c r="K31" s="116">
        <v>1919.78</v>
      </c>
      <c r="L31" s="116">
        <f>+J31+I31+K31</f>
        <v>7238.78</v>
      </c>
      <c r="M31" s="116">
        <f>+H31-L31</f>
        <v>82761.22</v>
      </c>
      <c r="N31" s="116">
        <f t="shared" si="13"/>
        <v>9273.2422916666674</v>
      </c>
      <c r="O31" s="116"/>
      <c r="P31" s="161">
        <v>25</v>
      </c>
      <c r="Q31" s="116">
        <f>+P31+N31+L31</f>
        <v>16537.022291666668</v>
      </c>
      <c r="R31" s="161">
        <f>+H31-Q31</f>
        <v>73462.977708333332</v>
      </c>
    </row>
    <row r="32" spans="1:19" s="171" customFormat="1" ht="39.950000000000003" customHeight="1" x14ac:dyDescent="0.2">
      <c r="A32" s="157">
        <f>+A31+1</f>
        <v>15</v>
      </c>
      <c r="B32" s="142" t="s">
        <v>319</v>
      </c>
      <c r="C32" s="129" t="s">
        <v>346</v>
      </c>
      <c r="D32" s="176" t="s">
        <v>513</v>
      </c>
      <c r="E32" s="176" t="s">
        <v>183</v>
      </c>
      <c r="F32" s="154" t="s">
        <v>592</v>
      </c>
      <c r="G32" s="154" t="s">
        <v>640</v>
      </c>
      <c r="H32" s="164">
        <v>80000</v>
      </c>
      <c r="I32" s="118">
        <f t="shared" ref="I32" si="14">H32*2.87%</f>
        <v>2296</v>
      </c>
      <c r="J32" s="116">
        <f t="shared" ref="J32" si="15">+H32*3.04%</f>
        <v>2432</v>
      </c>
      <c r="K32" s="116"/>
      <c r="L32" s="116">
        <f>+J32+I32+K32</f>
        <v>4728</v>
      </c>
      <c r="M32" s="116">
        <f>+H32-L32</f>
        <v>75272</v>
      </c>
      <c r="N32" s="116">
        <f t="shared" si="13"/>
        <v>7400.9372916666662</v>
      </c>
      <c r="O32" s="116"/>
      <c r="P32" s="161">
        <v>7182.29</v>
      </c>
      <c r="Q32" s="116">
        <f>+P32+N32+L32</f>
        <v>19311.227291666666</v>
      </c>
      <c r="R32" s="161">
        <f>+H32-Q32</f>
        <v>60688.77270833333</v>
      </c>
    </row>
    <row r="33" spans="1:19" s="111" customFormat="1" ht="39.950000000000003" customHeight="1" x14ac:dyDescent="0.2">
      <c r="A33" s="157">
        <f>+A32+1</f>
        <v>16</v>
      </c>
      <c r="B33" s="142" t="s">
        <v>575</v>
      </c>
      <c r="C33" s="129" t="s">
        <v>346</v>
      </c>
      <c r="D33" s="176" t="s">
        <v>513</v>
      </c>
      <c r="E33" s="176" t="s">
        <v>183</v>
      </c>
      <c r="F33" s="165" t="s">
        <v>576</v>
      </c>
      <c r="G33" s="154" t="s">
        <v>630</v>
      </c>
      <c r="H33" s="164">
        <v>80000</v>
      </c>
      <c r="I33" s="118">
        <f>H33*2.87%</f>
        <v>2296</v>
      </c>
      <c r="J33" s="118">
        <f>+H33*3.04%</f>
        <v>2432</v>
      </c>
      <c r="K33" s="116"/>
      <c r="L33" s="116">
        <f>+J33+I33+K33</f>
        <v>4728</v>
      </c>
      <c r="M33" s="116">
        <f>+H33-L33</f>
        <v>75272</v>
      </c>
      <c r="N33" s="116">
        <f t="shared" si="13"/>
        <v>7400.9372916666662</v>
      </c>
      <c r="O33" s="116"/>
      <c r="P33" s="161">
        <v>25</v>
      </c>
      <c r="Q33" s="116">
        <f>+P33+N33+L33</f>
        <v>12153.937291666665</v>
      </c>
      <c r="R33" s="161">
        <f>+H33-Q33</f>
        <v>67846.062708333338</v>
      </c>
    </row>
    <row r="34" spans="1:19" s="114" customFormat="1" ht="39.950000000000003" customHeight="1" x14ac:dyDescent="0.2">
      <c r="A34" s="363" t="s">
        <v>103</v>
      </c>
      <c r="B34" s="364"/>
      <c r="C34" s="100"/>
      <c r="D34" s="100"/>
      <c r="E34" s="100"/>
      <c r="F34" s="100"/>
      <c r="G34" s="100"/>
      <c r="H34" s="101">
        <f>SUM(H29:H33)</f>
        <v>465000</v>
      </c>
      <c r="I34" s="101">
        <f t="shared" ref="I34:R34" si="16">SUM(I29:I33)</f>
        <v>13345.5</v>
      </c>
      <c r="J34" s="101">
        <f t="shared" si="16"/>
        <v>14136</v>
      </c>
      <c r="K34" s="101">
        <f t="shared" si="16"/>
        <v>5759.34</v>
      </c>
      <c r="L34" s="101">
        <f t="shared" si="16"/>
        <v>33240.839999999997</v>
      </c>
      <c r="M34" s="101">
        <f t="shared" si="16"/>
        <v>431759.16000000003</v>
      </c>
      <c r="N34" s="101">
        <f t="shared" si="16"/>
        <v>50854.476458333338</v>
      </c>
      <c r="O34" s="101">
        <f t="shared" si="16"/>
        <v>0</v>
      </c>
      <c r="P34" s="101">
        <f t="shared" si="16"/>
        <v>31263.040000000001</v>
      </c>
      <c r="Q34" s="101">
        <f t="shared" si="16"/>
        <v>115358.35645833334</v>
      </c>
      <c r="R34" s="101">
        <f t="shared" si="16"/>
        <v>349641.64354166668</v>
      </c>
      <c r="S34" s="339"/>
    </row>
    <row r="35" spans="1:19" s="111" customFormat="1" ht="39.950000000000003" customHeight="1" thickBot="1" x14ac:dyDescent="0.25">
      <c r="A35" s="170"/>
      <c r="B35" s="170"/>
      <c r="C35" s="170"/>
      <c r="D35" s="170"/>
      <c r="E35" s="170"/>
      <c r="F35" s="170"/>
      <c r="G35" s="170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</row>
    <row r="36" spans="1:19" s="171" customFormat="1" ht="39.950000000000003" customHeight="1" thickBot="1" x14ac:dyDescent="0.25">
      <c r="A36" s="151" t="s">
        <v>74</v>
      </c>
      <c r="B36" s="152"/>
      <c r="C36" s="152"/>
      <c r="D36" s="152"/>
      <c r="E36" s="152"/>
      <c r="F36" s="152"/>
      <c r="G36" s="152"/>
      <c r="H36" s="152"/>
      <c r="I36" s="152"/>
      <c r="J36" s="152"/>
      <c r="K36" s="152"/>
      <c r="L36" s="152"/>
      <c r="M36" s="152"/>
      <c r="N36" s="152"/>
      <c r="O36" s="152"/>
      <c r="P36" s="152"/>
      <c r="Q36" s="152"/>
      <c r="R36" s="152"/>
    </row>
    <row r="37" spans="1:19" s="114" customFormat="1" ht="39.950000000000003" customHeight="1" x14ac:dyDescent="0.2">
      <c r="A37" s="153">
        <f>+A33+1</f>
        <v>17</v>
      </c>
      <c r="B37" s="165" t="s">
        <v>356</v>
      </c>
      <c r="C37" s="153" t="s">
        <v>346</v>
      </c>
      <c r="D37" s="107" t="s">
        <v>245</v>
      </c>
      <c r="E37" s="154" t="s">
        <v>183</v>
      </c>
      <c r="F37" s="336" t="s">
        <v>641</v>
      </c>
      <c r="G37" s="154" t="s">
        <v>642</v>
      </c>
      <c r="H37" s="116">
        <v>90000</v>
      </c>
      <c r="I37" s="116">
        <f>H37*2.87%</f>
        <v>2583</v>
      </c>
      <c r="J37" s="116">
        <f>+H37*3.04%</f>
        <v>2736</v>
      </c>
      <c r="K37" s="116"/>
      <c r="L37" s="116">
        <f>+J37+I37+K37</f>
        <v>5319</v>
      </c>
      <c r="M37" s="116">
        <f t="shared" ref="M37:M43" si="17">+H37-L37</f>
        <v>84681</v>
      </c>
      <c r="N37" s="116">
        <f t="shared" ref="N37:N43" si="18">+IF(M37*12&lt;=416220.01,0,IF(M37*12&lt;=624329.01,(((M37*12-416220.01)*0.15)/12),IF((M37*12&lt;=867123.01),(31216+0.2*(M37*12-624329.01))/12,((79776+0.25*(M37*12-867123.01))/12))))-O37</f>
        <v>9753.1872916666671</v>
      </c>
      <c r="O37" s="116"/>
      <c r="P37" s="161">
        <v>25</v>
      </c>
      <c r="Q37" s="116">
        <f>+P37+N37+L37</f>
        <v>15097.187291666667</v>
      </c>
      <c r="R37" s="156">
        <f t="shared" ref="R37:R40" si="19">+H37-Q37</f>
        <v>74902.812708333338</v>
      </c>
    </row>
    <row r="38" spans="1:19" s="114" customFormat="1" ht="39.950000000000003" customHeight="1" x14ac:dyDescent="0.2">
      <c r="A38" s="153">
        <f t="shared" ref="A38:A42" si="20">+A37+1</f>
        <v>18</v>
      </c>
      <c r="B38" s="165" t="s">
        <v>400</v>
      </c>
      <c r="C38" s="153" t="s">
        <v>346</v>
      </c>
      <c r="D38" s="107" t="s">
        <v>245</v>
      </c>
      <c r="E38" s="154" t="s">
        <v>183</v>
      </c>
      <c r="F38" s="165" t="s">
        <v>576</v>
      </c>
      <c r="G38" s="154" t="s">
        <v>630</v>
      </c>
      <c r="H38" s="116">
        <v>80000</v>
      </c>
      <c r="I38" s="116">
        <f>H38*2.87%</f>
        <v>2296</v>
      </c>
      <c r="J38" s="116">
        <f>+H38*3.04%</f>
        <v>2432</v>
      </c>
      <c r="K38" s="116"/>
      <c r="L38" s="116">
        <f>+J38+I38+K38</f>
        <v>4728</v>
      </c>
      <c r="M38" s="116">
        <f t="shared" si="17"/>
        <v>75272</v>
      </c>
      <c r="N38" s="116">
        <f t="shared" si="18"/>
        <v>7400.9372916666662</v>
      </c>
      <c r="O38" s="116">
        <v>0</v>
      </c>
      <c r="P38" s="161">
        <v>2790.29</v>
      </c>
      <c r="Q38" s="116">
        <f>+P38+N38+L38</f>
        <v>14919.227291666666</v>
      </c>
      <c r="R38" s="156">
        <f t="shared" si="19"/>
        <v>65080.77270833333</v>
      </c>
    </row>
    <row r="39" spans="1:19" s="114" customFormat="1" ht="39.950000000000003" customHeight="1" x14ac:dyDescent="0.2">
      <c r="A39" s="153">
        <f t="shared" si="20"/>
        <v>19</v>
      </c>
      <c r="B39" s="165" t="s">
        <v>485</v>
      </c>
      <c r="C39" s="153" t="s">
        <v>345</v>
      </c>
      <c r="D39" s="107" t="s">
        <v>245</v>
      </c>
      <c r="E39" s="154" t="s">
        <v>183</v>
      </c>
      <c r="F39" s="165" t="s">
        <v>611</v>
      </c>
      <c r="G39" s="159" t="s">
        <v>616</v>
      </c>
      <c r="H39" s="116">
        <v>80000</v>
      </c>
      <c r="I39" s="116">
        <f>H39*2.87%</f>
        <v>2296</v>
      </c>
      <c r="J39" s="116">
        <f>+H39*3.04%</f>
        <v>2432</v>
      </c>
      <c r="K39" s="116"/>
      <c r="L39" s="116">
        <f>+J39+I39+K39</f>
        <v>4728</v>
      </c>
      <c r="M39" s="116">
        <f t="shared" si="17"/>
        <v>75272</v>
      </c>
      <c r="N39" s="116">
        <f t="shared" si="18"/>
        <v>7400.9372916666662</v>
      </c>
      <c r="O39" s="116"/>
      <c r="P39" s="161">
        <v>65</v>
      </c>
      <c r="Q39" s="116">
        <f>+P39+N39+L39</f>
        <v>12193.937291666665</v>
      </c>
      <c r="R39" s="156">
        <f t="shared" si="19"/>
        <v>67806.062708333338</v>
      </c>
    </row>
    <row r="40" spans="1:19" s="171" customFormat="1" ht="39.950000000000003" customHeight="1" x14ac:dyDescent="0.2">
      <c r="A40" s="157">
        <f t="shared" si="20"/>
        <v>20</v>
      </c>
      <c r="B40" s="165" t="s">
        <v>468</v>
      </c>
      <c r="C40" s="135" t="s">
        <v>346</v>
      </c>
      <c r="D40" s="107" t="s">
        <v>245</v>
      </c>
      <c r="E40" s="154" t="s">
        <v>183</v>
      </c>
      <c r="F40" s="165" t="s">
        <v>576</v>
      </c>
      <c r="G40" s="154" t="s">
        <v>630</v>
      </c>
      <c r="H40" s="118">
        <v>80000</v>
      </c>
      <c r="I40" s="118">
        <f t="shared" ref="I40:I43" si="21">H40*2.87%</f>
        <v>2296</v>
      </c>
      <c r="J40" s="118">
        <f t="shared" ref="J40:J43" si="22">+H40*3.04%</f>
        <v>2432</v>
      </c>
      <c r="K40" s="118"/>
      <c r="L40" s="116">
        <f>+I40+J40+K40</f>
        <v>4728</v>
      </c>
      <c r="M40" s="116">
        <f t="shared" si="17"/>
        <v>75272</v>
      </c>
      <c r="N40" s="116">
        <f t="shared" si="18"/>
        <v>7400.9372916666662</v>
      </c>
      <c r="O40" s="116"/>
      <c r="P40" s="161">
        <v>8290.2900000000009</v>
      </c>
      <c r="Q40" s="118">
        <f>+P40+K40+J40+I40+N40</f>
        <v>20419.227291666666</v>
      </c>
      <c r="R40" s="156">
        <f t="shared" si="19"/>
        <v>59580.77270833333</v>
      </c>
    </row>
    <row r="41" spans="1:19" s="171" customFormat="1" ht="39.950000000000003" customHeight="1" x14ac:dyDescent="0.2">
      <c r="A41" s="157">
        <f t="shared" si="20"/>
        <v>21</v>
      </c>
      <c r="B41" s="165" t="s">
        <v>628</v>
      </c>
      <c r="C41" s="135" t="s">
        <v>346</v>
      </c>
      <c r="D41" s="107" t="s">
        <v>245</v>
      </c>
      <c r="E41" s="154" t="s">
        <v>183</v>
      </c>
      <c r="F41" s="165" t="s">
        <v>576</v>
      </c>
      <c r="G41" s="154" t="s">
        <v>630</v>
      </c>
      <c r="H41" s="118">
        <v>80000</v>
      </c>
      <c r="I41" s="118">
        <f t="shared" si="21"/>
        <v>2296</v>
      </c>
      <c r="J41" s="118">
        <f t="shared" si="22"/>
        <v>2432</v>
      </c>
      <c r="K41" s="118"/>
      <c r="L41" s="116">
        <f>+I41+J41+K41</f>
        <v>4728</v>
      </c>
      <c r="M41" s="116">
        <f t="shared" si="17"/>
        <v>75272</v>
      </c>
      <c r="N41" s="116">
        <f t="shared" si="18"/>
        <v>7400.9372916666662</v>
      </c>
      <c r="O41" s="116"/>
      <c r="P41" s="161">
        <v>25</v>
      </c>
      <c r="Q41" s="118">
        <f t="shared" ref="Q41:Q43" si="23">+P41+K41+J41+I41+N41</f>
        <v>12153.937291666665</v>
      </c>
      <c r="R41" s="156">
        <f t="shared" ref="R41:R43" si="24">+H41-Q41</f>
        <v>67846.062708333338</v>
      </c>
    </row>
    <row r="42" spans="1:19" s="171" customFormat="1" ht="39.950000000000003" customHeight="1" x14ac:dyDescent="0.2">
      <c r="A42" s="157">
        <f t="shared" si="20"/>
        <v>22</v>
      </c>
      <c r="B42" s="165" t="s">
        <v>629</v>
      </c>
      <c r="C42" s="135" t="s">
        <v>346</v>
      </c>
      <c r="D42" s="107" t="s">
        <v>245</v>
      </c>
      <c r="E42" s="154" t="s">
        <v>183</v>
      </c>
      <c r="F42" s="165" t="s">
        <v>576</v>
      </c>
      <c r="G42" s="154" t="s">
        <v>630</v>
      </c>
      <c r="H42" s="118">
        <v>80000</v>
      </c>
      <c r="I42" s="118">
        <f t="shared" si="21"/>
        <v>2296</v>
      </c>
      <c r="J42" s="118">
        <f t="shared" si="22"/>
        <v>2432</v>
      </c>
      <c r="K42" s="118"/>
      <c r="L42" s="116">
        <f>+I42+J42+K42</f>
        <v>4728</v>
      </c>
      <c r="M42" s="116">
        <f t="shared" si="17"/>
        <v>75272</v>
      </c>
      <c r="N42" s="116">
        <f t="shared" si="18"/>
        <v>7400.9372916666662</v>
      </c>
      <c r="O42" s="116"/>
      <c r="P42" s="161">
        <v>25</v>
      </c>
      <c r="Q42" s="118">
        <f t="shared" si="23"/>
        <v>12153.937291666665</v>
      </c>
      <c r="R42" s="156">
        <f t="shared" si="24"/>
        <v>67846.062708333338</v>
      </c>
    </row>
    <row r="43" spans="1:19" s="171" customFormat="1" ht="39.950000000000003" customHeight="1" x14ac:dyDescent="0.2">
      <c r="A43" s="157">
        <f>+A42+1</f>
        <v>23</v>
      </c>
      <c r="B43" s="165" t="s">
        <v>651</v>
      </c>
      <c r="C43" s="135" t="s">
        <v>346</v>
      </c>
      <c r="D43" s="107" t="s">
        <v>245</v>
      </c>
      <c r="E43" s="154" t="s">
        <v>183</v>
      </c>
      <c r="F43" s="336" t="s">
        <v>656</v>
      </c>
      <c r="G43" s="154" t="s">
        <v>654</v>
      </c>
      <c r="H43" s="118">
        <v>80000</v>
      </c>
      <c r="I43" s="118">
        <f t="shared" si="21"/>
        <v>2296</v>
      </c>
      <c r="J43" s="118">
        <f t="shared" si="22"/>
        <v>2432</v>
      </c>
      <c r="K43" s="118"/>
      <c r="L43" s="116">
        <f>+I43+J43+K43</f>
        <v>4728</v>
      </c>
      <c r="M43" s="116">
        <f t="shared" si="17"/>
        <v>75272</v>
      </c>
      <c r="N43" s="116">
        <f t="shared" si="18"/>
        <v>7400.9372916666662</v>
      </c>
      <c r="O43" s="116"/>
      <c r="P43" s="161">
        <v>25</v>
      </c>
      <c r="Q43" s="118">
        <f t="shared" si="23"/>
        <v>12153.937291666665</v>
      </c>
      <c r="R43" s="156">
        <f t="shared" si="24"/>
        <v>67846.062708333338</v>
      </c>
    </row>
    <row r="44" spans="1:19" s="111" customFormat="1" ht="39.950000000000003" customHeight="1" x14ac:dyDescent="0.2">
      <c r="A44" s="363" t="s">
        <v>103</v>
      </c>
      <c r="B44" s="364"/>
      <c r="C44" s="100"/>
      <c r="D44" s="100"/>
      <c r="E44" s="100"/>
      <c r="F44" s="100"/>
      <c r="G44" s="100"/>
      <c r="H44" s="101">
        <f>SUM(H37:H43)</f>
        <v>570000</v>
      </c>
      <c r="I44" s="101">
        <f t="shared" ref="I44:R44" si="25">SUM(I37:I43)</f>
        <v>16359</v>
      </c>
      <c r="J44" s="101">
        <f t="shared" si="25"/>
        <v>17328</v>
      </c>
      <c r="K44" s="101">
        <f t="shared" si="25"/>
        <v>0</v>
      </c>
      <c r="L44" s="101">
        <f t="shared" si="25"/>
        <v>33687</v>
      </c>
      <c r="M44" s="101">
        <f t="shared" si="25"/>
        <v>536313</v>
      </c>
      <c r="N44" s="101">
        <f t="shared" si="25"/>
        <v>54158.811041666668</v>
      </c>
      <c r="O44" s="101">
        <f t="shared" si="25"/>
        <v>0</v>
      </c>
      <c r="P44" s="101">
        <f>SUM(P37:P43)</f>
        <v>11245.580000000002</v>
      </c>
      <c r="Q44" s="101">
        <f t="shared" si="25"/>
        <v>99091.391041666648</v>
      </c>
      <c r="R44" s="101">
        <f t="shared" si="25"/>
        <v>470908.60895833338</v>
      </c>
      <c r="S44" s="338"/>
    </row>
    <row r="45" spans="1:19" s="171" customFormat="1" ht="39.950000000000003" customHeight="1" thickBot="1" x14ac:dyDescent="0.25">
      <c r="A45" s="170"/>
      <c r="B45" s="170"/>
      <c r="C45" s="170"/>
      <c r="D45" s="170"/>
      <c r="E45" s="170"/>
      <c r="F45" s="170"/>
      <c r="G45" s="170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</row>
    <row r="46" spans="1:19" s="114" customFormat="1" ht="39.950000000000003" customHeight="1" thickBot="1" x14ac:dyDescent="0.25">
      <c r="A46" s="173" t="s">
        <v>152</v>
      </c>
      <c r="B46" s="174"/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</row>
    <row r="47" spans="1:19" s="114" customFormat="1" ht="39.950000000000003" customHeight="1" x14ac:dyDescent="0.2">
      <c r="A47" s="153">
        <f>+A43+1</f>
        <v>24</v>
      </c>
      <c r="B47" s="165" t="s">
        <v>414</v>
      </c>
      <c r="C47" s="153" t="s">
        <v>346</v>
      </c>
      <c r="D47" s="154" t="s">
        <v>109</v>
      </c>
      <c r="E47" s="154" t="s">
        <v>183</v>
      </c>
      <c r="F47" s="168" t="s">
        <v>573</v>
      </c>
      <c r="G47" s="159" t="s">
        <v>660</v>
      </c>
      <c r="H47" s="105">
        <v>70000</v>
      </c>
      <c r="I47" s="105">
        <f>H47*2.87%</f>
        <v>2009</v>
      </c>
      <c r="J47" s="105">
        <f>+H47*3.04%</f>
        <v>2128</v>
      </c>
      <c r="K47" s="105"/>
      <c r="L47" s="116">
        <f>+J47+I47+K47</f>
        <v>4137</v>
      </c>
      <c r="M47" s="116">
        <f>+H47-L47</f>
        <v>65863</v>
      </c>
      <c r="N47" s="116">
        <f t="shared" ref="N47" si="26">+IF(M47*12&lt;=416220.01,0,IF(M47*12&lt;=624329.01,(((M47*12-416220.01)*0.15)/12),IF((M47*12&lt;=867123.01),(31216+0.2*(M47*12-624329.01))/12,((79776+0.25*(M47*12-867123.01))/12))))-O47</f>
        <v>5368.4498333333331</v>
      </c>
      <c r="O47" s="116"/>
      <c r="P47" s="164">
        <v>3330.29</v>
      </c>
      <c r="Q47" s="116">
        <f>+P47+N47+L47</f>
        <v>12835.739833333333</v>
      </c>
      <c r="R47" s="156">
        <f>+H47-Q47</f>
        <v>57164.260166666667</v>
      </c>
    </row>
    <row r="48" spans="1:19" s="111" customFormat="1" ht="39.950000000000003" customHeight="1" thickBot="1" x14ac:dyDescent="0.25">
      <c r="A48" s="363" t="s">
        <v>103</v>
      </c>
      <c r="B48" s="364"/>
      <c r="C48" s="184"/>
      <c r="D48" s="184"/>
      <c r="E48" s="184"/>
      <c r="F48" s="184"/>
      <c r="G48" s="185"/>
      <c r="H48" s="101">
        <f t="shared" ref="H48:R48" si="27">SUM(H47:H47)</f>
        <v>70000</v>
      </c>
      <c r="I48" s="101">
        <f t="shared" si="27"/>
        <v>2009</v>
      </c>
      <c r="J48" s="101">
        <f t="shared" si="27"/>
        <v>2128</v>
      </c>
      <c r="K48" s="101">
        <f t="shared" si="27"/>
        <v>0</v>
      </c>
      <c r="L48" s="101">
        <f t="shared" si="27"/>
        <v>4137</v>
      </c>
      <c r="M48" s="101">
        <f t="shared" si="27"/>
        <v>65863</v>
      </c>
      <c r="N48" s="101">
        <f t="shared" si="27"/>
        <v>5368.4498333333331</v>
      </c>
      <c r="O48" s="101">
        <f t="shared" si="27"/>
        <v>0</v>
      </c>
      <c r="P48" s="101">
        <f t="shared" si="27"/>
        <v>3330.29</v>
      </c>
      <c r="Q48" s="101">
        <f t="shared" si="27"/>
        <v>12835.739833333333</v>
      </c>
      <c r="R48" s="101">
        <f t="shared" si="27"/>
        <v>57164.260166666667</v>
      </c>
      <c r="S48" s="338"/>
    </row>
    <row r="49" spans="1:19" s="111" customFormat="1" ht="39.950000000000003" customHeight="1" thickBot="1" x14ac:dyDescent="0.25">
      <c r="A49" s="173" t="s">
        <v>127</v>
      </c>
      <c r="B49" s="174"/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</row>
    <row r="50" spans="1:19" s="171" customFormat="1" ht="39.950000000000003" customHeight="1" x14ac:dyDescent="0.2">
      <c r="A50" s="157">
        <f>+A47+1</f>
        <v>25</v>
      </c>
      <c r="B50" s="165" t="s">
        <v>184</v>
      </c>
      <c r="C50" s="135" t="s">
        <v>346</v>
      </c>
      <c r="D50" s="107" t="s">
        <v>598</v>
      </c>
      <c r="E50" s="154" t="s">
        <v>183</v>
      </c>
      <c r="F50" s="159" t="s">
        <v>661</v>
      </c>
      <c r="G50" s="159" t="s">
        <v>660</v>
      </c>
      <c r="H50" s="118">
        <v>85000</v>
      </c>
      <c r="I50" s="118">
        <f>H50*2.87%</f>
        <v>2439.5</v>
      </c>
      <c r="J50" s="118">
        <f>+H50*3.04%</f>
        <v>2584</v>
      </c>
      <c r="K50" s="118"/>
      <c r="L50" s="116">
        <f>+J50+I50+K50</f>
        <v>5023.5</v>
      </c>
      <c r="M50" s="116">
        <f>+H50-L50</f>
        <v>79976.5</v>
      </c>
      <c r="N50" s="116">
        <f>+IF(M50*12&lt;=416220.01,0,IF(M50*12&lt;=624329.01,(((M50*12-416220.01)*0.15)/12),IF((M50*12&lt;=867123.01),(31216+0.2*(M50*12-624329.01))/12,((79776+0.25*(M50*12-867123.01))/12))))-O50</f>
        <v>8577.0622916666671</v>
      </c>
      <c r="O50" s="116"/>
      <c r="P50" s="156">
        <v>3952.08</v>
      </c>
      <c r="Q50" s="118">
        <f>+P50+N50+L50</f>
        <v>17552.642291666667</v>
      </c>
      <c r="R50" s="156">
        <f>+H50-Q50</f>
        <v>67447.357708333337</v>
      </c>
    </row>
    <row r="51" spans="1:19" s="171" customFormat="1" ht="39.950000000000003" customHeight="1" x14ac:dyDescent="0.2">
      <c r="A51" s="157">
        <f>+A50+1</f>
        <v>26</v>
      </c>
      <c r="B51" s="165" t="s">
        <v>526</v>
      </c>
      <c r="C51" s="135" t="s">
        <v>345</v>
      </c>
      <c r="D51" s="107" t="s">
        <v>605</v>
      </c>
      <c r="E51" s="154" t="s">
        <v>183</v>
      </c>
      <c r="F51" s="154" t="s">
        <v>592</v>
      </c>
      <c r="G51" s="154" t="s">
        <v>640</v>
      </c>
      <c r="H51" s="118">
        <v>80000</v>
      </c>
      <c r="I51" s="118">
        <f>H51*2.87%</f>
        <v>2296</v>
      </c>
      <c r="J51" s="118">
        <f>+H51*3.04%</f>
        <v>2432</v>
      </c>
      <c r="K51" s="118"/>
      <c r="L51" s="116">
        <f>+J51+I51+K51</f>
        <v>4728</v>
      </c>
      <c r="M51" s="116">
        <f>+H51-L51</f>
        <v>75272</v>
      </c>
      <c r="N51" s="116">
        <f t="shared" ref="N51" si="28">+IF(M51*12&lt;=416220.01,0,IF(M51*12&lt;=624329.01,(((M51*12-416220.01)*0.15)/12),IF((M51*12&lt;=867123.01),(31216+0.2*(M51*12-624329.01))/12,((79776+0.25*(M51*12-867123.01))/12))))-O51</f>
        <v>7400.9372916666662</v>
      </c>
      <c r="O51" s="116"/>
      <c r="P51" s="156">
        <f>125+100</f>
        <v>225</v>
      </c>
      <c r="Q51" s="118">
        <f>+P51+N51+L51</f>
        <v>12353.937291666665</v>
      </c>
      <c r="R51" s="156">
        <f>+H51-Q51</f>
        <v>67646.062708333338</v>
      </c>
    </row>
    <row r="52" spans="1:19" s="114" customFormat="1" ht="39.950000000000003" customHeight="1" x14ac:dyDescent="0.2">
      <c r="A52" s="363" t="s">
        <v>103</v>
      </c>
      <c r="B52" s="364"/>
      <c r="C52" s="100"/>
      <c r="D52" s="100"/>
      <c r="E52" s="100"/>
      <c r="F52" s="100"/>
      <c r="G52" s="100"/>
      <c r="H52" s="101">
        <f>SUM(H50:H51)</f>
        <v>165000</v>
      </c>
      <c r="I52" s="101">
        <f t="shared" ref="I52:R52" si="29">SUM(I50:I51)</f>
        <v>4735.5</v>
      </c>
      <c r="J52" s="101">
        <f t="shared" si="29"/>
        <v>5016</v>
      </c>
      <c r="K52" s="101">
        <f t="shared" si="29"/>
        <v>0</v>
      </c>
      <c r="L52" s="101">
        <f t="shared" si="29"/>
        <v>9751.5</v>
      </c>
      <c r="M52" s="101">
        <f t="shared" si="29"/>
        <v>155248.5</v>
      </c>
      <c r="N52" s="101">
        <f t="shared" si="29"/>
        <v>15977.999583333334</v>
      </c>
      <c r="O52" s="101">
        <f t="shared" si="29"/>
        <v>0</v>
      </c>
      <c r="P52" s="101">
        <f t="shared" si="29"/>
        <v>4177.08</v>
      </c>
      <c r="Q52" s="101">
        <f t="shared" si="29"/>
        <v>29906.579583333332</v>
      </c>
      <c r="R52" s="101">
        <f t="shared" si="29"/>
        <v>135093.42041666666</v>
      </c>
      <c r="S52" s="339"/>
    </row>
    <row r="53" spans="1:19" s="114" customFormat="1" ht="39.950000000000003" customHeight="1" thickBot="1" x14ac:dyDescent="0.25">
      <c r="A53" s="170"/>
      <c r="B53" s="170"/>
      <c r="C53" s="170"/>
      <c r="D53" s="170"/>
      <c r="E53" s="170"/>
      <c r="F53" s="170"/>
      <c r="G53" s="170"/>
    </row>
    <row r="54" spans="1:19" s="114" customFormat="1" ht="39.950000000000003" customHeight="1" thickBot="1" x14ac:dyDescent="0.25">
      <c r="A54" s="173" t="s">
        <v>128</v>
      </c>
      <c r="B54" s="174"/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</row>
    <row r="55" spans="1:19" s="114" customFormat="1" ht="39.950000000000003" customHeight="1" x14ac:dyDescent="0.2">
      <c r="A55" s="311">
        <f>+A51+1</f>
        <v>27</v>
      </c>
      <c r="B55" s="141" t="s">
        <v>354</v>
      </c>
      <c r="C55" s="136" t="s">
        <v>346</v>
      </c>
      <c r="D55" s="154" t="s">
        <v>355</v>
      </c>
      <c r="E55" s="154" t="s">
        <v>183</v>
      </c>
      <c r="F55" s="165" t="s">
        <v>641</v>
      </c>
      <c r="G55" s="154" t="s">
        <v>642</v>
      </c>
      <c r="H55" s="117">
        <v>145000</v>
      </c>
      <c r="I55" s="116">
        <f>H55*2.87%</f>
        <v>4161.5</v>
      </c>
      <c r="J55" s="118">
        <f>+H55*3.04%</f>
        <v>4408</v>
      </c>
      <c r="K55" s="118"/>
      <c r="L55" s="118">
        <f>+J55+I55+K55</f>
        <v>8569.5</v>
      </c>
      <c r="M55" s="116">
        <f>+H55-L55</f>
        <v>136430.5</v>
      </c>
      <c r="N55" s="116">
        <f>+IF(M55*12&lt;=416220.01,0,IF(M55*12&lt;=624329.01,(((M55*12-416220.01)*0.15)/12),IF((M55*12&lt;=867123.01),(31216+0.2*(M55*12-624329.01))/12,((79776+0.25*(M55*12-867123.01))/12))))</f>
        <v>22690.562291666665</v>
      </c>
      <c r="O55" s="116"/>
      <c r="P55" s="161">
        <f>125+100</f>
        <v>225</v>
      </c>
      <c r="Q55" s="116">
        <f>+P55+N55+L55</f>
        <v>31485.062291666665</v>
      </c>
      <c r="R55" s="161">
        <f>+H55-Q55</f>
        <v>113514.93770833334</v>
      </c>
    </row>
    <row r="56" spans="1:19" s="114" customFormat="1" ht="39.950000000000003" customHeight="1" x14ac:dyDescent="0.2">
      <c r="A56" s="311">
        <f>+A55+1</f>
        <v>28</v>
      </c>
      <c r="B56" s="324" t="s">
        <v>603</v>
      </c>
      <c r="C56" s="136" t="s">
        <v>346</v>
      </c>
      <c r="D56" s="154" t="s">
        <v>605</v>
      </c>
      <c r="E56" s="107" t="s">
        <v>183</v>
      </c>
      <c r="F56" s="154" t="s">
        <v>604</v>
      </c>
      <c r="G56" s="154" t="s">
        <v>654</v>
      </c>
      <c r="H56" s="161">
        <v>80000</v>
      </c>
      <c r="I56" s="118">
        <f>H56*2.87%</f>
        <v>2296</v>
      </c>
      <c r="J56" s="118">
        <f>+H56*3.04%</f>
        <v>2432</v>
      </c>
      <c r="K56" s="118"/>
      <c r="L56" s="116">
        <f>+J56+I56+K56</f>
        <v>4728</v>
      </c>
      <c r="M56" s="116">
        <f>+H56-L56</f>
        <v>75272</v>
      </c>
      <c r="N56" s="116">
        <f t="shared" ref="N56" si="30">+IF(M56*12&lt;=416220.01,0,IF(M56*12&lt;=624329.01,(((M56*12-416220.01)*0.15)/12),IF((M56*12&lt;=867123.01),(31216+0.2*(M56*12-624329.01))/12,((79776+0.25*(M56*12-867123.01))/12))))</f>
        <v>7400.9372916666662</v>
      </c>
      <c r="O56" s="116"/>
      <c r="P56" s="156">
        <v>25</v>
      </c>
      <c r="Q56" s="116">
        <f>+P56+N56+L56</f>
        <v>12153.937291666665</v>
      </c>
      <c r="R56" s="156">
        <f>+H56-Q56</f>
        <v>67846.062708333338</v>
      </c>
    </row>
    <row r="57" spans="1:19" s="114" customFormat="1" ht="39.950000000000003" customHeight="1" x14ac:dyDescent="0.2">
      <c r="A57" s="363" t="s">
        <v>103</v>
      </c>
      <c r="B57" s="364"/>
      <c r="C57" s="100"/>
      <c r="D57" s="100"/>
      <c r="E57" s="100"/>
      <c r="F57" s="100"/>
      <c r="G57" s="100"/>
      <c r="H57" s="101">
        <f t="shared" ref="H57:R57" si="31">SUM(H55:H56)</f>
        <v>225000</v>
      </c>
      <c r="I57" s="101">
        <f t="shared" si="31"/>
        <v>6457.5</v>
      </c>
      <c r="J57" s="101">
        <f t="shared" si="31"/>
        <v>6840</v>
      </c>
      <c r="K57" s="101">
        <f t="shared" si="31"/>
        <v>0</v>
      </c>
      <c r="L57" s="101">
        <f t="shared" si="31"/>
        <v>13297.5</v>
      </c>
      <c r="M57" s="101">
        <f t="shared" si="31"/>
        <v>211702.5</v>
      </c>
      <c r="N57" s="101">
        <f t="shared" si="31"/>
        <v>30091.499583333331</v>
      </c>
      <c r="O57" s="101">
        <f t="shared" si="31"/>
        <v>0</v>
      </c>
      <c r="P57" s="101">
        <f t="shared" si="31"/>
        <v>250</v>
      </c>
      <c r="Q57" s="101">
        <f t="shared" si="31"/>
        <v>43638.999583333331</v>
      </c>
      <c r="R57" s="101">
        <f t="shared" si="31"/>
        <v>181361.00041666668</v>
      </c>
      <c r="S57" s="339"/>
    </row>
    <row r="58" spans="1:19" s="114" customFormat="1" ht="39.950000000000003" customHeight="1" thickBot="1" x14ac:dyDescent="0.25">
      <c r="A58" s="170"/>
      <c r="B58" s="170"/>
      <c r="C58" s="170"/>
      <c r="D58" s="170"/>
      <c r="E58" s="170"/>
      <c r="F58" s="170"/>
      <c r="G58" s="170"/>
    </row>
    <row r="59" spans="1:19" s="114" customFormat="1" ht="39.950000000000003" customHeight="1" thickBot="1" x14ac:dyDescent="0.25">
      <c r="A59" s="151" t="s">
        <v>129</v>
      </c>
      <c r="B59" s="152"/>
      <c r="C59" s="152"/>
      <c r="D59" s="152"/>
      <c r="E59" s="152"/>
      <c r="F59" s="152"/>
      <c r="G59" s="152"/>
      <c r="H59" s="152"/>
      <c r="I59" s="152"/>
      <c r="J59" s="152"/>
      <c r="K59" s="152"/>
      <c r="L59" s="152"/>
      <c r="M59" s="152"/>
      <c r="N59" s="152"/>
      <c r="O59" s="152"/>
      <c r="P59" s="152"/>
      <c r="Q59" s="152"/>
      <c r="R59" s="152"/>
    </row>
    <row r="60" spans="1:19" s="114" customFormat="1" ht="39.950000000000003" customHeight="1" x14ac:dyDescent="0.2">
      <c r="A60" s="177">
        <f>+A56+1</f>
        <v>29</v>
      </c>
      <c r="B60" s="178" t="s">
        <v>480</v>
      </c>
      <c r="C60" s="129" t="s">
        <v>345</v>
      </c>
      <c r="D60" s="176" t="s">
        <v>598</v>
      </c>
      <c r="E60" s="102" t="s">
        <v>183</v>
      </c>
      <c r="F60" s="165" t="s">
        <v>611</v>
      </c>
      <c r="G60" s="159" t="s">
        <v>616</v>
      </c>
      <c r="H60" s="156">
        <v>80000</v>
      </c>
      <c r="I60" s="116">
        <f>H60*2.87%</f>
        <v>2296</v>
      </c>
      <c r="J60" s="116">
        <f>+H60*3.04%</f>
        <v>2432</v>
      </c>
      <c r="K60" s="116"/>
      <c r="L60" s="116">
        <f>+J60+I60+K60</f>
        <v>4728</v>
      </c>
      <c r="M60" s="116">
        <f>+H60-L60</f>
        <v>75272</v>
      </c>
      <c r="N60" s="116">
        <f>+IF(M61*12&lt;=416220.01,0,IF(M60*12&lt;=624329.01,(((M60*12-416220.01)*0.15)/12),IF((M60*12&lt;=867123.01),(31216+0.2*(M60*12-624329.01))/12,((79776+0.25*(M60*12-867123.01))/12))))-O60</f>
        <v>7400.9372916666662</v>
      </c>
      <c r="O60" s="116"/>
      <c r="P60" s="161">
        <v>15290.29</v>
      </c>
      <c r="Q60" s="116">
        <f>+P60+N60+L60</f>
        <v>27419.227291666666</v>
      </c>
      <c r="R60" s="161">
        <f>+H60-Q60</f>
        <v>52580.77270833333</v>
      </c>
    </row>
    <row r="61" spans="1:19" s="114" customFormat="1" ht="39.950000000000003" customHeight="1" thickBot="1" x14ac:dyDescent="0.25">
      <c r="A61" s="363" t="s">
        <v>103</v>
      </c>
      <c r="B61" s="364"/>
      <c r="C61" s="100"/>
      <c r="D61" s="100"/>
      <c r="E61" s="100"/>
      <c r="F61" s="100"/>
      <c r="G61" s="100"/>
      <c r="H61" s="101">
        <f>SUM(H60)</f>
        <v>80000</v>
      </c>
      <c r="I61" s="101">
        <f t="shared" ref="I61:R61" si="32">SUM(I60)</f>
        <v>2296</v>
      </c>
      <c r="J61" s="101">
        <f t="shared" si="32"/>
        <v>2432</v>
      </c>
      <c r="K61" s="101">
        <f t="shared" si="32"/>
        <v>0</v>
      </c>
      <c r="L61" s="101">
        <f t="shared" si="32"/>
        <v>4728</v>
      </c>
      <c r="M61" s="101">
        <f t="shared" si="32"/>
        <v>75272</v>
      </c>
      <c r="N61" s="101">
        <f t="shared" si="32"/>
        <v>7400.9372916666662</v>
      </c>
      <c r="O61" s="101">
        <f t="shared" si="32"/>
        <v>0</v>
      </c>
      <c r="P61" s="101">
        <f t="shared" si="32"/>
        <v>15290.29</v>
      </c>
      <c r="Q61" s="101">
        <f t="shared" si="32"/>
        <v>27419.227291666666</v>
      </c>
      <c r="R61" s="101">
        <f t="shared" si="32"/>
        <v>52580.77270833333</v>
      </c>
      <c r="S61" s="339"/>
    </row>
    <row r="62" spans="1:19" s="114" customFormat="1" ht="39.950000000000003" customHeight="1" thickBot="1" x14ac:dyDescent="0.25">
      <c r="A62" s="151" t="s">
        <v>130</v>
      </c>
      <c r="B62" s="152"/>
      <c r="C62" s="152"/>
      <c r="D62" s="152"/>
      <c r="E62" s="152"/>
      <c r="F62" s="152"/>
      <c r="G62" s="152"/>
      <c r="H62" s="152"/>
      <c r="I62" s="152"/>
      <c r="J62" s="152"/>
      <c r="K62" s="152"/>
      <c r="L62" s="152"/>
      <c r="M62" s="152"/>
      <c r="N62" s="152"/>
      <c r="O62" s="152"/>
      <c r="P62" s="152"/>
      <c r="Q62" s="152"/>
      <c r="R62" s="152"/>
    </row>
    <row r="63" spans="1:19" s="114" customFormat="1" ht="39.950000000000003" customHeight="1" x14ac:dyDescent="0.2">
      <c r="A63" s="177">
        <f>+A60+1</f>
        <v>30</v>
      </c>
      <c r="B63" s="178" t="s">
        <v>106</v>
      </c>
      <c r="C63" s="129" t="s">
        <v>345</v>
      </c>
      <c r="D63" s="176" t="s">
        <v>605</v>
      </c>
      <c r="E63" s="102" t="s">
        <v>183</v>
      </c>
      <c r="F63" s="154" t="s">
        <v>641</v>
      </c>
      <c r="G63" s="154" t="s">
        <v>642</v>
      </c>
      <c r="H63" s="156">
        <v>90000</v>
      </c>
      <c r="I63" s="116">
        <f>H63*2.87%</f>
        <v>2583</v>
      </c>
      <c r="J63" s="116">
        <f>+H63*3.04%</f>
        <v>2736</v>
      </c>
      <c r="K63" s="116"/>
      <c r="L63" s="116">
        <f>+J63+I63+K63</f>
        <v>5319</v>
      </c>
      <c r="M63" s="116">
        <f>+H63-L63</f>
        <v>84681</v>
      </c>
      <c r="N63" s="116">
        <f>+IF(M63*12&lt;=416220.01,0,IF(M63*12&lt;=624329.01,(((M63*12-416220.01)*0.15)/12),IF((M63*12&lt;=867123.01),(31216+0.2*(M63*12-624329.01))/12,((79776+0.25*(M63*12-867123.01))/12))))-O63</f>
        <v>9753.1872916666671</v>
      </c>
      <c r="O63" s="116"/>
      <c r="P63" s="161">
        <v>25</v>
      </c>
      <c r="Q63" s="116">
        <f>+P63+N63+L63</f>
        <v>15097.187291666667</v>
      </c>
      <c r="R63" s="161">
        <f>+H63-Q63</f>
        <v>74902.812708333338</v>
      </c>
    </row>
    <row r="64" spans="1:19" s="114" customFormat="1" ht="39.950000000000003" customHeight="1" x14ac:dyDescent="0.2">
      <c r="A64" s="177">
        <f>+A63+1</f>
        <v>31</v>
      </c>
      <c r="B64" s="178" t="s">
        <v>505</v>
      </c>
      <c r="C64" s="129" t="s">
        <v>345</v>
      </c>
      <c r="D64" s="176" t="s">
        <v>598</v>
      </c>
      <c r="E64" s="102" t="s">
        <v>183</v>
      </c>
      <c r="F64" s="154" t="s">
        <v>641</v>
      </c>
      <c r="G64" s="154" t="s">
        <v>642</v>
      </c>
      <c r="H64" s="156">
        <v>80000</v>
      </c>
      <c r="I64" s="118">
        <f>H64*2.87%</f>
        <v>2296</v>
      </c>
      <c r="J64" s="118">
        <f>+H64*3.04%</f>
        <v>2432</v>
      </c>
      <c r="K64" s="118">
        <f>1919.78*2</f>
        <v>3839.56</v>
      </c>
      <c r="L64" s="118">
        <f>+J64+I64+K64</f>
        <v>8567.56</v>
      </c>
      <c r="M64" s="116">
        <f>+H64-L64</f>
        <v>71432.44</v>
      </c>
      <c r="N64" s="116">
        <f>+IF(M64*12&lt;=416220.01,0,IF(M64*12&lt;=624329.01,(((M64*12-416220.01)*0.15)/12),IF((M64*12&lt;=867123.01),(31216+0.2*(M64*12-624329.01))/12,((79776+0.25*(M64*12-867123.01))/12))))-O64</f>
        <v>6482.3378333333339</v>
      </c>
      <c r="O64" s="116"/>
      <c r="P64" s="161">
        <v>3551.9</v>
      </c>
      <c r="Q64" s="116">
        <f>+P64+N64+L64</f>
        <v>18601.797833333334</v>
      </c>
      <c r="R64" s="156">
        <f>+H64-Q64</f>
        <v>61398.20216666667</v>
      </c>
    </row>
    <row r="65" spans="1:19" s="114" customFormat="1" ht="39.950000000000003" customHeight="1" x14ac:dyDescent="0.2">
      <c r="A65" s="363" t="s">
        <v>103</v>
      </c>
      <c r="B65" s="364"/>
      <c r="C65" s="100"/>
      <c r="D65" s="100"/>
      <c r="E65" s="100"/>
      <c r="F65" s="100"/>
      <c r="G65" s="100"/>
      <c r="H65" s="101">
        <f>SUM(H63:H64)</f>
        <v>170000</v>
      </c>
      <c r="I65" s="101">
        <f t="shared" ref="I65:R65" si="33">SUM(I63:I64)</f>
        <v>4879</v>
      </c>
      <c r="J65" s="101">
        <f t="shared" si="33"/>
        <v>5168</v>
      </c>
      <c r="K65" s="101">
        <f t="shared" si="33"/>
        <v>3839.56</v>
      </c>
      <c r="L65" s="101">
        <f t="shared" si="33"/>
        <v>13886.56</v>
      </c>
      <c r="M65" s="101">
        <f t="shared" si="33"/>
        <v>156113.44</v>
      </c>
      <c r="N65" s="101">
        <f t="shared" si="33"/>
        <v>16235.525125</v>
      </c>
      <c r="O65" s="101">
        <f t="shared" si="33"/>
        <v>0</v>
      </c>
      <c r="P65" s="101">
        <f t="shared" si="33"/>
        <v>3576.9</v>
      </c>
      <c r="Q65" s="101">
        <f t="shared" si="33"/>
        <v>33698.985124999999</v>
      </c>
      <c r="R65" s="101">
        <f t="shared" si="33"/>
        <v>136301.01487499999</v>
      </c>
      <c r="S65" s="339"/>
    </row>
    <row r="66" spans="1:19" s="114" customFormat="1" ht="39.950000000000003" customHeight="1" thickBot="1" x14ac:dyDescent="0.25">
      <c r="A66" s="170"/>
      <c r="B66" s="170"/>
      <c r="C66" s="170"/>
      <c r="D66" s="170"/>
      <c r="E66" s="170"/>
      <c r="F66" s="170"/>
      <c r="G66" s="170"/>
      <c r="J66" s="171"/>
      <c r="K66" s="171"/>
      <c r="L66" s="171"/>
      <c r="M66" s="171"/>
      <c r="N66" s="171"/>
      <c r="O66" s="171"/>
      <c r="P66" s="171"/>
      <c r="Q66" s="171"/>
      <c r="R66" s="171"/>
    </row>
    <row r="67" spans="1:19" s="111" customFormat="1" ht="39.950000000000003" customHeight="1" thickBot="1" x14ac:dyDescent="0.25">
      <c r="A67" s="151" t="s">
        <v>131</v>
      </c>
      <c r="B67" s="152"/>
      <c r="C67" s="152"/>
      <c r="D67" s="152"/>
      <c r="E67" s="152"/>
      <c r="F67" s="152"/>
      <c r="G67" s="152"/>
      <c r="H67" s="152"/>
      <c r="I67" s="152"/>
      <c r="J67" s="152"/>
      <c r="K67" s="152"/>
      <c r="L67" s="152"/>
      <c r="M67" s="152"/>
      <c r="N67" s="152"/>
      <c r="O67" s="152"/>
      <c r="P67" s="152"/>
      <c r="Q67" s="152"/>
      <c r="R67" s="152"/>
    </row>
    <row r="68" spans="1:19" s="115" customFormat="1" ht="39.950000000000003" customHeight="1" x14ac:dyDescent="0.2">
      <c r="A68" s="177">
        <f>+A64+1</f>
        <v>32</v>
      </c>
      <c r="B68" s="105" t="s">
        <v>523</v>
      </c>
      <c r="C68" s="130" t="s">
        <v>345</v>
      </c>
      <c r="D68" s="154" t="s">
        <v>598</v>
      </c>
      <c r="E68" s="154" t="s">
        <v>183</v>
      </c>
      <c r="F68" s="154" t="s">
        <v>604</v>
      </c>
      <c r="G68" s="154" t="s">
        <v>654</v>
      </c>
      <c r="H68" s="161">
        <v>80000</v>
      </c>
      <c r="I68" s="116">
        <f>H68*2.87%</f>
        <v>2296</v>
      </c>
      <c r="J68" s="116">
        <f>+H68*3.04%</f>
        <v>2432</v>
      </c>
      <c r="K68" s="116"/>
      <c r="L68" s="116">
        <f>+J68+I68+K68</f>
        <v>4728</v>
      </c>
      <c r="M68" s="116">
        <f>+H68-L68</f>
        <v>75272</v>
      </c>
      <c r="N68" s="116">
        <f>+IF(M68*12&lt;=416220.01,0,IF(M68*12&lt;=624329.01,(((M68*12-416220.01)*0.15)/12),IF((M68*12&lt;=867123.01),(31216+0.2*(M68*12-624329.01))/12,((79776+0.25*(M68*12-867123.01))/12))))-O68</f>
        <v>7400.9372916666662</v>
      </c>
      <c r="O68" s="116"/>
      <c r="P68" s="156">
        <v>25</v>
      </c>
      <c r="Q68" s="116">
        <f>+P68+N68+L68</f>
        <v>12153.937291666665</v>
      </c>
      <c r="R68" s="161">
        <f>+H68-Q68</f>
        <v>67846.062708333338</v>
      </c>
    </row>
    <row r="69" spans="1:19" s="115" customFormat="1" ht="39.950000000000003" customHeight="1" x14ac:dyDescent="0.2">
      <c r="A69" s="363" t="s">
        <v>103</v>
      </c>
      <c r="B69" s="364"/>
      <c r="C69" s="100"/>
      <c r="D69" s="100"/>
      <c r="E69" s="100"/>
      <c r="F69" s="100"/>
      <c r="G69" s="100"/>
      <c r="H69" s="101">
        <f t="shared" ref="H69:R69" si="34">SUM(H68:H68)</f>
        <v>80000</v>
      </c>
      <c r="I69" s="101">
        <f t="shared" si="34"/>
        <v>2296</v>
      </c>
      <c r="J69" s="101">
        <f t="shared" si="34"/>
        <v>2432</v>
      </c>
      <c r="K69" s="101">
        <f t="shared" si="34"/>
        <v>0</v>
      </c>
      <c r="L69" s="101">
        <f t="shared" si="34"/>
        <v>4728</v>
      </c>
      <c r="M69" s="101">
        <f t="shared" si="34"/>
        <v>75272</v>
      </c>
      <c r="N69" s="101">
        <f t="shared" si="34"/>
        <v>7400.9372916666662</v>
      </c>
      <c r="O69" s="101">
        <f t="shared" si="34"/>
        <v>0</v>
      </c>
      <c r="P69" s="101">
        <f t="shared" si="34"/>
        <v>25</v>
      </c>
      <c r="Q69" s="101">
        <f t="shared" si="34"/>
        <v>12153.937291666665</v>
      </c>
      <c r="R69" s="101">
        <f t="shared" si="34"/>
        <v>67846.062708333338</v>
      </c>
      <c r="S69" s="338"/>
    </row>
    <row r="70" spans="1:19" s="115" customFormat="1" ht="39.950000000000003" customHeight="1" thickBot="1" x14ac:dyDescent="0.25">
      <c r="A70" s="114"/>
      <c r="B70" s="114"/>
      <c r="C70" s="114"/>
      <c r="D70" s="114"/>
      <c r="E70" s="114"/>
      <c r="F70" s="114"/>
      <c r="G70" s="114"/>
      <c r="H70" s="114"/>
      <c r="I70" s="114"/>
      <c r="J70" s="114"/>
      <c r="K70" s="114"/>
      <c r="L70" s="114"/>
      <c r="M70" s="114"/>
      <c r="N70" s="114"/>
      <c r="O70" s="114"/>
      <c r="P70" s="114"/>
      <c r="Q70" s="114"/>
      <c r="R70" s="114"/>
    </row>
    <row r="71" spans="1:19" s="115" customFormat="1" ht="39.950000000000003" customHeight="1" thickBot="1" x14ac:dyDescent="0.25">
      <c r="A71" s="151" t="s">
        <v>397</v>
      </c>
      <c r="B71" s="152"/>
      <c r="C71" s="152"/>
      <c r="D71" s="152"/>
      <c r="E71" s="152"/>
      <c r="F71" s="152"/>
      <c r="G71" s="152"/>
      <c r="H71" s="152"/>
      <c r="I71" s="152"/>
      <c r="J71" s="152"/>
      <c r="K71" s="152"/>
      <c r="L71" s="152"/>
      <c r="M71" s="152"/>
      <c r="N71" s="152"/>
      <c r="O71" s="152"/>
      <c r="P71" s="152"/>
      <c r="Q71" s="152"/>
      <c r="R71" s="152"/>
    </row>
    <row r="72" spans="1:19" s="111" customFormat="1" ht="39.950000000000003" customHeight="1" x14ac:dyDescent="0.2">
      <c r="A72" s="177">
        <f>+A68+1</f>
        <v>33</v>
      </c>
      <c r="B72" s="105" t="s">
        <v>396</v>
      </c>
      <c r="C72" s="130" t="s">
        <v>346</v>
      </c>
      <c r="D72" s="154" t="s">
        <v>598</v>
      </c>
      <c r="E72" s="154" t="s">
        <v>183</v>
      </c>
      <c r="F72" s="165" t="s">
        <v>641</v>
      </c>
      <c r="G72" s="154" t="s">
        <v>642</v>
      </c>
      <c r="H72" s="161">
        <v>80000</v>
      </c>
      <c r="I72" s="116">
        <f>H72*2.87%</f>
        <v>2296</v>
      </c>
      <c r="J72" s="116">
        <f>+H72*3.04%</f>
        <v>2432</v>
      </c>
      <c r="K72" s="116"/>
      <c r="L72" s="116">
        <f>+J72+I72+K72</f>
        <v>4728</v>
      </c>
      <c r="M72" s="116">
        <f>+H72-L72</f>
        <v>75272</v>
      </c>
      <c r="N72" s="116">
        <f>+IF(M72*12&lt;=416220.01,0,IF(M72*12&lt;=624329.01,(((M72*12-416220.01)*0.15)/12),IF((M72*12&lt;=867123.01),(31216+0.2*(M72*12-624329.01))/12,((79776+0.25*(M72*12-867123.01))/12))))-O72</f>
        <v>7400.9372916666662</v>
      </c>
      <c r="O72" s="116">
        <v>0</v>
      </c>
      <c r="P72" s="156">
        <v>11480.58</v>
      </c>
      <c r="Q72" s="116">
        <f>+P72+N72+L72</f>
        <v>23609.517291666667</v>
      </c>
      <c r="R72" s="161">
        <f>+H72-Q72</f>
        <v>56390.482708333337</v>
      </c>
    </row>
    <row r="73" spans="1:19" s="114" customFormat="1" ht="39.950000000000003" customHeight="1" x14ac:dyDescent="0.2">
      <c r="A73" s="363" t="s">
        <v>103</v>
      </c>
      <c r="B73" s="364"/>
      <c r="C73" s="100"/>
      <c r="D73" s="100"/>
      <c r="E73" s="100"/>
      <c r="F73" s="100"/>
      <c r="G73" s="100"/>
      <c r="H73" s="101">
        <f>+H72</f>
        <v>80000</v>
      </c>
      <c r="I73" s="101">
        <f>+I72</f>
        <v>2296</v>
      </c>
      <c r="J73" s="101">
        <f>+J72</f>
        <v>2432</v>
      </c>
      <c r="K73" s="101">
        <f t="shared" ref="K73:R73" si="35">+K72</f>
        <v>0</v>
      </c>
      <c r="L73" s="101">
        <f>+L72</f>
        <v>4728</v>
      </c>
      <c r="M73" s="101">
        <f>+M72</f>
        <v>75272</v>
      </c>
      <c r="N73" s="101">
        <f>+N72</f>
        <v>7400.9372916666662</v>
      </c>
      <c r="O73" s="101">
        <f t="shared" si="35"/>
        <v>0</v>
      </c>
      <c r="P73" s="101">
        <f>+P72</f>
        <v>11480.58</v>
      </c>
      <c r="Q73" s="101">
        <f t="shared" si="35"/>
        <v>23609.517291666667</v>
      </c>
      <c r="R73" s="101">
        <f t="shared" si="35"/>
        <v>56390.482708333337</v>
      </c>
      <c r="S73" s="339"/>
    </row>
    <row r="74" spans="1:19" s="171" customFormat="1" ht="39.950000000000003" customHeight="1" thickBot="1" x14ac:dyDescent="0.25">
      <c r="A74" s="170"/>
      <c r="B74" s="170"/>
      <c r="C74" s="170"/>
      <c r="D74" s="170"/>
      <c r="E74" s="170"/>
      <c r="F74" s="170"/>
      <c r="G74" s="170"/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</row>
    <row r="75" spans="1:19" s="171" customFormat="1" ht="39.950000000000003" customHeight="1" thickBot="1" x14ac:dyDescent="0.25">
      <c r="A75" s="151" t="s">
        <v>166</v>
      </c>
      <c r="B75" s="152"/>
      <c r="C75" s="152"/>
      <c r="D75" s="152"/>
      <c r="E75" s="152"/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52"/>
      <c r="Q75" s="152"/>
      <c r="R75" s="152"/>
    </row>
    <row r="76" spans="1:19" s="114" customFormat="1" ht="39.950000000000003" customHeight="1" x14ac:dyDescent="0.2">
      <c r="A76" s="177">
        <f>+A72+1</f>
        <v>34</v>
      </c>
      <c r="B76" s="178" t="s">
        <v>312</v>
      </c>
      <c r="C76" s="129" t="s">
        <v>346</v>
      </c>
      <c r="D76" s="176" t="s">
        <v>598</v>
      </c>
      <c r="E76" s="102" t="s">
        <v>183</v>
      </c>
      <c r="F76" s="154" t="s">
        <v>604</v>
      </c>
      <c r="G76" s="154" t="s">
        <v>654</v>
      </c>
      <c r="H76" s="156">
        <v>90000</v>
      </c>
      <c r="I76" s="118">
        <f>H76*2.87%</f>
        <v>2583</v>
      </c>
      <c r="J76" s="118">
        <f>+H76*3.04%</f>
        <v>2736</v>
      </c>
      <c r="K76" s="118">
        <v>1919.78</v>
      </c>
      <c r="L76" s="118">
        <f>+J76+I76+K76</f>
        <v>7238.78</v>
      </c>
      <c r="M76" s="118">
        <f>+H76-L76</f>
        <v>82761.22</v>
      </c>
      <c r="N76" s="116">
        <f>+IF(M77*12&lt;=416220.01,0,IF(M76*12&lt;=624329.01,(((M76*12-416220.01)*0.15)/12),IF((M76*12&lt;=867123.01),(31216+0.2*(M76*12-624329.01))/12,((79776+0.25*(M76*12-867123.01))/12))))-O76</f>
        <v>9273.2422916666674</v>
      </c>
      <c r="O76" s="118"/>
      <c r="P76" s="156">
        <v>3290.29</v>
      </c>
      <c r="Q76" s="116">
        <f>+P76+N76+L76</f>
        <v>19802.312291666665</v>
      </c>
      <c r="R76" s="156">
        <f>+H76-Q76</f>
        <v>70197.687708333338</v>
      </c>
    </row>
    <row r="77" spans="1:19" s="114" customFormat="1" ht="39.950000000000003" customHeight="1" x14ac:dyDescent="0.2">
      <c r="A77" s="177">
        <f>+A76+1</f>
        <v>35</v>
      </c>
      <c r="B77" s="178" t="s">
        <v>398</v>
      </c>
      <c r="C77" s="129" t="s">
        <v>346</v>
      </c>
      <c r="D77" s="176" t="s">
        <v>598</v>
      </c>
      <c r="E77" s="102" t="s">
        <v>183</v>
      </c>
      <c r="F77" s="154" t="s">
        <v>583</v>
      </c>
      <c r="G77" s="154" t="s">
        <v>657</v>
      </c>
      <c r="H77" s="156">
        <v>90000</v>
      </c>
      <c r="I77" s="118">
        <f>H77*2.87%</f>
        <v>2583</v>
      </c>
      <c r="J77" s="118">
        <f>+H77*3.04%</f>
        <v>2736</v>
      </c>
      <c r="K77" s="118">
        <v>1919.78</v>
      </c>
      <c r="L77" s="116">
        <f>+J77+I77+K77</f>
        <v>7238.78</v>
      </c>
      <c r="M77" s="116">
        <f>+H77-L77</f>
        <v>82761.22</v>
      </c>
      <c r="N77" s="116">
        <f t="shared" ref="N77:N79" si="36">+IF(M78*12&lt;=416220.01,0,IF(M77*12&lt;=624329.01,(((M77*12-416220.01)*0.15)/12),IF((M77*12&lt;=867123.01),(31216+0.2*(M77*12-624329.01))/12,((79776+0.25*(M77*12-867123.01))/12))))-O77</f>
        <v>9273.2422916666674</v>
      </c>
      <c r="O77" s="116">
        <v>0</v>
      </c>
      <c r="P77" s="117">
        <v>2717.93</v>
      </c>
      <c r="Q77" s="116">
        <f>+P77+N77+L77</f>
        <v>19229.952291666668</v>
      </c>
      <c r="R77" s="156">
        <f>+H77-Q77</f>
        <v>70770.047708333324</v>
      </c>
    </row>
    <row r="78" spans="1:19" s="114" customFormat="1" ht="39.950000000000003" customHeight="1" x14ac:dyDescent="0.2">
      <c r="A78" s="177">
        <f>+A77+1</f>
        <v>36</v>
      </c>
      <c r="B78" s="178" t="s">
        <v>332</v>
      </c>
      <c r="C78" s="129" t="s">
        <v>346</v>
      </c>
      <c r="D78" s="176" t="s">
        <v>598</v>
      </c>
      <c r="E78" s="102" t="s">
        <v>183</v>
      </c>
      <c r="F78" s="154" t="s">
        <v>604</v>
      </c>
      <c r="G78" s="154" t="s">
        <v>654</v>
      </c>
      <c r="H78" s="156">
        <v>80000</v>
      </c>
      <c r="I78" s="97">
        <f>H78*2.87%</f>
        <v>2296</v>
      </c>
      <c r="J78" s="97">
        <f>+H78*3.04%</f>
        <v>2432</v>
      </c>
      <c r="K78" s="118">
        <v>1919.78</v>
      </c>
      <c r="L78" s="105">
        <f>+J78+I78+K78</f>
        <v>6647.78</v>
      </c>
      <c r="M78" s="105">
        <f>+H78-L78</f>
        <v>73352.22</v>
      </c>
      <c r="N78" s="116">
        <f t="shared" si="36"/>
        <v>6920.9922916666665</v>
      </c>
      <c r="O78" s="105">
        <v>0</v>
      </c>
      <c r="P78" s="117">
        <v>2290.29</v>
      </c>
      <c r="Q78" s="105">
        <f>+P78+N78+L78</f>
        <v>15859.062291666665</v>
      </c>
      <c r="R78" s="164">
        <f>+H78-Q78</f>
        <v>64140.937708333338</v>
      </c>
    </row>
    <row r="79" spans="1:19" s="114" customFormat="1" ht="39.950000000000003" customHeight="1" x14ac:dyDescent="0.2">
      <c r="A79" s="153">
        <f>+A78+1</f>
        <v>37</v>
      </c>
      <c r="B79" s="158" t="s">
        <v>606</v>
      </c>
      <c r="C79" s="130" t="s">
        <v>345</v>
      </c>
      <c r="D79" s="154" t="s">
        <v>598</v>
      </c>
      <c r="E79" s="154" t="s">
        <v>183</v>
      </c>
      <c r="F79" s="154" t="s">
        <v>604</v>
      </c>
      <c r="G79" s="154" t="s">
        <v>654</v>
      </c>
      <c r="H79" s="161">
        <v>80000</v>
      </c>
      <c r="I79" s="116">
        <f>H79*2.87%</f>
        <v>2296</v>
      </c>
      <c r="J79" s="116">
        <f>+H79*3.04%</f>
        <v>2432</v>
      </c>
      <c r="K79" s="116"/>
      <c r="L79" s="116">
        <f>+J79+I79+K79</f>
        <v>4728</v>
      </c>
      <c r="M79" s="116">
        <f>+H79-L79</f>
        <v>75272</v>
      </c>
      <c r="N79" s="116">
        <f t="shared" si="36"/>
        <v>7400.9372916666662</v>
      </c>
      <c r="O79" s="116"/>
      <c r="P79" s="116">
        <v>2290.29</v>
      </c>
      <c r="Q79" s="116">
        <f>+P79+N79+L79</f>
        <v>14419.227291666666</v>
      </c>
      <c r="R79" s="116">
        <f>+H79-Q79</f>
        <v>65580.77270833333</v>
      </c>
    </row>
    <row r="80" spans="1:19" s="171" customFormat="1" ht="39.950000000000003" customHeight="1" x14ac:dyDescent="0.2">
      <c r="A80" s="363" t="s">
        <v>103</v>
      </c>
      <c r="B80" s="364"/>
      <c r="C80" s="100"/>
      <c r="D80" s="100"/>
      <c r="E80" s="100"/>
      <c r="F80" s="100"/>
      <c r="G80" s="100"/>
      <c r="H80" s="101">
        <f>SUM(H76:H79)</f>
        <v>340000</v>
      </c>
      <c r="I80" s="101">
        <f t="shared" ref="I80:R80" si="37">SUM(I76:I79)</f>
        <v>9758</v>
      </c>
      <c r="J80" s="101">
        <f t="shared" si="37"/>
        <v>10336</v>
      </c>
      <c r="K80" s="101">
        <f t="shared" si="37"/>
        <v>5759.34</v>
      </c>
      <c r="L80" s="101">
        <f t="shared" si="37"/>
        <v>25853.34</v>
      </c>
      <c r="M80" s="101">
        <f t="shared" si="37"/>
        <v>314146.66000000003</v>
      </c>
      <c r="N80" s="101">
        <f t="shared" si="37"/>
        <v>32868.414166666669</v>
      </c>
      <c r="O80" s="101">
        <f t="shared" si="37"/>
        <v>0</v>
      </c>
      <c r="P80" s="101">
        <f t="shared" si="37"/>
        <v>10588.8</v>
      </c>
      <c r="Q80" s="101">
        <f t="shared" si="37"/>
        <v>69310.554166666669</v>
      </c>
      <c r="R80" s="101">
        <f t="shared" si="37"/>
        <v>270689.4458333333</v>
      </c>
      <c r="S80" s="339"/>
    </row>
    <row r="81" spans="1:19" s="111" customFormat="1" ht="39.950000000000003" customHeight="1" thickBot="1" x14ac:dyDescent="0.25">
      <c r="A81" s="170"/>
      <c r="B81" s="170"/>
      <c r="C81" s="170"/>
      <c r="D81" s="170"/>
      <c r="E81" s="170"/>
      <c r="F81" s="170"/>
      <c r="G81" s="170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</row>
    <row r="82" spans="1:19" s="114" customFormat="1" ht="39.950000000000003" customHeight="1" thickBot="1" x14ac:dyDescent="0.25">
      <c r="A82" s="151" t="s">
        <v>134</v>
      </c>
      <c r="B82" s="152"/>
      <c r="C82" s="152"/>
      <c r="D82" s="152"/>
      <c r="E82" s="152"/>
      <c r="F82" s="152"/>
      <c r="G82" s="152"/>
      <c r="H82" s="152"/>
      <c r="I82" s="152"/>
      <c r="J82" s="152"/>
      <c r="K82" s="152"/>
      <c r="L82" s="152"/>
      <c r="M82" s="152"/>
      <c r="N82" s="152"/>
      <c r="O82" s="152"/>
      <c r="P82" s="152"/>
      <c r="Q82" s="152"/>
      <c r="R82" s="152"/>
    </row>
    <row r="83" spans="1:19" s="114" customFormat="1" ht="39.950000000000003" customHeight="1" x14ac:dyDescent="0.2">
      <c r="A83" s="157">
        <f>+A79+1</f>
        <v>38</v>
      </c>
      <c r="B83" s="105" t="s">
        <v>125</v>
      </c>
      <c r="C83" s="130" t="s">
        <v>345</v>
      </c>
      <c r="D83" s="154" t="s">
        <v>425</v>
      </c>
      <c r="E83" s="154" t="s">
        <v>183</v>
      </c>
      <c r="F83" s="165" t="s">
        <v>611</v>
      </c>
      <c r="G83" s="159" t="s">
        <v>616</v>
      </c>
      <c r="H83" s="161">
        <v>155000</v>
      </c>
      <c r="I83" s="118">
        <f>H83*2.87%</f>
        <v>4448.5</v>
      </c>
      <c r="J83" s="118">
        <f>+H83*3.04%</f>
        <v>4712</v>
      </c>
      <c r="K83" s="118"/>
      <c r="L83" s="116">
        <f>+J83+I83+K83</f>
        <v>9160.5</v>
      </c>
      <c r="M83" s="116">
        <f>+H83-L83</f>
        <v>145839.5</v>
      </c>
      <c r="N83" s="116">
        <f>+IF(M83*12&lt;=416220.01,0,IF(M83*12&lt;=624329.01,(((M83*12-416220.01)*0.15)/12),IF((M83*12&lt;=867123.01),(31216+0.2*(M83*12-624329.01))/12,((79776+0.25*(M83*12-867123.01))/12))))-O83</f>
        <v>25042.812291666665</v>
      </c>
      <c r="O83" s="116">
        <v>0</v>
      </c>
      <c r="P83" s="156">
        <f>100+125</f>
        <v>225</v>
      </c>
      <c r="Q83" s="116">
        <f>+P83+N83+L83</f>
        <v>34428.312291666662</v>
      </c>
      <c r="R83" s="156">
        <f>+H83-Q83</f>
        <v>120571.68770833334</v>
      </c>
    </row>
    <row r="84" spans="1:19" s="114" customFormat="1" ht="39.950000000000003" customHeight="1" x14ac:dyDescent="0.2">
      <c r="A84" s="157">
        <f>+A83+1</f>
        <v>39</v>
      </c>
      <c r="B84" s="158" t="s">
        <v>466</v>
      </c>
      <c r="C84" s="130" t="s">
        <v>346</v>
      </c>
      <c r="D84" s="154" t="s">
        <v>598</v>
      </c>
      <c r="E84" s="154" t="s">
        <v>183</v>
      </c>
      <c r="F84" s="154" t="s">
        <v>592</v>
      </c>
      <c r="G84" s="154" t="s">
        <v>640</v>
      </c>
      <c r="H84" s="161">
        <v>80000</v>
      </c>
      <c r="I84" s="118">
        <f>H84*2.87%</f>
        <v>2296</v>
      </c>
      <c r="J84" s="118">
        <f>+H84*3.04%</f>
        <v>2432</v>
      </c>
      <c r="K84" s="118">
        <v>1919.78</v>
      </c>
      <c r="L84" s="116">
        <f>+J84+I84+K84</f>
        <v>6647.78</v>
      </c>
      <c r="M84" s="116">
        <f t="shared" ref="M84" si="38">+H84-L84</f>
        <v>73352.22</v>
      </c>
      <c r="N84" s="116">
        <f t="shared" ref="N84:N85" si="39">+IF(M84*12&lt;=416220.01,0,IF(M84*12&lt;=624329.01,(((M84*12-416220.01)*0.15)/12),IF((M84*12&lt;=867123.01),(31216+0.2*(M84*12-624329.01))/12,((79776+0.25*(M84*12-867123.01))/12))))-O84</f>
        <v>6920.9922916666665</v>
      </c>
      <c r="O84" s="116"/>
      <c r="P84" s="156">
        <v>1290.29</v>
      </c>
      <c r="Q84" s="116">
        <f t="shared" ref="Q84" si="40">+P84+N84+L84</f>
        <v>14859.062291666665</v>
      </c>
      <c r="R84" s="156">
        <f t="shared" ref="R84" si="41">+H84-Q84</f>
        <v>65140.937708333338</v>
      </c>
    </row>
    <row r="85" spans="1:19" s="114" customFormat="1" ht="39.950000000000003" customHeight="1" x14ac:dyDescent="0.2">
      <c r="A85" s="157">
        <f>+A84+1</f>
        <v>40</v>
      </c>
      <c r="B85" s="165" t="s">
        <v>524</v>
      </c>
      <c r="C85" s="135" t="s">
        <v>346</v>
      </c>
      <c r="D85" s="107" t="s">
        <v>598</v>
      </c>
      <c r="E85" s="154" t="s">
        <v>183</v>
      </c>
      <c r="F85" s="154" t="s">
        <v>604</v>
      </c>
      <c r="G85" s="154" t="s">
        <v>654</v>
      </c>
      <c r="H85" s="118">
        <v>80000</v>
      </c>
      <c r="I85" s="118">
        <f>H85*2.87%</f>
        <v>2296</v>
      </c>
      <c r="J85" s="118">
        <f>+H85*3.04%</f>
        <v>2432</v>
      </c>
      <c r="K85" s="118">
        <v>0</v>
      </c>
      <c r="L85" s="116">
        <f t="shared" ref="L85" si="42">+J85+I85+K85</f>
        <v>4728</v>
      </c>
      <c r="M85" s="116">
        <f>+H85-L85</f>
        <v>75272</v>
      </c>
      <c r="N85" s="116">
        <f t="shared" si="39"/>
        <v>7400.9372916666662</v>
      </c>
      <c r="O85" s="116">
        <v>0</v>
      </c>
      <c r="P85" s="156">
        <v>25</v>
      </c>
      <c r="Q85" s="118">
        <f>+P85+N85+L85</f>
        <v>12153.937291666665</v>
      </c>
      <c r="R85" s="156">
        <f>+H85-Q85</f>
        <v>67846.062708333338</v>
      </c>
    </row>
    <row r="86" spans="1:19" s="114" customFormat="1" ht="39.950000000000003" customHeight="1" thickBot="1" x14ac:dyDescent="0.25">
      <c r="A86" s="363" t="s">
        <v>103</v>
      </c>
      <c r="B86" s="364"/>
      <c r="C86" s="100"/>
      <c r="D86" s="100"/>
      <c r="E86" s="100"/>
      <c r="F86" s="100"/>
      <c r="G86" s="100"/>
      <c r="H86" s="101">
        <f>SUM(H83:H85)</f>
        <v>315000</v>
      </c>
      <c r="I86" s="101">
        <f t="shared" ref="I86:R86" si="43">SUM(I83:I85)</f>
        <v>9040.5</v>
      </c>
      <c r="J86" s="101">
        <f t="shared" si="43"/>
        <v>9576</v>
      </c>
      <c r="K86" s="101">
        <f t="shared" si="43"/>
        <v>1919.78</v>
      </c>
      <c r="L86" s="101">
        <f t="shared" si="43"/>
        <v>20536.28</v>
      </c>
      <c r="M86" s="101">
        <f t="shared" si="43"/>
        <v>294463.71999999997</v>
      </c>
      <c r="N86" s="101">
        <f t="shared" si="43"/>
        <v>39364.741875</v>
      </c>
      <c r="O86" s="101">
        <f t="shared" si="43"/>
        <v>0</v>
      </c>
      <c r="P86" s="101">
        <f t="shared" si="43"/>
        <v>1540.29</v>
      </c>
      <c r="Q86" s="101">
        <f t="shared" si="43"/>
        <v>61441.311874999985</v>
      </c>
      <c r="R86" s="101">
        <f t="shared" si="43"/>
        <v>253558.68812500002</v>
      </c>
      <c r="S86" s="339"/>
    </row>
    <row r="87" spans="1:19" s="114" customFormat="1" ht="39.950000000000003" customHeight="1" thickBot="1" x14ac:dyDescent="0.25">
      <c r="A87" s="151"/>
      <c r="B87" s="152"/>
      <c r="C87" s="152"/>
      <c r="D87" s="152"/>
      <c r="E87" s="152"/>
      <c r="F87" s="152"/>
      <c r="G87" s="152"/>
      <c r="H87" s="152"/>
      <c r="I87" s="152"/>
      <c r="J87" s="152"/>
      <c r="K87" s="152"/>
      <c r="L87" s="152"/>
      <c r="M87" s="152"/>
      <c r="N87" s="152"/>
      <c r="O87" s="152"/>
      <c r="Q87" s="152"/>
      <c r="R87" s="152"/>
    </row>
    <row r="88" spans="1:19" s="114" customFormat="1" ht="39.950000000000003" customHeight="1" thickBot="1" x14ac:dyDescent="0.25">
      <c r="A88" s="151" t="s">
        <v>445</v>
      </c>
      <c r="B88" s="152"/>
      <c r="C88" s="152"/>
      <c r="D88" s="152"/>
      <c r="E88" s="152"/>
      <c r="F88" s="152"/>
      <c r="G88" s="152"/>
      <c r="H88" s="152"/>
      <c r="I88" s="152"/>
      <c r="J88" s="152"/>
      <c r="K88" s="152"/>
      <c r="L88" s="152"/>
      <c r="M88" s="152"/>
      <c r="N88" s="152"/>
      <c r="O88" s="152"/>
      <c r="P88" s="152"/>
      <c r="Q88" s="152"/>
      <c r="R88" s="152"/>
    </row>
    <row r="89" spans="1:19" s="114" customFormat="1" ht="39.950000000000003" customHeight="1" x14ac:dyDescent="0.2">
      <c r="A89" s="153">
        <f>+A85+1</f>
        <v>41</v>
      </c>
      <c r="B89" s="158" t="s">
        <v>329</v>
      </c>
      <c r="C89" s="130" t="s">
        <v>345</v>
      </c>
      <c r="D89" s="154" t="s">
        <v>598</v>
      </c>
      <c r="E89" s="154" t="s">
        <v>183</v>
      </c>
      <c r="F89" s="159" t="s">
        <v>661</v>
      </c>
      <c r="G89" s="159" t="s">
        <v>660</v>
      </c>
      <c r="H89" s="161">
        <v>85000</v>
      </c>
      <c r="I89" s="116">
        <f>H89*2.87%</f>
        <v>2439.5</v>
      </c>
      <c r="J89" s="116">
        <f>+H89*3.04%</f>
        <v>2584</v>
      </c>
      <c r="K89" s="116"/>
      <c r="L89" s="116">
        <f>+J89+I89+K89</f>
        <v>5023.5</v>
      </c>
      <c r="M89" s="116">
        <f>+H89-L89</f>
        <v>79976.5</v>
      </c>
      <c r="N89" s="116">
        <f>+IF(M89*12&lt;=416220.01,0,IF(M89*12&lt;=624329.01,(((M89*12-416220.01)*0.15)/12),IF((M89*12&lt;=867123.01),(31216+0.2*(M89*12-624329.01))/12,((79776+0.25*(M89*12-867123.01))/12))))</f>
        <v>8577.0622916666671</v>
      </c>
      <c r="O89" s="116"/>
      <c r="P89" s="116">
        <v>3290.29</v>
      </c>
      <c r="Q89" s="116">
        <f>+P89+N89+L89</f>
        <v>16890.852291666666</v>
      </c>
      <c r="R89" s="116">
        <f>+H89-Q89</f>
        <v>68109.14770833333</v>
      </c>
    </row>
    <row r="90" spans="1:19" s="171" customFormat="1" ht="41.25" customHeight="1" x14ac:dyDescent="0.2">
      <c r="A90" s="177">
        <f>+A89+1</f>
        <v>42</v>
      </c>
      <c r="B90" s="178" t="s">
        <v>553</v>
      </c>
      <c r="C90" s="129" t="s">
        <v>346</v>
      </c>
      <c r="D90" s="176" t="s">
        <v>598</v>
      </c>
      <c r="E90" s="102" t="s">
        <v>183</v>
      </c>
      <c r="F90" s="154" t="s">
        <v>592</v>
      </c>
      <c r="G90" s="154" t="s">
        <v>640</v>
      </c>
      <c r="H90" s="156">
        <v>80000</v>
      </c>
      <c r="I90" s="118">
        <f>H90*2.87%</f>
        <v>2296</v>
      </c>
      <c r="J90" s="118">
        <f>+H90*3.04%</f>
        <v>2432</v>
      </c>
      <c r="K90" s="118"/>
      <c r="L90" s="116">
        <f>+J90+I90+K90</f>
        <v>4728</v>
      </c>
      <c r="M90" s="116">
        <f>+H90-L90</f>
        <v>75272</v>
      </c>
      <c r="N90" s="116">
        <f>+IF(M90*12&lt;=416220.01,0,IF(M90*12&lt;=624329.01,(((M90*12-416220.01)*0.15)/12),IF((M90*12&lt;=867123.01),(31216+0.2*(M90*12-624329.01))/12,((79776+0.25*(M90*12-867123.01))/12))))</f>
        <v>7400.9372916666662</v>
      </c>
      <c r="O90" s="116"/>
      <c r="P90" s="161">
        <v>1790.29</v>
      </c>
      <c r="Q90" s="116">
        <f>+P90+N90+L90</f>
        <v>13919.227291666666</v>
      </c>
      <c r="R90" s="156">
        <f>+H90-Q90</f>
        <v>66080.77270833333</v>
      </c>
    </row>
    <row r="91" spans="1:19" s="114" customFormat="1" ht="39.950000000000003" customHeight="1" thickBot="1" x14ac:dyDescent="0.25">
      <c r="A91" s="363" t="s">
        <v>103</v>
      </c>
      <c r="B91" s="364"/>
      <c r="C91" s="100"/>
      <c r="D91" s="100"/>
      <c r="E91" s="100"/>
      <c r="F91" s="100"/>
      <c r="G91" s="100"/>
      <c r="H91" s="101">
        <f t="shared" ref="H91:R91" si="44">SUM(H89:H90)</f>
        <v>165000</v>
      </c>
      <c r="I91" s="101">
        <f t="shared" si="44"/>
        <v>4735.5</v>
      </c>
      <c r="J91" s="101">
        <f t="shared" si="44"/>
        <v>5016</v>
      </c>
      <c r="K91" s="101">
        <f t="shared" si="44"/>
        <v>0</v>
      </c>
      <c r="L91" s="101">
        <f t="shared" si="44"/>
        <v>9751.5</v>
      </c>
      <c r="M91" s="101">
        <f t="shared" si="44"/>
        <v>155248.5</v>
      </c>
      <c r="N91" s="101">
        <f t="shared" si="44"/>
        <v>15977.999583333334</v>
      </c>
      <c r="O91" s="101">
        <f t="shared" si="44"/>
        <v>0</v>
      </c>
      <c r="P91" s="101">
        <f t="shared" si="44"/>
        <v>5080.58</v>
      </c>
      <c r="Q91" s="101">
        <f t="shared" si="44"/>
        <v>30810.079583333332</v>
      </c>
      <c r="R91" s="101">
        <f t="shared" si="44"/>
        <v>134189.92041666666</v>
      </c>
      <c r="S91" s="339"/>
    </row>
    <row r="92" spans="1:19" s="114" customFormat="1" ht="39.950000000000003" customHeight="1" thickBot="1" x14ac:dyDescent="0.25">
      <c r="A92" s="151" t="s">
        <v>137</v>
      </c>
      <c r="B92" s="152"/>
      <c r="C92" s="152"/>
      <c r="D92" s="152"/>
      <c r="E92" s="152"/>
      <c r="F92" s="152"/>
      <c r="G92" s="152"/>
      <c r="H92" s="152"/>
      <c r="I92" s="152"/>
      <c r="J92" s="152"/>
      <c r="K92" s="152"/>
      <c r="L92" s="152"/>
      <c r="M92" s="152"/>
      <c r="N92" s="152"/>
      <c r="O92" s="152"/>
      <c r="P92" s="152"/>
      <c r="Q92" s="152"/>
      <c r="R92" s="152"/>
    </row>
    <row r="93" spans="1:19" s="171" customFormat="1" ht="39.950000000000003" customHeight="1" x14ac:dyDescent="0.2">
      <c r="A93" s="157">
        <f>+A90+1</f>
        <v>43</v>
      </c>
      <c r="B93" s="158" t="s">
        <v>500</v>
      </c>
      <c r="C93" s="130" t="s">
        <v>346</v>
      </c>
      <c r="D93" s="154" t="s">
        <v>598</v>
      </c>
      <c r="E93" s="154" t="s">
        <v>183</v>
      </c>
      <c r="F93" s="154" t="s">
        <v>583</v>
      </c>
      <c r="G93" s="154" t="s">
        <v>649</v>
      </c>
      <c r="H93" s="161">
        <v>80000</v>
      </c>
      <c r="I93" s="116">
        <f>H93*2.87%</f>
        <v>2296</v>
      </c>
      <c r="J93" s="116">
        <f>+H93*3.04%</f>
        <v>2432</v>
      </c>
      <c r="K93" s="116"/>
      <c r="L93" s="116">
        <f>+J93+I93+K93</f>
        <v>4728</v>
      </c>
      <c r="M93" s="116">
        <f>+H93-L93</f>
        <v>75272</v>
      </c>
      <c r="N93" s="116">
        <v>7400.94</v>
      </c>
      <c r="O93" s="116"/>
      <c r="P93" s="156">
        <v>1090.29</v>
      </c>
      <c r="Q93" s="116">
        <f>+P93+N93+L93</f>
        <v>13219.23</v>
      </c>
      <c r="R93" s="161">
        <f>+H93-Q93</f>
        <v>66780.77</v>
      </c>
    </row>
    <row r="94" spans="1:19" s="171" customFormat="1" ht="39.950000000000003" customHeight="1" x14ac:dyDescent="0.2">
      <c r="A94" s="157">
        <f>+A93+1</f>
        <v>44</v>
      </c>
      <c r="B94" s="158" t="s">
        <v>372</v>
      </c>
      <c r="C94" s="130" t="s">
        <v>345</v>
      </c>
      <c r="D94" s="154" t="s">
        <v>598</v>
      </c>
      <c r="E94" s="154" t="s">
        <v>183</v>
      </c>
      <c r="F94" s="165" t="s">
        <v>611</v>
      </c>
      <c r="G94" s="159" t="s">
        <v>616</v>
      </c>
      <c r="H94" s="161">
        <v>90000</v>
      </c>
      <c r="I94" s="116">
        <f>H94*2.87%</f>
        <v>2583</v>
      </c>
      <c r="J94" s="116">
        <f>+H94*3.04%</f>
        <v>2736</v>
      </c>
      <c r="K94" s="116"/>
      <c r="L94" s="116">
        <f>+J94+I94+K94</f>
        <v>5319</v>
      </c>
      <c r="M94" s="116">
        <f>+H94-L94</f>
        <v>84681</v>
      </c>
      <c r="N94" s="116">
        <f>+IF(M68*12&lt;=416220.01,0,IF(M94*12&lt;=624329.01,(((M94*12-416220.01)*0.15)/12),IF((M94*12&lt;=867123.01),(31216+0.2*(M94*12-624329.01))/12,((79776+0.25*(M94*12-867123.01))/12))))-O94</f>
        <v>9753.1872916666671</v>
      </c>
      <c r="O94" s="116"/>
      <c r="P94" s="156">
        <f>100+125</f>
        <v>225</v>
      </c>
      <c r="Q94" s="116">
        <f>+P94+N94+L94</f>
        <v>15297.187291666667</v>
      </c>
      <c r="R94" s="161">
        <f>+H94-Q94</f>
        <v>74702.812708333338</v>
      </c>
    </row>
    <row r="95" spans="1:19" s="114" customFormat="1" ht="39.950000000000003" customHeight="1" x14ac:dyDescent="0.2">
      <c r="A95" s="363" t="s">
        <v>103</v>
      </c>
      <c r="B95" s="364"/>
      <c r="C95" s="100"/>
      <c r="D95" s="100"/>
      <c r="E95" s="100"/>
      <c r="F95" s="100"/>
      <c r="G95" s="100"/>
      <c r="H95" s="101">
        <f>SUM(H93:H94)</f>
        <v>170000</v>
      </c>
      <c r="I95" s="101">
        <f t="shared" ref="I95:R95" si="45">SUM(I93:I94)</f>
        <v>4879</v>
      </c>
      <c r="J95" s="101">
        <f t="shared" si="45"/>
        <v>5168</v>
      </c>
      <c r="K95" s="101">
        <f t="shared" si="45"/>
        <v>0</v>
      </c>
      <c r="L95" s="101">
        <f t="shared" si="45"/>
        <v>10047</v>
      </c>
      <c r="M95" s="101">
        <f t="shared" si="45"/>
        <v>159953</v>
      </c>
      <c r="N95" s="101">
        <f t="shared" si="45"/>
        <v>17154.127291666668</v>
      </c>
      <c r="O95" s="101">
        <f t="shared" si="45"/>
        <v>0</v>
      </c>
      <c r="P95" s="101">
        <f t="shared" si="45"/>
        <v>1315.29</v>
      </c>
      <c r="Q95" s="101">
        <f t="shared" si="45"/>
        <v>28516.417291666665</v>
      </c>
      <c r="R95" s="101">
        <f t="shared" si="45"/>
        <v>141483.58270833333</v>
      </c>
      <c r="S95" s="339"/>
    </row>
    <row r="96" spans="1:19" s="114" customFormat="1" ht="39.950000000000003" customHeight="1" thickBot="1" x14ac:dyDescent="0.25">
      <c r="A96" s="170"/>
      <c r="B96" s="170"/>
      <c r="C96" s="170"/>
      <c r="D96" s="170"/>
      <c r="E96" s="170"/>
      <c r="F96" s="170"/>
      <c r="G96" s="170"/>
    </row>
    <row r="97" spans="1:19" s="98" customFormat="1" ht="39.950000000000003" customHeight="1" thickBot="1" x14ac:dyDescent="0.25">
      <c r="A97" s="151" t="s">
        <v>139</v>
      </c>
      <c r="B97" s="152"/>
      <c r="C97" s="152"/>
      <c r="D97" s="152"/>
      <c r="E97" s="152"/>
      <c r="F97" s="152"/>
      <c r="G97" s="320"/>
      <c r="H97" s="152"/>
      <c r="I97" s="152"/>
      <c r="J97" s="152"/>
      <c r="K97" s="152"/>
      <c r="L97" s="152"/>
      <c r="M97" s="152"/>
      <c r="N97" s="152"/>
      <c r="O97" s="152"/>
      <c r="P97" s="152"/>
      <c r="Q97" s="152"/>
      <c r="R97" s="152"/>
    </row>
    <row r="98" spans="1:19" s="114" customFormat="1" ht="39.950000000000003" customHeight="1" x14ac:dyDescent="0.2">
      <c r="A98" s="157">
        <f>+A94+1</f>
        <v>45</v>
      </c>
      <c r="B98" s="158" t="s">
        <v>367</v>
      </c>
      <c r="C98" s="130" t="s">
        <v>345</v>
      </c>
      <c r="D98" s="154" t="s">
        <v>598</v>
      </c>
      <c r="E98" s="154" t="s">
        <v>183</v>
      </c>
      <c r="F98" s="154" t="s">
        <v>592</v>
      </c>
      <c r="G98" s="154" t="s">
        <v>640</v>
      </c>
      <c r="H98" s="161">
        <v>80000</v>
      </c>
      <c r="I98" s="116">
        <f>H98*2.87%</f>
        <v>2296</v>
      </c>
      <c r="J98" s="116">
        <f>+H98*3.04%</f>
        <v>2432</v>
      </c>
      <c r="K98" s="116"/>
      <c r="L98" s="116">
        <f>+J98+I98+K98</f>
        <v>4728</v>
      </c>
      <c r="M98" s="116">
        <f>+H98-L98</f>
        <v>75272</v>
      </c>
      <c r="N98" s="116">
        <f>+IF(M98*12&lt;=416220.01,0,IF(M98*12&lt;=624329.01,(((M98*12-416220.01)*0.15)/12),IF((M98*12&lt;=867123.01),(31216+0.2*(M98*12-624329.01))/12,((79776+0.25*(M98*12-867123.01))/12))))</f>
        <v>7400.9372916666662</v>
      </c>
      <c r="O98" s="116"/>
      <c r="P98" s="156">
        <v>225</v>
      </c>
      <c r="Q98" s="116">
        <f>+P98+N98+L98</f>
        <v>12353.937291666665</v>
      </c>
      <c r="R98" s="161">
        <f>+H98-Q98</f>
        <v>67646.062708333338</v>
      </c>
    </row>
    <row r="99" spans="1:19" s="114" customFormat="1" ht="39.950000000000003" customHeight="1" x14ac:dyDescent="0.2">
      <c r="A99" s="363" t="s">
        <v>103</v>
      </c>
      <c r="B99" s="364"/>
      <c r="C99" s="100"/>
      <c r="D99" s="100"/>
      <c r="E99" s="100"/>
      <c r="F99" s="100"/>
      <c r="G99" s="100"/>
      <c r="H99" s="101">
        <f>SUM(H98)</f>
        <v>80000</v>
      </c>
      <c r="I99" s="101">
        <f t="shared" ref="I99:R99" si="46">SUM(I98)</f>
        <v>2296</v>
      </c>
      <c r="J99" s="101">
        <f t="shared" si="46"/>
        <v>2432</v>
      </c>
      <c r="K99" s="101">
        <f t="shared" si="46"/>
        <v>0</v>
      </c>
      <c r="L99" s="101">
        <f t="shared" si="46"/>
        <v>4728</v>
      </c>
      <c r="M99" s="101">
        <f t="shared" si="46"/>
        <v>75272</v>
      </c>
      <c r="N99" s="101">
        <f t="shared" si="46"/>
        <v>7400.9372916666662</v>
      </c>
      <c r="O99" s="101">
        <f t="shared" si="46"/>
        <v>0</v>
      </c>
      <c r="P99" s="101">
        <f t="shared" si="46"/>
        <v>225</v>
      </c>
      <c r="Q99" s="101">
        <f t="shared" si="46"/>
        <v>12353.937291666665</v>
      </c>
      <c r="R99" s="101">
        <f t="shared" si="46"/>
        <v>67646.062708333338</v>
      </c>
      <c r="S99" s="339"/>
    </row>
    <row r="100" spans="1:19" s="114" customFormat="1" ht="39.950000000000003" customHeight="1" thickBot="1" x14ac:dyDescent="0.25">
      <c r="A100" s="170"/>
      <c r="B100" s="170"/>
      <c r="C100" s="170"/>
      <c r="D100" s="170"/>
      <c r="E100" s="170"/>
      <c r="F100" s="170"/>
      <c r="G100" s="170"/>
    </row>
    <row r="101" spans="1:19" s="114" customFormat="1" ht="39.950000000000003" customHeight="1" thickBot="1" x14ac:dyDescent="0.25">
      <c r="A101" s="151" t="s">
        <v>140</v>
      </c>
      <c r="B101" s="152"/>
      <c r="C101" s="152"/>
      <c r="D101" s="152"/>
      <c r="E101" s="152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</row>
    <row r="102" spans="1:19" s="98" customFormat="1" ht="39.950000000000003" customHeight="1" x14ac:dyDescent="0.2">
      <c r="A102" s="157">
        <f>+A98+1</f>
        <v>46</v>
      </c>
      <c r="B102" s="97" t="s">
        <v>357</v>
      </c>
      <c r="C102" s="132" t="s">
        <v>346</v>
      </c>
      <c r="D102" s="176" t="s">
        <v>598</v>
      </c>
      <c r="E102" s="176" t="s">
        <v>183</v>
      </c>
      <c r="F102" s="165" t="s">
        <v>641</v>
      </c>
      <c r="G102" s="154" t="s">
        <v>642</v>
      </c>
      <c r="H102" s="161">
        <v>85000</v>
      </c>
      <c r="I102" s="116">
        <f>H102*2.87%</f>
        <v>2439.5</v>
      </c>
      <c r="J102" s="116">
        <f>+H102*3.04%</f>
        <v>2584</v>
      </c>
      <c r="K102" s="116"/>
      <c r="L102" s="116">
        <f>+J102+I102+K102</f>
        <v>5023.5</v>
      </c>
      <c r="M102" s="116">
        <f>+H102-L102</f>
        <v>79976.5</v>
      </c>
      <c r="N102" s="116">
        <f t="shared" ref="N102:N105" si="47">+IF(M102*12&lt;=416220.01,0,IF(M102*12&lt;=624329.01,(((M102*12-416220.01)*0.15)/12),IF((M102*12&lt;=867123.01),(31216+0.2*(M102*12-624329.01))/12,((79776+0.25*(M102*12-867123.01))/12))))</f>
        <v>8577.0622916666671</v>
      </c>
      <c r="O102" s="116"/>
      <c r="P102" s="156">
        <v>1290.29</v>
      </c>
      <c r="Q102" s="116">
        <f>+P102+N102+L102</f>
        <v>14890.852291666666</v>
      </c>
      <c r="R102" s="161">
        <f>+H102-Q102</f>
        <v>70109.14770833333</v>
      </c>
    </row>
    <row r="103" spans="1:19" s="98" customFormat="1" ht="39.950000000000003" customHeight="1" x14ac:dyDescent="0.2">
      <c r="A103" s="157">
        <f>+A102+1</f>
        <v>47</v>
      </c>
      <c r="B103" s="97" t="s">
        <v>366</v>
      </c>
      <c r="C103" s="132" t="s">
        <v>346</v>
      </c>
      <c r="D103" s="176" t="s">
        <v>598</v>
      </c>
      <c r="E103" s="176" t="s">
        <v>183</v>
      </c>
      <c r="F103" s="154" t="s">
        <v>592</v>
      </c>
      <c r="G103" s="154" t="s">
        <v>640</v>
      </c>
      <c r="H103" s="161">
        <v>85000</v>
      </c>
      <c r="I103" s="116">
        <f>H103*2.87%</f>
        <v>2439.5</v>
      </c>
      <c r="J103" s="116">
        <f>+H103*3.04%</f>
        <v>2584</v>
      </c>
      <c r="K103" s="116"/>
      <c r="L103" s="116">
        <f>+J103+I103+K103</f>
        <v>5023.5</v>
      </c>
      <c r="M103" s="116">
        <f>+H103-L103</f>
        <v>79976.5</v>
      </c>
      <c r="N103" s="116">
        <f t="shared" si="47"/>
        <v>8577.0622916666671</v>
      </c>
      <c r="O103" s="116"/>
      <c r="P103" s="156">
        <f>125+100</f>
        <v>225</v>
      </c>
      <c r="Q103" s="116">
        <f>+P103+N103+L103</f>
        <v>13825.562291666667</v>
      </c>
      <c r="R103" s="161">
        <f>+H103-Q103</f>
        <v>71174.437708333338</v>
      </c>
    </row>
    <row r="104" spans="1:19" s="114" customFormat="1" ht="39.950000000000003" customHeight="1" x14ac:dyDescent="0.2">
      <c r="A104" s="157">
        <f>+A103+1</f>
        <v>48</v>
      </c>
      <c r="B104" s="97" t="s">
        <v>525</v>
      </c>
      <c r="C104" s="132" t="s">
        <v>346</v>
      </c>
      <c r="D104" s="176" t="s">
        <v>598</v>
      </c>
      <c r="E104" s="176" t="s">
        <v>183</v>
      </c>
      <c r="F104" s="154" t="s">
        <v>604</v>
      </c>
      <c r="G104" s="154" t="s">
        <v>654</v>
      </c>
      <c r="H104" s="161">
        <v>80000</v>
      </c>
      <c r="I104" s="116">
        <f>H104*2.87%</f>
        <v>2296</v>
      </c>
      <c r="J104" s="116">
        <f>+H104*3.04%</f>
        <v>2432</v>
      </c>
      <c r="K104" s="116"/>
      <c r="L104" s="116">
        <f>+J104+I104+K104</f>
        <v>4728</v>
      </c>
      <c r="M104" s="116">
        <f>+H104-L104</f>
        <v>75272</v>
      </c>
      <c r="N104" s="116">
        <f t="shared" si="47"/>
        <v>7400.9372916666662</v>
      </c>
      <c r="O104" s="116"/>
      <c r="P104" s="156">
        <v>2330.29</v>
      </c>
      <c r="Q104" s="116">
        <f>+P104+N104+L104</f>
        <v>14459.227291666666</v>
      </c>
      <c r="R104" s="161">
        <f>+H104-Q104</f>
        <v>65540.77270833333</v>
      </c>
    </row>
    <row r="105" spans="1:19" s="114" customFormat="1" ht="39.950000000000003" customHeight="1" x14ac:dyDescent="0.2">
      <c r="A105" s="157">
        <f>+A104+1</f>
        <v>49</v>
      </c>
      <c r="B105" s="97" t="s">
        <v>429</v>
      </c>
      <c r="C105" s="132" t="s">
        <v>345</v>
      </c>
      <c r="D105" s="176" t="s">
        <v>598</v>
      </c>
      <c r="E105" s="176" t="s">
        <v>183</v>
      </c>
      <c r="F105" s="159" t="s">
        <v>616</v>
      </c>
      <c r="G105" s="159" t="s">
        <v>660</v>
      </c>
      <c r="H105" s="161">
        <v>80000</v>
      </c>
      <c r="I105" s="116">
        <f>H105*2.87%</f>
        <v>2296</v>
      </c>
      <c r="J105" s="116">
        <f>+H105*3.04%</f>
        <v>2432</v>
      </c>
      <c r="K105" s="116"/>
      <c r="L105" s="116">
        <f>+J105+I105+K105</f>
        <v>4728</v>
      </c>
      <c r="M105" s="116">
        <f>+H105-L105</f>
        <v>75272</v>
      </c>
      <c r="N105" s="116">
        <f t="shared" si="47"/>
        <v>7400.9372916666662</v>
      </c>
      <c r="O105" s="116"/>
      <c r="P105" s="156">
        <v>25</v>
      </c>
      <c r="Q105" s="116">
        <f>+P105+N105+L105</f>
        <v>12153.937291666665</v>
      </c>
      <c r="R105" s="161">
        <f>+H105-Q105</f>
        <v>67846.062708333338</v>
      </c>
    </row>
    <row r="106" spans="1:19" s="111" customFormat="1" ht="39.950000000000003" customHeight="1" thickBot="1" x14ac:dyDescent="0.25">
      <c r="A106" s="365" t="s">
        <v>103</v>
      </c>
      <c r="B106" s="366"/>
      <c r="C106" s="100"/>
      <c r="D106" s="100"/>
      <c r="E106" s="100"/>
      <c r="F106" s="100"/>
      <c r="G106" s="100"/>
      <c r="H106" s="101">
        <f>SUM(H102:H105)</f>
        <v>330000</v>
      </c>
      <c r="I106" s="101">
        <f t="shared" ref="I106:R106" si="48">SUM(I102:I105)</f>
        <v>9471</v>
      </c>
      <c r="J106" s="101">
        <f t="shared" si="48"/>
        <v>10032</v>
      </c>
      <c r="K106" s="101">
        <f t="shared" si="48"/>
        <v>0</v>
      </c>
      <c r="L106" s="101">
        <f t="shared" si="48"/>
        <v>19503</v>
      </c>
      <c r="M106" s="101">
        <f t="shared" si="48"/>
        <v>310497</v>
      </c>
      <c r="N106" s="101">
        <f>SUM(N102:N105)</f>
        <v>31955.999166666665</v>
      </c>
      <c r="O106" s="101">
        <f t="shared" si="48"/>
        <v>0</v>
      </c>
      <c r="P106" s="101">
        <f t="shared" si="48"/>
        <v>3870.58</v>
      </c>
      <c r="Q106" s="101">
        <f t="shared" si="48"/>
        <v>55329.579166666663</v>
      </c>
      <c r="R106" s="101">
        <f t="shared" si="48"/>
        <v>274670.42083333334</v>
      </c>
      <c r="S106" s="338"/>
    </row>
    <row r="107" spans="1:19" s="111" customFormat="1" ht="39.950000000000003" customHeight="1" thickBot="1" x14ac:dyDescent="0.25">
      <c r="A107" s="151" t="s">
        <v>141</v>
      </c>
      <c r="B107" s="152"/>
      <c r="C107" s="152"/>
      <c r="D107" s="152"/>
      <c r="E107" s="152"/>
      <c r="F107" s="152"/>
      <c r="G107" s="152"/>
      <c r="H107" s="152"/>
      <c r="I107" s="152"/>
      <c r="J107" s="152"/>
      <c r="K107" s="152"/>
      <c r="L107" s="152"/>
      <c r="M107" s="152"/>
      <c r="N107" s="152"/>
      <c r="O107" s="152"/>
      <c r="P107" s="152"/>
      <c r="Q107" s="152"/>
      <c r="R107" s="152"/>
    </row>
    <row r="108" spans="1:19" s="98" customFormat="1" ht="39.950000000000003" customHeight="1" x14ac:dyDescent="0.2">
      <c r="A108" s="153">
        <f>+A105+1</f>
        <v>50</v>
      </c>
      <c r="B108" s="105" t="s">
        <v>433</v>
      </c>
      <c r="C108" s="130" t="s">
        <v>345</v>
      </c>
      <c r="D108" s="154" t="s">
        <v>598</v>
      </c>
      <c r="E108" s="154" t="s">
        <v>183</v>
      </c>
      <c r="F108" s="165" t="s">
        <v>641</v>
      </c>
      <c r="G108" s="154" t="s">
        <v>642</v>
      </c>
      <c r="H108" s="161">
        <v>80000</v>
      </c>
      <c r="I108" s="116">
        <f>H108*2.87%</f>
        <v>2296</v>
      </c>
      <c r="J108" s="116">
        <f>+H108*3.04%</f>
        <v>2432</v>
      </c>
      <c r="K108" s="116"/>
      <c r="L108" s="116">
        <f>+J108+I108+K108</f>
        <v>4728</v>
      </c>
      <c r="M108" s="116">
        <f>+H108-L108</f>
        <v>75272</v>
      </c>
      <c r="N108" s="116">
        <f t="shared" ref="N108" si="49">+IF(M108*12&lt;=416220.01,0,IF(M108*12&lt;=624329.01,(((M108*12-416220.01)*0.15)/12),IF((M108*12&lt;=867123.01),(31216+0.2*(M108*12-624329.01))/12,((79776+0.25*(M108*12-867123.01))/12))))</f>
        <v>7400.9372916666662</v>
      </c>
      <c r="O108" s="116">
        <v>0</v>
      </c>
      <c r="P108" s="156">
        <v>25</v>
      </c>
      <c r="Q108" s="116">
        <f>+P108+N108+L108</f>
        <v>12153.937291666665</v>
      </c>
      <c r="R108" s="161">
        <f>+H108-Q108</f>
        <v>67846.062708333338</v>
      </c>
    </row>
    <row r="109" spans="1:19" s="98" customFormat="1" ht="39.950000000000003" customHeight="1" thickBot="1" x14ac:dyDescent="0.25">
      <c r="A109" s="363" t="s">
        <v>103</v>
      </c>
      <c r="B109" s="364"/>
      <c r="C109" s="100"/>
      <c r="D109" s="100"/>
      <c r="E109" s="100"/>
      <c r="F109" s="100"/>
      <c r="G109" s="100"/>
      <c r="H109" s="101">
        <f t="shared" ref="H109:R109" si="50">SUM(H108:H108)</f>
        <v>80000</v>
      </c>
      <c r="I109" s="101">
        <f t="shared" si="50"/>
        <v>2296</v>
      </c>
      <c r="J109" s="101">
        <f t="shared" si="50"/>
        <v>2432</v>
      </c>
      <c r="K109" s="101">
        <f t="shared" si="50"/>
        <v>0</v>
      </c>
      <c r="L109" s="101">
        <f t="shared" si="50"/>
        <v>4728</v>
      </c>
      <c r="M109" s="101">
        <f t="shared" si="50"/>
        <v>75272</v>
      </c>
      <c r="N109" s="101">
        <f t="shared" si="50"/>
        <v>7400.9372916666662</v>
      </c>
      <c r="O109" s="101">
        <f t="shared" si="50"/>
        <v>0</v>
      </c>
      <c r="P109" s="101">
        <f t="shared" si="50"/>
        <v>25</v>
      </c>
      <c r="Q109" s="101">
        <f t="shared" si="50"/>
        <v>12153.937291666665</v>
      </c>
      <c r="R109" s="101">
        <f t="shared" si="50"/>
        <v>67846.062708333338</v>
      </c>
      <c r="S109" s="333"/>
    </row>
    <row r="110" spans="1:19" s="111" customFormat="1" ht="39.950000000000003" customHeight="1" thickBot="1" x14ac:dyDescent="0.25">
      <c r="A110" s="173" t="s">
        <v>142</v>
      </c>
      <c r="B110" s="174"/>
      <c r="C110" s="174"/>
      <c r="D110" s="174"/>
      <c r="E110" s="174"/>
      <c r="F110" s="174"/>
      <c r="G110" s="321"/>
      <c r="H110" s="174"/>
      <c r="I110" s="174"/>
      <c r="J110" s="174"/>
      <c r="K110" s="174"/>
      <c r="L110" s="174"/>
      <c r="M110" s="174"/>
      <c r="N110" s="174"/>
      <c r="O110" s="174"/>
      <c r="P110" s="174"/>
      <c r="Q110" s="174"/>
      <c r="R110" s="174"/>
    </row>
    <row r="111" spans="1:19" s="111" customFormat="1" ht="39.950000000000003" customHeight="1" x14ac:dyDescent="0.2">
      <c r="A111" s="311">
        <f>+A108+1</f>
        <v>51</v>
      </c>
      <c r="B111" s="158" t="s">
        <v>539</v>
      </c>
      <c r="C111" s="130" t="s">
        <v>345</v>
      </c>
      <c r="D111" s="154" t="s">
        <v>598</v>
      </c>
      <c r="E111" s="154" t="s">
        <v>183</v>
      </c>
      <c r="F111" s="159" t="s">
        <v>616</v>
      </c>
      <c r="G111" s="159" t="s">
        <v>660</v>
      </c>
      <c r="H111" s="161">
        <v>80000</v>
      </c>
      <c r="I111" s="116">
        <f>H111*2.87%</f>
        <v>2296</v>
      </c>
      <c r="J111" s="116">
        <f>+H111*3.04%</f>
        <v>2432</v>
      </c>
      <c r="K111" s="116">
        <v>1919.78</v>
      </c>
      <c r="L111" s="116">
        <f>+J111+I111+K111</f>
        <v>6647.78</v>
      </c>
      <c r="M111" s="116">
        <f>+H111-L111</f>
        <v>73352.22</v>
      </c>
      <c r="N111" s="116">
        <f>+IF(M111*12&lt;=416220.01,0,IF(M111*12&lt;=624329.01,(((M111*12-416220.01)*0.15)/12),IF((M111*12&lt;=867123.01),(31216+0.2*(M111*12-624329.01))/12,((79776+0.25*(M111*12-867123.01))/12))))</f>
        <v>6920.9922916666665</v>
      </c>
      <c r="O111" s="116"/>
      <c r="P111" s="161">
        <v>225</v>
      </c>
      <c r="Q111" s="116">
        <f>+P111+N111+L111</f>
        <v>13793.772291666666</v>
      </c>
      <c r="R111" s="161">
        <f>+H111-Q111</f>
        <v>66206.227708333332</v>
      </c>
    </row>
    <row r="112" spans="1:19" s="111" customFormat="1" ht="39.950000000000003" customHeight="1" x14ac:dyDescent="0.2">
      <c r="A112" s="363" t="s">
        <v>103</v>
      </c>
      <c r="B112" s="364"/>
      <c r="C112" s="100"/>
      <c r="D112" s="100"/>
      <c r="E112" s="100"/>
      <c r="F112" s="100"/>
      <c r="G112" s="100"/>
      <c r="H112" s="101">
        <f t="shared" ref="H112:R112" si="51">SUM(H111:H111)</f>
        <v>80000</v>
      </c>
      <c r="I112" s="101">
        <f t="shared" si="51"/>
        <v>2296</v>
      </c>
      <c r="J112" s="101">
        <f t="shared" si="51"/>
        <v>2432</v>
      </c>
      <c r="K112" s="101">
        <f t="shared" si="51"/>
        <v>1919.78</v>
      </c>
      <c r="L112" s="101">
        <f t="shared" si="51"/>
        <v>6647.78</v>
      </c>
      <c r="M112" s="101">
        <f t="shared" si="51"/>
        <v>73352.22</v>
      </c>
      <c r="N112" s="101">
        <f t="shared" si="51"/>
        <v>6920.9922916666665</v>
      </c>
      <c r="O112" s="101">
        <f t="shared" si="51"/>
        <v>0</v>
      </c>
      <c r="P112" s="101">
        <f t="shared" si="51"/>
        <v>225</v>
      </c>
      <c r="Q112" s="101">
        <f t="shared" si="51"/>
        <v>13793.772291666666</v>
      </c>
      <c r="R112" s="101">
        <f t="shared" si="51"/>
        <v>66206.227708333332</v>
      </c>
      <c r="S112" s="338"/>
    </row>
    <row r="113" spans="1:19" s="111" customFormat="1" ht="39.950000000000003" customHeight="1" thickBot="1" x14ac:dyDescent="0.25">
      <c r="A113" s="170"/>
      <c r="B113" s="170"/>
      <c r="C113" s="170"/>
      <c r="D113" s="170"/>
      <c r="E113" s="170"/>
      <c r="F113" s="170"/>
      <c r="G113" s="170"/>
      <c r="H113" s="114"/>
      <c r="I113" s="114"/>
      <c r="J113" s="114"/>
      <c r="K113" s="114"/>
      <c r="L113" s="114"/>
      <c r="M113" s="114"/>
      <c r="N113" s="114"/>
      <c r="O113" s="114"/>
      <c r="P113" s="114"/>
      <c r="Q113" s="114"/>
      <c r="R113" s="114"/>
    </row>
    <row r="114" spans="1:19" s="111" customFormat="1" ht="39.950000000000003" customHeight="1" thickBot="1" x14ac:dyDescent="0.25">
      <c r="A114" s="173" t="s">
        <v>145</v>
      </c>
      <c r="B114" s="174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</row>
    <row r="115" spans="1:19" s="111" customFormat="1" ht="39.950000000000003" customHeight="1" x14ac:dyDescent="0.2">
      <c r="A115" s="153">
        <f>+A111+1</f>
        <v>52</v>
      </c>
      <c r="B115" s="158" t="s">
        <v>114</v>
      </c>
      <c r="C115" s="130" t="s">
        <v>345</v>
      </c>
      <c r="D115" s="143" t="s">
        <v>173</v>
      </c>
      <c r="E115" s="154" t="s">
        <v>183</v>
      </c>
      <c r="F115" s="165" t="s">
        <v>576</v>
      </c>
      <c r="G115" s="154" t="s">
        <v>630</v>
      </c>
      <c r="H115" s="166">
        <v>145000</v>
      </c>
      <c r="I115" s="116">
        <f>H115*2.87%</f>
        <v>4161.5</v>
      </c>
      <c r="J115" s="118">
        <f>+H115*3.04%</f>
        <v>4408</v>
      </c>
      <c r="K115" s="118">
        <v>1919.78</v>
      </c>
      <c r="L115" s="118">
        <f>+J115+I115+K115</f>
        <v>10489.28</v>
      </c>
      <c r="M115" s="116">
        <f>+H115-L115</f>
        <v>134510.72</v>
      </c>
      <c r="N115" s="116">
        <f>+IF(M115*12&lt;=416220.01,0,IF(M115*12&lt;=624329.01,(((M115*12-416220.01)*0.15)/12),IF((M115*12&lt;=867123.01),(31216+0.2*(M115*12-624329.01))/12,((79776+0.25*(M115*12-867123.01))/12))))</f>
        <v>22210.617291666669</v>
      </c>
      <c r="O115" s="116"/>
      <c r="P115" s="116">
        <v>10257.290000000001</v>
      </c>
      <c r="Q115" s="116">
        <f>+P115+N115+L115</f>
        <v>42957.187291666669</v>
      </c>
      <c r="R115" s="161">
        <f>+H115-Q115</f>
        <v>102042.81270833334</v>
      </c>
    </row>
    <row r="116" spans="1:19" s="111" customFormat="1" ht="39.950000000000003" customHeight="1" thickBot="1" x14ac:dyDescent="0.25">
      <c r="A116" s="363" t="s">
        <v>103</v>
      </c>
      <c r="B116" s="364"/>
      <c r="C116" s="100"/>
      <c r="D116" s="100"/>
      <c r="E116" s="100"/>
      <c r="F116" s="100"/>
      <c r="G116" s="100"/>
      <c r="H116" s="101">
        <f t="shared" ref="H116:R116" si="52">SUM(H115:H115)</f>
        <v>145000</v>
      </c>
      <c r="I116" s="101">
        <f t="shared" si="52"/>
        <v>4161.5</v>
      </c>
      <c r="J116" s="101">
        <f t="shared" si="52"/>
        <v>4408</v>
      </c>
      <c r="K116" s="101">
        <f t="shared" si="52"/>
        <v>1919.78</v>
      </c>
      <c r="L116" s="101">
        <f t="shared" si="52"/>
        <v>10489.28</v>
      </c>
      <c r="M116" s="101">
        <f t="shared" si="52"/>
        <v>134510.72</v>
      </c>
      <c r="N116" s="101">
        <f t="shared" si="52"/>
        <v>22210.617291666669</v>
      </c>
      <c r="O116" s="101">
        <f t="shared" si="52"/>
        <v>0</v>
      </c>
      <c r="P116" s="101">
        <f t="shared" si="52"/>
        <v>10257.290000000001</v>
      </c>
      <c r="Q116" s="101">
        <f t="shared" si="52"/>
        <v>42957.187291666669</v>
      </c>
      <c r="R116" s="101">
        <f t="shared" si="52"/>
        <v>102042.81270833334</v>
      </c>
      <c r="S116" s="338"/>
    </row>
    <row r="117" spans="1:19" s="111" customFormat="1" ht="39.950000000000003" customHeight="1" thickBot="1" x14ac:dyDescent="0.25">
      <c r="A117" s="173" t="s">
        <v>147</v>
      </c>
      <c r="B117" s="174"/>
      <c r="C117" s="174"/>
      <c r="D117" s="174"/>
      <c r="E117" s="174"/>
      <c r="F117" s="174"/>
      <c r="G117" s="321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</row>
    <row r="118" spans="1:19" s="111" customFormat="1" ht="39.950000000000003" customHeight="1" x14ac:dyDescent="0.2">
      <c r="A118" s="157">
        <f>+A115+1</f>
        <v>53</v>
      </c>
      <c r="B118" s="179" t="s">
        <v>461</v>
      </c>
      <c r="C118" s="132" t="s">
        <v>346</v>
      </c>
      <c r="D118" s="140" t="s">
        <v>605</v>
      </c>
      <c r="E118" s="176" t="s">
        <v>183</v>
      </c>
      <c r="F118" s="154" t="s">
        <v>592</v>
      </c>
      <c r="G118" s="154" t="s">
        <v>640</v>
      </c>
      <c r="H118" s="166">
        <v>80000</v>
      </c>
      <c r="I118" s="116">
        <f>H118*2.87%</f>
        <v>2296</v>
      </c>
      <c r="J118" s="116">
        <f>+H118*3.04%</f>
        <v>2432</v>
      </c>
      <c r="K118" s="116"/>
      <c r="L118" s="116">
        <f>+J118+I118+K118</f>
        <v>4728</v>
      </c>
      <c r="M118" s="116">
        <f>+H118-L118</f>
        <v>75272</v>
      </c>
      <c r="N118" s="116">
        <f>+IF(M118*12&lt;=416220.01,0,IF(M118*12&lt;=624329.01,(((M118*12-416220.01)*0.15)/12),IF((M118*12&lt;=867123.01),(31216+0.2*(M118*12-624329.01))/12,((79776+0.25*(M118*12-867123.01))/12))))-O118</f>
        <v>7400.9372916666662</v>
      </c>
      <c r="O118" s="116"/>
      <c r="P118" s="156">
        <v>2870.29</v>
      </c>
      <c r="Q118" s="116">
        <f>+P118+N118+L118</f>
        <v>14999.227291666666</v>
      </c>
      <c r="R118" s="161">
        <f>+H118-Q118</f>
        <v>65000.77270833333</v>
      </c>
    </row>
    <row r="119" spans="1:19" s="115" customFormat="1" ht="39.950000000000003" customHeight="1" thickBot="1" x14ac:dyDescent="0.25">
      <c r="A119" s="363" t="s">
        <v>103</v>
      </c>
      <c r="B119" s="364"/>
      <c r="C119" s="100"/>
      <c r="D119" s="100"/>
      <c r="E119" s="100"/>
      <c r="F119" s="100"/>
      <c r="G119" s="100"/>
      <c r="H119" s="101">
        <f t="shared" ref="H119:R119" si="53">SUM(H118:H118)</f>
        <v>80000</v>
      </c>
      <c r="I119" s="101">
        <f t="shared" si="53"/>
        <v>2296</v>
      </c>
      <c r="J119" s="101">
        <f t="shared" si="53"/>
        <v>2432</v>
      </c>
      <c r="K119" s="101">
        <f t="shared" si="53"/>
        <v>0</v>
      </c>
      <c r="L119" s="101">
        <f t="shared" si="53"/>
        <v>4728</v>
      </c>
      <c r="M119" s="101">
        <f t="shared" si="53"/>
        <v>75272</v>
      </c>
      <c r="N119" s="101">
        <f t="shared" si="53"/>
        <v>7400.9372916666662</v>
      </c>
      <c r="O119" s="101">
        <f t="shared" si="53"/>
        <v>0</v>
      </c>
      <c r="P119" s="101">
        <f t="shared" si="53"/>
        <v>2870.29</v>
      </c>
      <c r="Q119" s="101">
        <f t="shared" si="53"/>
        <v>14999.227291666666</v>
      </c>
      <c r="R119" s="101">
        <f t="shared" si="53"/>
        <v>65000.77270833333</v>
      </c>
      <c r="S119" s="338"/>
    </row>
    <row r="120" spans="1:19" s="171" customFormat="1" ht="39.950000000000003" customHeight="1" thickBot="1" x14ac:dyDescent="0.25">
      <c r="A120" s="173" t="s">
        <v>378</v>
      </c>
      <c r="B120" s="174"/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</row>
    <row r="121" spans="1:19" s="114" customFormat="1" ht="39.950000000000003" customHeight="1" thickBot="1" x14ac:dyDescent="0.25">
      <c r="A121" s="173" t="s">
        <v>379</v>
      </c>
      <c r="B121" s="174"/>
      <c r="C121" s="174"/>
      <c r="D121" s="174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</row>
    <row r="122" spans="1:19" s="114" customFormat="1" ht="39.950000000000003" customHeight="1" x14ac:dyDescent="0.2">
      <c r="A122" s="153">
        <f>+A118+1</f>
        <v>54</v>
      </c>
      <c r="B122" s="180" t="s">
        <v>391</v>
      </c>
      <c r="C122" s="130" t="s">
        <v>345</v>
      </c>
      <c r="D122" s="154" t="s">
        <v>404</v>
      </c>
      <c r="E122" s="154" t="s">
        <v>183</v>
      </c>
      <c r="F122" s="165" t="s">
        <v>576</v>
      </c>
      <c r="G122" s="154" t="s">
        <v>630</v>
      </c>
      <c r="H122" s="161">
        <v>190000</v>
      </c>
      <c r="I122" s="116">
        <f>H122*2.87%</f>
        <v>5453</v>
      </c>
      <c r="J122" s="116">
        <f>+H122*3.04%</f>
        <v>5776</v>
      </c>
      <c r="K122" s="116">
        <v>1919.78</v>
      </c>
      <c r="L122" s="116">
        <f>+J122+I122+K122</f>
        <v>13148.78</v>
      </c>
      <c r="M122" s="116">
        <f>+H122-L122</f>
        <v>176851.22</v>
      </c>
      <c r="N122" s="116">
        <f>+IF(M122*12&lt;=416220.01,0,IF(M122*12&lt;=624329.01,(((M122*12-416220.01)*0.15)/12),IF((M122*12&lt;=867123.01),(31216+0.2*(M122*12-624329.01))/12,((79776+0.25*(M122*12-867123.01))/12))))-O122</f>
        <v>32795.742291666669</v>
      </c>
      <c r="O122" s="116"/>
      <c r="P122" s="161">
        <v>25</v>
      </c>
      <c r="Q122" s="116">
        <f>+P122+N122+L122</f>
        <v>45969.522291666668</v>
      </c>
      <c r="R122" s="161">
        <f>+H122-Q122</f>
        <v>144030.47770833335</v>
      </c>
    </row>
    <row r="123" spans="1:19" s="114" customFormat="1" ht="39.950000000000003" customHeight="1" x14ac:dyDescent="0.2">
      <c r="A123" s="157">
        <f>+A122+1</f>
        <v>55</v>
      </c>
      <c r="B123" s="292" t="s">
        <v>547</v>
      </c>
      <c r="C123" s="132" t="s">
        <v>346</v>
      </c>
      <c r="D123" s="176" t="s">
        <v>548</v>
      </c>
      <c r="E123" s="176" t="s">
        <v>183</v>
      </c>
      <c r="F123" s="154" t="s">
        <v>641</v>
      </c>
      <c r="G123" s="154" t="s">
        <v>642</v>
      </c>
      <c r="H123" s="156">
        <v>140000</v>
      </c>
      <c r="I123" s="116">
        <f>H123*2.87%</f>
        <v>4018</v>
      </c>
      <c r="J123" s="116">
        <f>+H123*3.04%</f>
        <v>4256</v>
      </c>
      <c r="K123" s="116">
        <v>1919.78</v>
      </c>
      <c r="L123" s="116">
        <f>+J123+I123+K123</f>
        <v>10193.780000000001</v>
      </c>
      <c r="M123" s="116">
        <f>+H123-L123</f>
        <v>129806.22</v>
      </c>
      <c r="N123" s="116">
        <f t="shared" ref="N123:N125" si="54">+IF(M123*12&lt;=416220.01,0,IF(M123*12&lt;=624329.01,(((M123*12-416220.01)*0.15)/12),IF((M123*12&lt;=867123.01),(31216+0.2*(M123*12-624329.01))/12,((79776+0.25*(M123*12-867123.01))/12))))-O123</f>
        <v>21034.492291666669</v>
      </c>
      <c r="O123" s="116"/>
      <c r="P123" s="161">
        <v>105</v>
      </c>
      <c r="Q123" s="118">
        <f>+P123+N123+L123</f>
        <v>31333.272291666668</v>
      </c>
      <c r="R123" s="161">
        <f>+H123-Q123</f>
        <v>108666.72770833333</v>
      </c>
    </row>
    <row r="124" spans="1:19" s="114" customFormat="1" ht="39.950000000000003" customHeight="1" x14ac:dyDescent="0.2">
      <c r="A124" s="157">
        <f>+A123+1</f>
        <v>56</v>
      </c>
      <c r="B124" s="118" t="s">
        <v>430</v>
      </c>
      <c r="C124" s="132" t="s">
        <v>346</v>
      </c>
      <c r="D124" s="176" t="s">
        <v>605</v>
      </c>
      <c r="E124" s="176" t="s">
        <v>183</v>
      </c>
      <c r="F124" s="154" t="s">
        <v>641</v>
      </c>
      <c r="G124" s="154" t="s">
        <v>642</v>
      </c>
      <c r="H124" s="156">
        <v>100000</v>
      </c>
      <c r="I124" s="116">
        <f>H124*2.87%</f>
        <v>2870</v>
      </c>
      <c r="J124" s="116">
        <f>+H124*3.04%</f>
        <v>3040</v>
      </c>
      <c r="K124" s="116"/>
      <c r="L124" s="116">
        <f>+J124+I124+K124</f>
        <v>5910</v>
      </c>
      <c r="M124" s="116">
        <f>+H124-L124</f>
        <v>94090</v>
      </c>
      <c r="N124" s="116">
        <f t="shared" si="54"/>
        <v>12105.437291666667</v>
      </c>
      <c r="O124" s="116">
        <v>0</v>
      </c>
      <c r="P124" s="161">
        <v>25</v>
      </c>
      <c r="Q124" s="118">
        <f>+P124+N124+L124</f>
        <v>18040.437291666669</v>
      </c>
      <c r="R124" s="161">
        <f>+H124-Q124</f>
        <v>81959.562708333338</v>
      </c>
    </row>
    <row r="125" spans="1:19" s="114" customFormat="1" ht="39.950000000000003" customHeight="1" x14ac:dyDescent="0.2">
      <c r="A125" s="153">
        <f>+A124+1</f>
        <v>57</v>
      </c>
      <c r="B125" s="116" t="s">
        <v>174</v>
      </c>
      <c r="C125" s="130" t="s">
        <v>346</v>
      </c>
      <c r="D125" s="154" t="s">
        <v>605</v>
      </c>
      <c r="E125" s="154" t="s">
        <v>183</v>
      </c>
      <c r="F125" s="154" t="s">
        <v>583</v>
      </c>
      <c r="G125" s="154" t="s">
        <v>657</v>
      </c>
      <c r="H125" s="161">
        <v>80000</v>
      </c>
      <c r="I125" s="116">
        <f>H125*2.87%</f>
        <v>2296</v>
      </c>
      <c r="J125" s="116">
        <f>+H125*3.04%</f>
        <v>2432</v>
      </c>
      <c r="K125" s="116">
        <v>1919.78</v>
      </c>
      <c r="L125" s="116">
        <f>+J125+I125+K125</f>
        <v>6647.78</v>
      </c>
      <c r="M125" s="116">
        <f>+H125-L125</f>
        <v>73352.22</v>
      </c>
      <c r="N125" s="116">
        <f t="shared" si="54"/>
        <v>6920.9922916666665</v>
      </c>
      <c r="O125" s="116"/>
      <c r="P125" s="161">
        <v>2341.71</v>
      </c>
      <c r="Q125" s="116">
        <f>+P125+K125+J125+I125+N125</f>
        <v>15910.482291666667</v>
      </c>
      <c r="R125" s="161">
        <f>+H125-Q125</f>
        <v>64089.517708333333</v>
      </c>
    </row>
    <row r="126" spans="1:19" s="114" customFormat="1" ht="39.950000000000003" customHeight="1" x14ac:dyDescent="0.2">
      <c r="A126" s="363" t="s">
        <v>103</v>
      </c>
      <c r="B126" s="364"/>
      <c r="C126" s="100"/>
      <c r="D126" s="100"/>
      <c r="E126" s="100"/>
      <c r="F126" s="100"/>
      <c r="G126" s="100"/>
      <c r="H126" s="101">
        <f t="shared" ref="H126:O126" si="55">SUM(H122:H125)</f>
        <v>510000</v>
      </c>
      <c r="I126" s="101">
        <f t="shared" si="55"/>
        <v>14637</v>
      </c>
      <c r="J126" s="101">
        <f t="shared" si="55"/>
        <v>15504</v>
      </c>
      <c r="K126" s="101">
        <f t="shared" si="55"/>
        <v>5759.34</v>
      </c>
      <c r="L126" s="101">
        <f t="shared" si="55"/>
        <v>35900.340000000004</v>
      </c>
      <c r="M126" s="101">
        <f t="shared" si="55"/>
        <v>474099.66000000003</v>
      </c>
      <c r="N126" s="101">
        <f t="shared" si="55"/>
        <v>72856.664166666669</v>
      </c>
      <c r="O126" s="101">
        <f t="shared" si="55"/>
        <v>0</v>
      </c>
      <c r="P126" s="101">
        <f>SUM(P122:P125)</f>
        <v>2496.71</v>
      </c>
      <c r="Q126" s="101">
        <f t="shared" ref="Q126:R126" si="56">SUM(Q122:Q125)</f>
        <v>111253.71416666667</v>
      </c>
      <c r="R126" s="101">
        <f t="shared" si="56"/>
        <v>398746.28583333339</v>
      </c>
      <c r="S126" s="339"/>
    </row>
    <row r="127" spans="1:19" s="114" customFormat="1" ht="39.950000000000003" customHeight="1" x14ac:dyDescent="0.2">
      <c r="A127" s="170"/>
      <c r="B127" s="170"/>
      <c r="C127" s="170"/>
      <c r="D127" s="170"/>
      <c r="E127" s="170"/>
      <c r="F127" s="170"/>
      <c r="G127" s="170"/>
    </row>
    <row r="128" spans="1:19" s="114" customFormat="1" ht="39.950000000000003" customHeight="1" thickBot="1" x14ac:dyDescent="0.25">
      <c r="A128" s="170"/>
      <c r="B128" s="170"/>
      <c r="C128" s="170"/>
      <c r="D128" s="170"/>
      <c r="E128" s="170"/>
      <c r="F128" s="170"/>
      <c r="G128" s="170"/>
    </row>
    <row r="129" spans="1:19" s="114" customFormat="1" ht="39.950000000000003" customHeight="1" thickBot="1" x14ac:dyDescent="0.25">
      <c r="A129" s="173" t="s">
        <v>313</v>
      </c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</row>
    <row r="130" spans="1:19" s="114" customFormat="1" ht="39.950000000000003" customHeight="1" x14ac:dyDescent="0.2">
      <c r="A130" s="153">
        <f>+A125+1</f>
        <v>58</v>
      </c>
      <c r="B130" s="116" t="s">
        <v>564</v>
      </c>
      <c r="C130" s="130" t="s">
        <v>345</v>
      </c>
      <c r="D130" s="154" t="s">
        <v>109</v>
      </c>
      <c r="E130" s="154" t="s">
        <v>183</v>
      </c>
      <c r="F130" s="154" t="s">
        <v>604</v>
      </c>
      <c r="G130" s="154" t="s">
        <v>654</v>
      </c>
      <c r="H130" s="161">
        <v>50000</v>
      </c>
      <c r="I130" s="118">
        <f>H130*2.87%</f>
        <v>1435</v>
      </c>
      <c r="J130" s="118">
        <f>+H130*3.04%</f>
        <v>1520</v>
      </c>
      <c r="K130" s="118"/>
      <c r="L130" s="116">
        <f>+J130+I130+K130</f>
        <v>2955</v>
      </c>
      <c r="M130" s="116">
        <f>+H130-L130</f>
        <v>47045</v>
      </c>
      <c r="N130" s="116">
        <f t="shared" ref="N130:N131" si="57">+IF(M130*12&lt;=416220.01,0,IF(M130*12&lt;=624329.01,(((M130*12-416220.01)*0.15)/12),IF((M130*12&lt;=867123.01),(31216+0.2*(M130*12-624329.01))/12,((79776+0.25*(M130*12-867123.01))/12))))-O130</f>
        <v>1853.9998749999997</v>
      </c>
      <c r="O130" s="116"/>
      <c r="P130" s="156">
        <v>3397.22</v>
      </c>
      <c r="Q130" s="116">
        <f>+P130+N130+L130</f>
        <v>8206.2198749999989</v>
      </c>
      <c r="R130" s="156">
        <f>+H130-Q130</f>
        <v>41793.780125000005</v>
      </c>
    </row>
    <row r="131" spans="1:19" s="114" customFormat="1" ht="39.950000000000003" customHeight="1" x14ac:dyDescent="0.2">
      <c r="A131" s="153">
        <f>+A130+1</f>
        <v>59</v>
      </c>
      <c r="B131" s="116" t="s">
        <v>613</v>
      </c>
      <c r="C131" s="130" t="s">
        <v>346</v>
      </c>
      <c r="D131" s="154" t="s">
        <v>109</v>
      </c>
      <c r="E131" s="154" t="s">
        <v>183</v>
      </c>
      <c r="F131" s="159" t="s">
        <v>616</v>
      </c>
      <c r="G131" s="159" t="s">
        <v>660</v>
      </c>
      <c r="H131" s="161">
        <v>50000</v>
      </c>
      <c r="I131" s="118">
        <f>H131*2.87%</f>
        <v>1435</v>
      </c>
      <c r="J131" s="118">
        <f>+H131*3.04%</f>
        <v>1520</v>
      </c>
      <c r="K131" s="118"/>
      <c r="L131" s="116">
        <f>+J131+I131+K131</f>
        <v>2955</v>
      </c>
      <c r="M131" s="116">
        <f>+H131-L131</f>
        <v>47045</v>
      </c>
      <c r="N131" s="116">
        <f t="shared" si="57"/>
        <v>1853.9998749999997</v>
      </c>
      <c r="O131" s="116"/>
      <c r="P131" s="156">
        <v>2290.29</v>
      </c>
      <c r="Q131" s="116">
        <f>+P131+N131+L131</f>
        <v>7099.2898749999995</v>
      </c>
      <c r="R131" s="156">
        <f>+H131-Q131</f>
        <v>42900.710124999998</v>
      </c>
    </row>
    <row r="132" spans="1:19" s="111" customFormat="1" ht="39.950000000000003" customHeight="1" x14ac:dyDescent="0.2">
      <c r="A132" s="363" t="s">
        <v>103</v>
      </c>
      <c r="B132" s="364"/>
      <c r="C132" s="100"/>
      <c r="D132" s="100"/>
      <c r="E132" s="100"/>
      <c r="F132" s="100"/>
      <c r="G132" s="100"/>
      <c r="H132" s="101">
        <f t="shared" ref="H132:R132" si="58">SUM(H130:H131)</f>
        <v>100000</v>
      </c>
      <c r="I132" s="101">
        <f t="shared" si="58"/>
        <v>2870</v>
      </c>
      <c r="J132" s="101">
        <f t="shared" si="58"/>
        <v>3040</v>
      </c>
      <c r="K132" s="101">
        <f t="shared" si="58"/>
        <v>0</v>
      </c>
      <c r="L132" s="101">
        <f t="shared" si="58"/>
        <v>5910</v>
      </c>
      <c r="M132" s="101">
        <f t="shared" si="58"/>
        <v>94090</v>
      </c>
      <c r="N132" s="101">
        <f t="shared" si="58"/>
        <v>3707.9997499999995</v>
      </c>
      <c r="O132" s="101">
        <f t="shared" si="58"/>
        <v>0</v>
      </c>
      <c r="P132" s="101">
        <f t="shared" si="58"/>
        <v>5687.51</v>
      </c>
      <c r="Q132" s="101">
        <f t="shared" si="58"/>
        <v>15305.509749999997</v>
      </c>
      <c r="R132" s="101">
        <f t="shared" si="58"/>
        <v>84694.490250000003</v>
      </c>
      <c r="S132" s="338"/>
    </row>
    <row r="133" spans="1:19" s="111" customFormat="1" ht="39.950000000000003" customHeight="1" thickBot="1" x14ac:dyDescent="0.25">
      <c r="A133" s="170"/>
      <c r="B133" s="170"/>
      <c r="C133" s="170"/>
      <c r="D133" s="170"/>
      <c r="E133" s="170"/>
      <c r="F133" s="170"/>
      <c r="G133" s="170"/>
      <c r="H133" s="170"/>
      <c r="I133" s="170"/>
      <c r="J133" s="170"/>
      <c r="K133" s="170"/>
      <c r="L133" s="170"/>
      <c r="M133" s="170"/>
      <c r="N133" s="170"/>
      <c r="O133" s="170"/>
      <c r="P133" s="170"/>
      <c r="Q133" s="170"/>
      <c r="R133" s="170"/>
    </row>
    <row r="134" spans="1:19" s="114" customFormat="1" ht="39.950000000000003" customHeight="1" thickBot="1" x14ac:dyDescent="0.25">
      <c r="A134" s="173" t="s">
        <v>313</v>
      </c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</row>
    <row r="135" spans="1:19" s="114" customFormat="1" ht="39.950000000000003" customHeight="1" x14ac:dyDescent="0.2">
      <c r="A135" s="153">
        <f>+A131+1</f>
        <v>60</v>
      </c>
      <c r="B135" s="116" t="s">
        <v>408</v>
      </c>
      <c r="C135" s="130" t="s">
        <v>346</v>
      </c>
      <c r="D135" s="154" t="s">
        <v>646</v>
      </c>
      <c r="E135" s="154" t="s">
        <v>183</v>
      </c>
      <c r="F135" s="154" t="s">
        <v>592</v>
      </c>
      <c r="G135" s="154" t="s">
        <v>640</v>
      </c>
      <c r="H135" s="161">
        <v>80000</v>
      </c>
      <c r="I135" s="118">
        <f>H135*2.87%</f>
        <v>2296</v>
      </c>
      <c r="J135" s="118">
        <f>+H135*3.04%</f>
        <v>2432</v>
      </c>
      <c r="K135" s="118"/>
      <c r="L135" s="116">
        <f>+J135+I135+K135</f>
        <v>4728</v>
      </c>
      <c r="M135" s="116">
        <f>+H135-L135</f>
        <v>75272</v>
      </c>
      <c r="N135" s="116">
        <f t="shared" ref="N135:N136" si="59">+IF(M135*12&lt;=416220.01,0,IF(M135*12&lt;=624329.01,(((M135*12-416220.01)*0.15)/12),IF((M135*12&lt;=867123.01),(31216+0.2*(M135*12-624329.01))/12,((79776+0.25*(M135*12-867123.01))/12))))-O135</f>
        <v>7400.9372916666662</v>
      </c>
      <c r="O135" s="116"/>
      <c r="P135" s="156">
        <v>25</v>
      </c>
      <c r="Q135" s="116">
        <f>+P135+N135+L135</f>
        <v>12153.937291666665</v>
      </c>
      <c r="R135" s="156">
        <f>+H135-Q135</f>
        <v>67846.062708333338</v>
      </c>
    </row>
    <row r="136" spans="1:19" s="114" customFormat="1" ht="39.950000000000003" customHeight="1" x14ac:dyDescent="0.2">
      <c r="A136" s="153">
        <f>+A135+1</f>
        <v>61</v>
      </c>
      <c r="B136" s="116" t="s">
        <v>486</v>
      </c>
      <c r="C136" s="130" t="s">
        <v>346</v>
      </c>
      <c r="D136" s="154" t="s">
        <v>109</v>
      </c>
      <c r="E136" s="154" t="s">
        <v>183</v>
      </c>
      <c r="F136" s="154" t="s">
        <v>611</v>
      </c>
      <c r="G136" s="159" t="s">
        <v>616</v>
      </c>
      <c r="H136" s="161">
        <v>80000</v>
      </c>
      <c r="I136" s="118">
        <f>H136*2.87%</f>
        <v>2296</v>
      </c>
      <c r="J136" s="118">
        <f>+H136*3.04%</f>
        <v>2432</v>
      </c>
      <c r="K136" s="118">
        <v>1919.78</v>
      </c>
      <c r="L136" s="116">
        <f>+J136+I136+K136</f>
        <v>6647.78</v>
      </c>
      <c r="M136" s="116">
        <f>+H136-L136</f>
        <v>73352.22</v>
      </c>
      <c r="N136" s="116">
        <f t="shared" si="59"/>
        <v>6920.9922916666665</v>
      </c>
      <c r="O136" s="116"/>
      <c r="P136" s="156">
        <v>25</v>
      </c>
      <c r="Q136" s="116">
        <f>+P136+N136+L136</f>
        <v>13593.772291666666</v>
      </c>
      <c r="R136" s="156">
        <f>+H136-Q136</f>
        <v>66406.227708333332</v>
      </c>
    </row>
    <row r="137" spans="1:19" s="111" customFormat="1" ht="39.950000000000003" customHeight="1" x14ac:dyDescent="0.2">
      <c r="A137" s="363" t="s">
        <v>103</v>
      </c>
      <c r="B137" s="364"/>
      <c r="C137" s="100"/>
      <c r="D137" s="100"/>
      <c r="E137" s="100"/>
      <c r="F137" s="100"/>
      <c r="G137" s="100"/>
      <c r="H137" s="101">
        <f t="shared" ref="H137:R137" si="60">SUM(H135:H136)</f>
        <v>160000</v>
      </c>
      <c r="I137" s="101">
        <f t="shared" si="60"/>
        <v>4592</v>
      </c>
      <c r="J137" s="101">
        <f t="shared" si="60"/>
        <v>4864</v>
      </c>
      <c r="K137" s="101">
        <f t="shared" si="60"/>
        <v>1919.78</v>
      </c>
      <c r="L137" s="101">
        <f t="shared" si="60"/>
        <v>11375.779999999999</v>
      </c>
      <c r="M137" s="101">
        <f t="shared" si="60"/>
        <v>148624.22</v>
      </c>
      <c r="N137" s="101">
        <f t="shared" si="60"/>
        <v>14321.929583333333</v>
      </c>
      <c r="O137" s="101">
        <f t="shared" si="60"/>
        <v>0</v>
      </c>
      <c r="P137" s="101">
        <f t="shared" si="60"/>
        <v>50</v>
      </c>
      <c r="Q137" s="101">
        <f t="shared" si="60"/>
        <v>25747.70958333333</v>
      </c>
      <c r="R137" s="101">
        <f t="shared" si="60"/>
        <v>134252.29041666666</v>
      </c>
      <c r="S137" s="338"/>
    </row>
    <row r="138" spans="1:19" s="115" customFormat="1" ht="39.950000000000003" customHeight="1" thickBot="1" x14ac:dyDescent="0.25">
      <c r="A138" s="175"/>
      <c r="B138" s="175"/>
      <c r="C138" s="175"/>
      <c r="D138" s="175"/>
      <c r="E138" s="175"/>
      <c r="F138" s="175"/>
      <c r="G138" s="175"/>
      <c r="H138" s="171"/>
      <c r="I138" s="171"/>
      <c r="J138" s="171"/>
      <c r="K138" s="171"/>
      <c r="L138" s="171"/>
      <c r="M138" s="171"/>
      <c r="N138" s="171"/>
      <c r="O138" s="171"/>
      <c r="P138" s="171"/>
      <c r="Q138" s="171"/>
      <c r="R138" s="171"/>
    </row>
    <row r="139" spans="1:19" s="115" customFormat="1" ht="39.950000000000003" customHeight="1" x14ac:dyDescent="0.2">
      <c r="A139" s="181" t="s">
        <v>399</v>
      </c>
      <c r="B139" s="182"/>
      <c r="C139" s="182"/>
      <c r="D139" s="182"/>
      <c r="E139" s="182"/>
      <c r="F139" s="182"/>
      <c r="G139" s="182"/>
      <c r="H139" s="182"/>
      <c r="I139" s="182"/>
      <c r="J139" s="182"/>
      <c r="K139" s="182"/>
      <c r="L139" s="182"/>
      <c r="M139" s="182"/>
      <c r="N139" s="182"/>
      <c r="O139" s="182"/>
      <c r="P139" s="182"/>
      <c r="Q139" s="182"/>
      <c r="R139" s="182"/>
    </row>
    <row r="140" spans="1:19" s="115" customFormat="1" ht="39.950000000000003" customHeight="1" x14ac:dyDescent="0.2">
      <c r="A140" s="108">
        <f>+A136+1</f>
        <v>62</v>
      </c>
      <c r="B140" s="109" t="s">
        <v>407</v>
      </c>
      <c r="C140" s="103" t="s">
        <v>346</v>
      </c>
      <c r="D140" s="104" t="s">
        <v>75</v>
      </c>
      <c r="E140" s="102" t="s">
        <v>183</v>
      </c>
      <c r="F140" s="107" t="s">
        <v>592</v>
      </c>
      <c r="G140" s="107" t="s">
        <v>640</v>
      </c>
      <c r="H140" s="105">
        <v>100000</v>
      </c>
      <c r="I140" s="97">
        <f>H140*2.87%</f>
        <v>2870</v>
      </c>
      <c r="J140" s="97">
        <f>+H140*3.04%</f>
        <v>3040</v>
      </c>
      <c r="K140" s="97">
        <f>1919.78*2</f>
        <v>3839.56</v>
      </c>
      <c r="L140" s="105">
        <f>+J140+I140+K140</f>
        <v>9749.56</v>
      </c>
      <c r="M140" s="105">
        <f>+H140-L140</f>
        <v>90250.44</v>
      </c>
      <c r="N140" s="105">
        <f>+IF(M140*12&lt;=416220.01,0,IF(M140*12&lt;=624329.01,(((M140*12-416220.01)*0.15)/12),IF((M140*12&lt;=867123.01),(31216+0.2*(M140*12-624329.01))/12,((79776+0.25*(M140*12-867123.01))/12))))-O140</f>
        <v>11145.547291666668</v>
      </c>
      <c r="O140" s="105"/>
      <c r="P140" s="117">
        <v>3040.18</v>
      </c>
      <c r="Q140" s="105">
        <f>+P140+N140+L140</f>
        <v>23935.287291666667</v>
      </c>
      <c r="R140" s="164">
        <f>+H140-Q140</f>
        <v>76064.712708333333</v>
      </c>
    </row>
    <row r="141" spans="1:19" s="115" customFormat="1" ht="39.950000000000003" customHeight="1" x14ac:dyDescent="0.2">
      <c r="A141" s="108">
        <f>+A140+1</f>
        <v>63</v>
      </c>
      <c r="B141" s="109" t="s">
        <v>487</v>
      </c>
      <c r="C141" s="103" t="s">
        <v>346</v>
      </c>
      <c r="D141" s="104" t="s">
        <v>574</v>
      </c>
      <c r="E141" s="102" t="s">
        <v>183</v>
      </c>
      <c r="F141" s="142" t="s">
        <v>611</v>
      </c>
      <c r="G141" s="159" t="s">
        <v>616</v>
      </c>
      <c r="H141" s="105">
        <v>90000</v>
      </c>
      <c r="I141" s="97">
        <f>H141*2.87%</f>
        <v>2583</v>
      </c>
      <c r="J141" s="97">
        <f>+H141*3.04%</f>
        <v>2736</v>
      </c>
      <c r="K141" s="97"/>
      <c r="L141" s="105">
        <f>+J141+I141+K141</f>
        <v>5319</v>
      </c>
      <c r="M141" s="105">
        <f>+H141-L141</f>
        <v>84681</v>
      </c>
      <c r="N141" s="116">
        <f>+IF(M141*12&lt;=416220.01,0,IF(M141*12&lt;=624329.01,(((M141*12-416220.01)*0.15)/12),IF((M141*12&lt;=867123.01),(31216+0.2*(M141*12-624329.01))/12,((79776+0.25*(M141*12-867123.01))/12))))-O141</f>
        <v>9753.1872916666671</v>
      </c>
      <c r="O141" s="105"/>
      <c r="P141" s="164">
        <v>25</v>
      </c>
      <c r="Q141" s="105">
        <f>+P141+N141+L141</f>
        <v>15097.187291666667</v>
      </c>
      <c r="R141" s="164">
        <f>+H141-Q141</f>
        <v>74902.812708333338</v>
      </c>
    </row>
    <row r="142" spans="1:19" s="115" customFormat="1" ht="39.950000000000003" customHeight="1" thickBot="1" x14ac:dyDescent="0.25">
      <c r="A142" s="363" t="s">
        <v>103</v>
      </c>
      <c r="B142" s="364"/>
      <c r="C142" s="100"/>
      <c r="D142" s="100"/>
      <c r="E142" s="100"/>
      <c r="F142" s="100"/>
      <c r="G142" s="100"/>
      <c r="H142" s="101">
        <f>SUM(H140:H141)</f>
        <v>190000</v>
      </c>
      <c r="I142" s="101">
        <f t="shared" ref="I142:R142" si="61">SUM(I140:I141)</f>
        <v>5453</v>
      </c>
      <c r="J142" s="101">
        <f t="shared" si="61"/>
        <v>5776</v>
      </c>
      <c r="K142" s="101">
        <f t="shared" si="61"/>
        <v>3839.56</v>
      </c>
      <c r="L142" s="101">
        <f t="shared" si="61"/>
        <v>15068.56</v>
      </c>
      <c r="M142" s="101">
        <f t="shared" si="61"/>
        <v>174931.44</v>
      </c>
      <c r="N142" s="101">
        <f t="shared" si="61"/>
        <v>20898.734583333335</v>
      </c>
      <c r="O142" s="101">
        <f t="shared" si="61"/>
        <v>0</v>
      </c>
      <c r="P142" s="101">
        <f t="shared" si="61"/>
        <v>3065.18</v>
      </c>
      <c r="Q142" s="101">
        <f t="shared" si="61"/>
        <v>39032.474583333336</v>
      </c>
      <c r="R142" s="101">
        <f t="shared" si="61"/>
        <v>150967.52541666667</v>
      </c>
      <c r="S142" s="338"/>
    </row>
    <row r="143" spans="1:19" s="111" customFormat="1" ht="39.950000000000003" customHeight="1" x14ac:dyDescent="0.2">
      <c r="A143" s="181" t="s">
        <v>549</v>
      </c>
      <c r="B143" s="182"/>
      <c r="C143" s="182"/>
      <c r="D143" s="182"/>
      <c r="E143" s="182"/>
      <c r="F143" s="182"/>
      <c r="G143" s="322"/>
      <c r="H143" s="182"/>
      <c r="I143" s="182"/>
      <c r="J143" s="182"/>
      <c r="K143" s="182"/>
      <c r="L143" s="182"/>
      <c r="M143" s="182"/>
      <c r="N143" s="182"/>
      <c r="O143" s="182"/>
      <c r="P143" s="182"/>
      <c r="Q143" s="182"/>
      <c r="R143" s="182"/>
    </row>
    <row r="144" spans="1:19" s="111" customFormat="1" ht="39.950000000000003" customHeight="1" x14ac:dyDescent="0.2">
      <c r="A144" s="108">
        <f>+A141+1</f>
        <v>64</v>
      </c>
      <c r="B144" s="141" t="s">
        <v>411</v>
      </c>
      <c r="C144" s="108" t="s">
        <v>345</v>
      </c>
      <c r="D144" s="143" t="s">
        <v>380</v>
      </c>
      <c r="E144" s="107" t="s">
        <v>183</v>
      </c>
      <c r="F144" s="107" t="s">
        <v>604</v>
      </c>
      <c r="G144" s="107" t="s">
        <v>654</v>
      </c>
      <c r="H144" s="166">
        <v>80000</v>
      </c>
      <c r="I144" s="105">
        <f>H144*2.87%</f>
        <v>2296</v>
      </c>
      <c r="J144" s="105">
        <f>+H144*3.04%</f>
        <v>2432</v>
      </c>
      <c r="K144" s="105"/>
      <c r="L144" s="105">
        <f>+J144+I144+K144</f>
        <v>4728</v>
      </c>
      <c r="M144" s="105">
        <f>+H144-L144</f>
        <v>75272</v>
      </c>
      <c r="N144" s="105">
        <f>+IF(M144*12&lt;=416220.01,0,IF(M144*12&lt;=624329.01,(((M144*12-416220.01)*0.15)/12),IF((M144*12&lt;=867123.01),(31216+0.2*(M144*12-624329.01))/12,((79776+0.25*(M144*12-867123.01))/12))))-O144</f>
        <v>7400.9372916666662</v>
      </c>
      <c r="O144" s="105"/>
      <c r="P144" s="117">
        <v>225</v>
      </c>
      <c r="Q144" s="97">
        <f>+P144+N144+L144</f>
        <v>12353.937291666665</v>
      </c>
      <c r="R144" s="164">
        <f>H144-Q144</f>
        <v>67646.062708333338</v>
      </c>
    </row>
    <row r="145" spans="1:19" s="111" customFormat="1" ht="39.950000000000003" customHeight="1" x14ac:dyDescent="0.2">
      <c r="A145" s="108">
        <f>+A144+1</f>
        <v>65</v>
      </c>
      <c r="B145" s="141" t="s">
        <v>554</v>
      </c>
      <c r="C145" s="108" t="s">
        <v>345</v>
      </c>
      <c r="D145" s="143" t="s">
        <v>380</v>
      </c>
      <c r="E145" s="154" t="s">
        <v>183</v>
      </c>
      <c r="F145" s="107" t="s">
        <v>592</v>
      </c>
      <c r="G145" s="107" t="s">
        <v>640</v>
      </c>
      <c r="H145" s="166">
        <v>80000</v>
      </c>
      <c r="I145" s="105">
        <f>H145*2.87%</f>
        <v>2296</v>
      </c>
      <c r="J145" s="105">
        <f>+H145*3.04%</f>
        <v>2432</v>
      </c>
      <c r="K145" s="105">
        <v>1919.78</v>
      </c>
      <c r="L145" s="116">
        <f>+J145+I145+K145</f>
        <v>6647.78</v>
      </c>
      <c r="M145" s="116">
        <f>+H145-L145</f>
        <v>73352.22</v>
      </c>
      <c r="N145" s="105">
        <f>+IF(M145*12&lt;=416220.01,0,IF(M145*12&lt;=624329.01,(((M145*12-416220.01)*0.15)/12),IF((M145*12&lt;=867123.01),(31216+0.2*(M145*12-624329.01))/12,((79776+0.25*(M145*12-867123.01))/12))))-O145</f>
        <v>6920.9922916666665</v>
      </c>
      <c r="O145" s="116"/>
      <c r="P145" s="161">
        <v>6290.29</v>
      </c>
      <c r="Q145" s="118">
        <f>+P145+N145+L145</f>
        <v>19859.062291666665</v>
      </c>
      <c r="R145" s="156">
        <f>H145-Q145</f>
        <v>60140.937708333338</v>
      </c>
    </row>
    <row r="146" spans="1:19" s="115" customFormat="1" ht="39.950000000000003" customHeight="1" x14ac:dyDescent="0.2">
      <c r="A146" s="363" t="s">
        <v>103</v>
      </c>
      <c r="B146" s="364"/>
      <c r="C146" s="100"/>
      <c r="D146" s="100"/>
      <c r="E146" s="100"/>
      <c r="F146" s="100"/>
      <c r="G146" s="100"/>
      <c r="H146" s="101">
        <f t="shared" ref="H146:R146" si="62">SUM(H144:H145)</f>
        <v>160000</v>
      </c>
      <c r="I146" s="101">
        <f t="shared" si="62"/>
        <v>4592</v>
      </c>
      <c r="J146" s="101">
        <f t="shared" si="62"/>
        <v>4864</v>
      </c>
      <c r="K146" s="101">
        <f t="shared" si="62"/>
        <v>1919.78</v>
      </c>
      <c r="L146" s="101">
        <f t="shared" si="62"/>
        <v>11375.779999999999</v>
      </c>
      <c r="M146" s="101">
        <f t="shared" si="62"/>
        <v>148624.22</v>
      </c>
      <c r="N146" s="101">
        <f t="shared" si="62"/>
        <v>14321.929583333333</v>
      </c>
      <c r="O146" s="101">
        <f t="shared" si="62"/>
        <v>0</v>
      </c>
      <c r="P146" s="101">
        <f t="shared" si="62"/>
        <v>6515.29</v>
      </c>
      <c r="Q146" s="101">
        <f t="shared" si="62"/>
        <v>32212.999583333331</v>
      </c>
      <c r="R146" s="101">
        <f t="shared" si="62"/>
        <v>127787.00041666668</v>
      </c>
      <c r="S146" s="338"/>
    </row>
    <row r="147" spans="1:19" s="183" customFormat="1" ht="39.950000000000003" customHeight="1" thickBot="1" x14ac:dyDescent="0.25">
      <c r="A147" s="170"/>
      <c r="B147" s="170"/>
      <c r="C147" s="170"/>
      <c r="D147" s="170"/>
      <c r="E147" s="170"/>
      <c r="F147" s="170"/>
      <c r="G147" s="170"/>
      <c r="H147" s="170"/>
      <c r="I147" s="170"/>
      <c r="J147" s="170"/>
      <c r="K147" s="170"/>
      <c r="L147" s="170"/>
      <c r="M147" s="170"/>
      <c r="N147" s="170"/>
      <c r="O147" s="170"/>
      <c r="P147" s="170"/>
      <c r="Q147" s="170"/>
      <c r="R147" s="170"/>
    </row>
    <row r="148" spans="1:19" s="183" customFormat="1" ht="39.950000000000003" customHeight="1" thickBot="1" x14ac:dyDescent="0.25">
      <c r="A148" s="173" t="s">
        <v>255</v>
      </c>
      <c r="B148" s="174"/>
      <c r="C148" s="174"/>
      <c r="D148" s="174"/>
      <c r="E148" s="174"/>
      <c r="F148" s="174"/>
      <c r="G148" s="174"/>
      <c r="H148" s="174"/>
      <c r="I148" s="174"/>
      <c r="J148" s="174"/>
      <c r="K148" s="174"/>
      <c r="L148" s="174"/>
      <c r="M148" s="174"/>
      <c r="N148" s="174"/>
      <c r="O148" s="174"/>
      <c r="P148" s="174"/>
      <c r="Q148" s="174"/>
      <c r="R148" s="174"/>
    </row>
    <row r="149" spans="1:19" s="183" customFormat="1" ht="39.950000000000003" customHeight="1" x14ac:dyDescent="0.2">
      <c r="A149" s="157">
        <f>+A145+1</f>
        <v>66</v>
      </c>
      <c r="B149" s="165" t="s">
        <v>108</v>
      </c>
      <c r="C149" s="153" t="s">
        <v>345</v>
      </c>
      <c r="D149" s="154" t="s">
        <v>107</v>
      </c>
      <c r="E149" s="154" t="s">
        <v>183</v>
      </c>
      <c r="F149" s="154" t="s">
        <v>641</v>
      </c>
      <c r="G149" s="154" t="s">
        <v>642</v>
      </c>
      <c r="H149" s="161">
        <v>190000</v>
      </c>
      <c r="I149" s="118">
        <f>H149*2.87%</f>
        <v>5453</v>
      </c>
      <c r="J149" s="105">
        <v>5776</v>
      </c>
      <c r="K149" s="105"/>
      <c r="L149" s="116">
        <f>+J149+I149+K149</f>
        <v>11229</v>
      </c>
      <c r="M149" s="116">
        <f>+H149-L149</f>
        <v>178771</v>
      </c>
      <c r="N149" s="116">
        <f>+IF(M149*12&lt;=416220.01,0,IF(M149*12&lt;=624329.01,(((M149*12-416220.01)*0.15)/12),IF((M149*12&lt;=867123.01),(31216+0.2*(M149*12-624329.01))/12,((79776+0.25*(M149*12-867123.01))/12))))-O149</f>
        <v>33275.687291666669</v>
      </c>
      <c r="O149" s="116"/>
      <c r="P149" s="156">
        <v>25</v>
      </c>
      <c r="Q149" s="116">
        <f>+P149+N149+L149</f>
        <v>44529.687291666669</v>
      </c>
      <c r="R149" s="156">
        <f>+H149-Q149</f>
        <v>145470.31270833334</v>
      </c>
    </row>
    <row r="150" spans="1:19" s="183" customFormat="1" ht="39.950000000000003" customHeight="1" x14ac:dyDescent="0.2">
      <c r="A150" s="157">
        <f>+A149+1</f>
        <v>67</v>
      </c>
      <c r="B150" s="102" t="s">
        <v>565</v>
      </c>
      <c r="C150" s="131" t="s">
        <v>346</v>
      </c>
      <c r="D150" s="102" t="s">
        <v>507</v>
      </c>
      <c r="E150" s="176" t="s">
        <v>183</v>
      </c>
      <c r="F150" s="154" t="s">
        <v>604</v>
      </c>
      <c r="G150" s="154" t="s">
        <v>654</v>
      </c>
      <c r="H150" s="118">
        <v>110000</v>
      </c>
      <c r="I150" s="118">
        <f>H150*2.87%</f>
        <v>3157</v>
      </c>
      <c r="J150" s="118">
        <f>+H150*3.04%</f>
        <v>3344</v>
      </c>
      <c r="K150" s="118"/>
      <c r="L150" s="116">
        <f>+J150+I150+K150</f>
        <v>6501</v>
      </c>
      <c r="M150" s="116">
        <f>+H150-L150</f>
        <v>103499</v>
      </c>
      <c r="N150" s="116">
        <f t="shared" ref="N150:N151" si="63">+IF(M150*12&lt;=416220.01,0,IF(M150*12&lt;=624329.01,(((M150*12-416220.01)*0.15)/12),IF((M150*12&lt;=867123.01),(31216+0.2*(M150*12-624329.01))/12,((79776+0.25*(M150*12-867123.01))/12))))-O150</f>
        <v>14457.687291666667</v>
      </c>
      <c r="O150" s="116"/>
      <c r="P150" s="156">
        <v>3090.29</v>
      </c>
      <c r="Q150" s="116">
        <f>+P150+N150+L150</f>
        <v>24048.977291666666</v>
      </c>
      <c r="R150" s="156">
        <f>+H150-Q150</f>
        <v>85951.02270833333</v>
      </c>
    </row>
    <row r="151" spans="1:19" s="115" customFormat="1" ht="39.950000000000003" customHeight="1" x14ac:dyDescent="0.2">
      <c r="A151" s="157">
        <f>+A150+1</f>
        <v>68</v>
      </c>
      <c r="B151" s="102" t="s">
        <v>467</v>
      </c>
      <c r="C151" s="131" t="s">
        <v>345</v>
      </c>
      <c r="D151" s="102" t="s">
        <v>507</v>
      </c>
      <c r="E151" s="176" t="s">
        <v>183</v>
      </c>
      <c r="F151" s="154" t="s">
        <v>592</v>
      </c>
      <c r="G151" s="154" t="s">
        <v>640</v>
      </c>
      <c r="H151" s="118">
        <v>100000</v>
      </c>
      <c r="I151" s="118">
        <f>H151*2.87%</f>
        <v>2870</v>
      </c>
      <c r="J151" s="118">
        <f>+H151*3.04%</f>
        <v>3040</v>
      </c>
      <c r="K151" s="118">
        <v>0</v>
      </c>
      <c r="L151" s="116">
        <f>+J151+I151+K151</f>
        <v>5910</v>
      </c>
      <c r="M151" s="116">
        <f>+H151-L151</f>
        <v>94090</v>
      </c>
      <c r="N151" s="116">
        <f t="shared" si="63"/>
        <v>12105.437291666667</v>
      </c>
      <c r="O151" s="116">
        <v>0</v>
      </c>
      <c r="P151" s="156">
        <v>25</v>
      </c>
      <c r="Q151" s="116">
        <f>+P151+N151+L151</f>
        <v>18040.437291666669</v>
      </c>
      <c r="R151" s="156">
        <f>+H151-Q151</f>
        <v>81959.562708333338</v>
      </c>
    </row>
    <row r="152" spans="1:19" s="114" customFormat="1" ht="39.950000000000003" customHeight="1" x14ac:dyDescent="0.2">
      <c r="A152" s="363" t="s">
        <v>103</v>
      </c>
      <c r="B152" s="364"/>
      <c r="C152" s="100"/>
      <c r="D152" s="100"/>
      <c r="E152" s="100"/>
      <c r="F152" s="100"/>
      <c r="G152" s="100"/>
      <c r="H152" s="101">
        <f>SUM(H149:H151)</f>
        <v>400000</v>
      </c>
      <c r="I152" s="101">
        <f t="shared" ref="I152:R152" si="64">SUM(I149:I151)</f>
        <v>11480</v>
      </c>
      <c r="J152" s="101">
        <f t="shared" si="64"/>
        <v>12160</v>
      </c>
      <c r="K152" s="101">
        <f t="shared" si="64"/>
        <v>0</v>
      </c>
      <c r="L152" s="101">
        <f t="shared" si="64"/>
        <v>23640</v>
      </c>
      <c r="M152" s="101">
        <f t="shared" si="64"/>
        <v>376360</v>
      </c>
      <c r="N152" s="101">
        <f t="shared" si="64"/>
        <v>59838.811875000007</v>
      </c>
      <c r="O152" s="101">
        <f t="shared" si="64"/>
        <v>0</v>
      </c>
      <c r="P152" s="101">
        <f t="shared" si="64"/>
        <v>3140.29</v>
      </c>
      <c r="Q152" s="101">
        <f t="shared" si="64"/>
        <v>86619.101874999993</v>
      </c>
      <c r="R152" s="101">
        <f t="shared" si="64"/>
        <v>313380.89812500001</v>
      </c>
      <c r="S152" s="339"/>
    </row>
    <row r="153" spans="1:19" s="183" customFormat="1" ht="39.950000000000003" customHeight="1" thickBot="1" x14ac:dyDescent="0.25">
      <c r="A153" s="170"/>
      <c r="B153" s="170"/>
      <c r="C153" s="170"/>
      <c r="D153" s="170"/>
      <c r="E153" s="170"/>
      <c r="F153" s="170"/>
      <c r="G153" s="170"/>
      <c r="H153" s="114"/>
      <c r="I153" s="114"/>
      <c r="J153" s="114"/>
      <c r="K153" s="114"/>
      <c r="L153" s="114"/>
      <c r="M153" s="114"/>
      <c r="N153" s="114"/>
      <c r="O153" s="114"/>
      <c r="P153" s="114"/>
      <c r="Q153" s="114"/>
      <c r="R153" s="114"/>
    </row>
    <row r="154" spans="1:19" s="183" customFormat="1" ht="39.950000000000003" customHeight="1" thickBot="1" x14ac:dyDescent="0.25">
      <c r="A154" s="173" t="s">
        <v>401</v>
      </c>
      <c r="B154" s="174"/>
      <c r="C154" s="174"/>
      <c r="D154" s="174"/>
      <c r="E154" s="174"/>
      <c r="F154" s="174"/>
      <c r="G154" s="174"/>
      <c r="H154" s="174"/>
      <c r="I154" s="174"/>
      <c r="J154" s="174"/>
      <c r="K154" s="174"/>
      <c r="L154" s="174"/>
      <c r="M154" s="174"/>
      <c r="N154" s="174"/>
      <c r="O154" s="174"/>
      <c r="P154" s="174"/>
      <c r="Q154" s="174"/>
      <c r="R154" s="174"/>
    </row>
    <row r="155" spans="1:19" s="111" customFormat="1" ht="39.950000000000003" customHeight="1" x14ac:dyDescent="0.2">
      <c r="A155" s="153">
        <f>+A151+1</f>
        <v>69</v>
      </c>
      <c r="B155" s="165" t="s">
        <v>609</v>
      </c>
      <c r="C155" s="153" t="s">
        <v>345</v>
      </c>
      <c r="D155" s="154" t="s">
        <v>109</v>
      </c>
      <c r="E155" s="154" t="s">
        <v>183</v>
      </c>
      <c r="F155" s="141" t="s">
        <v>566</v>
      </c>
      <c r="G155" s="159" t="s">
        <v>616</v>
      </c>
      <c r="H155" s="116">
        <v>50000</v>
      </c>
      <c r="I155" s="116">
        <f>H155*2.87%</f>
        <v>1435</v>
      </c>
      <c r="J155" s="105">
        <f>+H155*3.04%</f>
        <v>1520</v>
      </c>
      <c r="K155" s="105"/>
      <c r="L155" s="116">
        <f>+J155+I155+K155</f>
        <v>2955</v>
      </c>
      <c r="M155" s="116">
        <f>+H155-L155</f>
        <v>47045</v>
      </c>
      <c r="N155" s="116">
        <f t="shared" ref="N155" si="65">+IF(M155*12&lt;=416220.01,0,IF(M155*12&lt;=624329.01,(((M155*12-416220.01)*0.15)/12),IF((M155*12&lt;=867123.01),(31216+0.2*(M155*12-624329.01))/12,((79776+0.25*(M155*12-867123.01))/12))))-O155</f>
        <v>1853.9998749999997</v>
      </c>
      <c r="O155" s="116"/>
      <c r="P155" s="156">
        <v>25</v>
      </c>
      <c r="Q155" s="116">
        <f>+P155+N155+L155</f>
        <v>4833.9998749999995</v>
      </c>
      <c r="R155" s="156">
        <f>+H155-Q155</f>
        <v>45166.000124999999</v>
      </c>
    </row>
    <row r="156" spans="1:19" s="115" customFormat="1" ht="39.950000000000003" customHeight="1" x14ac:dyDescent="0.2">
      <c r="A156" s="363" t="s">
        <v>103</v>
      </c>
      <c r="B156" s="364"/>
      <c r="C156" s="184"/>
      <c r="D156" s="184"/>
      <c r="E156" s="184"/>
      <c r="F156" s="184"/>
      <c r="G156" s="185"/>
      <c r="H156" s="101">
        <f t="shared" ref="H156:R156" si="66">SUM(H155:H155)</f>
        <v>50000</v>
      </c>
      <c r="I156" s="101">
        <f t="shared" si="66"/>
        <v>1435</v>
      </c>
      <c r="J156" s="101">
        <f t="shared" si="66"/>
        <v>1520</v>
      </c>
      <c r="K156" s="101">
        <f t="shared" si="66"/>
        <v>0</v>
      </c>
      <c r="L156" s="101">
        <f t="shared" si="66"/>
        <v>2955</v>
      </c>
      <c r="M156" s="101">
        <f t="shared" si="66"/>
        <v>47045</v>
      </c>
      <c r="N156" s="101">
        <f t="shared" si="66"/>
        <v>1853.9998749999997</v>
      </c>
      <c r="O156" s="101">
        <f t="shared" si="66"/>
        <v>0</v>
      </c>
      <c r="P156" s="101">
        <f t="shared" si="66"/>
        <v>25</v>
      </c>
      <c r="Q156" s="101">
        <f t="shared" si="66"/>
        <v>4833.9998749999995</v>
      </c>
      <c r="R156" s="101">
        <f t="shared" si="66"/>
        <v>45166.000124999999</v>
      </c>
      <c r="S156" s="338"/>
    </row>
    <row r="157" spans="1:19" s="183" customFormat="1" ht="39.950000000000003" customHeight="1" thickBot="1" x14ac:dyDescent="0.25">
      <c r="A157" s="111"/>
      <c r="B157" s="111"/>
      <c r="C157" s="126"/>
      <c r="D157" s="111"/>
      <c r="E157" s="111"/>
      <c r="F157" s="111"/>
      <c r="G157" s="323"/>
      <c r="H157" s="111"/>
      <c r="I157" s="111"/>
      <c r="J157" s="111"/>
      <c r="K157" s="111"/>
      <c r="L157" s="111"/>
      <c r="M157" s="111"/>
      <c r="N157" s="111"/>
      <c r="O157" s="111"/>
      <c r="P157" s="111"/>
      <c r="Q157" s="111"/>
      <c r="R157" s="111"/>
    </row>
    <row r="158" spans="1:19" s="183" customFormat="1" ht="39.950000000000003" customHeight="1" thickBot="1" x14ac:dyDescent="0.25">
      <c r="A158" s="173" t="s">
        <v>464</v>
      </c>
      <c r="B158" s="174"/>
      <c r="C158" s="174"/>
      <c r="D158" s="174"/>
      <c r="E158" s="174"/>
      <c r="F158" s="174"/>
      <c r="G158" s="321"/>
      <c r="H158" s="174"/>
      <c r="I158" s="174"/>
      <c r="J158" s="174"/>
      <c r="K158" s="174"/>
      <c r="L158" s="174"/>
      <c r="M158" s="174"/>
      <c r="N158" s="174"/>
      <c r="O158" s="174"/>
      <c r="P158" s="174"/>
      <c r="Q158" s="174"/>
      <c r="R158" s="174"/>
    </row>
    <row r="159" spans="1:19" s="115" customFormat="1" ht="39.950000000000003" customHeight="1" x14ac:dyDescent="0.2">
      <c r="A159" s="167">
        <f>+A155+1</f>
        <v>70</v>
      </c>
      <c r="B159" s="141" t="s">
        <v>470</v>
      </c>
      <c r="C159" s="108" t="s">
        <v>346</v>
      </c>
      <c r="D159" s="143" t="s">
        <v>471</v>
      </c>
      <c r="E159" s="154" t="s">
        <v>183</v>
      </c>
      <c r="F159" s="154" t="s">
        <v>604</v>
      </c>
      <c r="G159" s="154" t="s">
        <v>654</v>
      </c>
      <c r="H159" s="160">
        <v>90000</v>
      </c>
      <c r="I159" s="118">
        <f>H159*2.87%</f>
        <v>2583</v>
      </c>
      <c r="J159" s="118">
        <f>+H159*3.04%</f>
        <v>2736</v>
      </c>
      <c r="K159" s="118"/>
      <c r="L159" s="116">
        <f>+J159+I159+K159</f>
        <v>5319</v>
      </c>
      <c r="M159" s="116">
        <f>+H159-L159</f>
        <v>84681</v>
      </c>
      <c r="N159" s="116">
        <f>+IF(M159*12&lt;=416220.01,0,IF(M159*12&lt;=624329.01,(((M159*12-416220.01)*0.15)/12),IF((M159*12&lt;=867123.01),(31216+0.2*(M159*12-624329.01))/12,((79776+0.25*(M159*12-867123.01))/12))))-O159</f>
        <v>9753.1872916666671</v>
      </c>
      <c r="O159" s="116"/>
      <c r="P159" s="156">
        <v>65</v>
      </c>
      <c r="Q159" s="116">
        <f>+P159+N159+L159</f>
        <v>15137.187291666667</v>
      </c>
      <c r="R159" s="156">
        <f>+H159-Q159</f>
        <v>74862.812708333338</v>
      </c>
    </row>
    <row r="160" spans="1:19" s="111" customFormat="1" ht="39.950000000000003" customHeight="1" x14ac:dyDescent="0.2">
      <c r="A160" s="167">
        <f>+A159+1</f>
        <v>71</v>
      </c>
      <c r="B160" s="141" t="s">
        <v>462</v>
      </c>
      <c r="C160" s="108" t="s">
        <v>346</v>
      </c>
      <c r="D160" s="143" t="s">
        <v>463</v>
      </c>
      <c r="E160" s="154" t="s">
        <v>183</v>
      </c>
      <c r="F160" s="154" t="s">
        <v>592</v>
      </c>
      <c r="G160" s="154" t="s">
        <v>640</v>
      </c>
      <c r="H160" s="160">
        <v>80000</v>
      </c>
      <c r="I160" s="118">
        <f>H160*2.87%</f>
        <v>2296</v>
      </c>
      <c r="J160" s="118">
        <f>+H160*3.04%</f>
        <v>2432</v>
      </c>
      <c r="K160" s="118">
        <v>1919.78</v>
      </c>
      <c r="L160" s="116">
        <f>+J160+I160+K160</f>
        <v>6647.78</v>
      </c>
      <c r="M160" s="116">
        <f>+H160-L160</f>
        <v>73352.22</v>
      </c>
      <c r="N160" s="116">
        <f>+IF(M160*12&lt;=416220.01,0,IF(M160*12&lt;=624329.01,(((M160*12-416220.01)*0.15)/12),IF((M160*12&lt;=867123.01),(31216+0.2*(M160*12-624329.01))/12,((79776+0.25*(M160*12-867123.01))/12))))-O160</f>
        <v>6920.9922916666665</v>
      </c>
      <c r="O160" s="116">
        <v>0</v>
      </c>
      <c r="P160" s="156">
        <v>225</v>
      </c>
      <c r="Q160" s="116">
        <f>+P160+N160+L160</f>
        <v>13793.772291666666</v>
      </c>
      <c r="R160" s="156">
        <f>+H160-Q160</f>
        <v>66206.227708333332</v>
      </c>
    </row>
    <row r="161" spans="1:19" s="111" customFormat="1" ht="39.950000000000003" customHeight="1" x14ac:dyDescent="0.2">
      <c r="A161" s="363" t="s">
        <v>103</v>
      </c>
      <c r="B161" s="364"/>
      <c r="C161" s="100"/>
      <c r="D161" s="100"/>
      <c r="E161" s="100"/>
      <c r="F161" s="100"/>
      <c r="G161" s="100"/>
      <c r="H161" s="101">
        <f>SUM(H159:H160)</f>
        <v>170000</v>
      </c>
      <c r="I161" s="101">
        <f t="shared" ref="I161:R161" si="67">SUM(I159:I160)</f>
        <v>4879</v>
      </c>
      <c r="J161" s="101">
        <f t="shared" si="67"/>
        <v>5168</v>
      </c>
      <c r="K161" s="101">
        <f t="shared" si="67"/>
        <v>1919.78</v>
      </c>
      <c r="L161" s="101">
        <f t="shared" si="67"/>
        <v>11966.779999999999</v>
      </c>
      <c r="M161" s="101">
        <f t="shared" si="67"/>
        <v>158033.22</v>
      </c>
      <c r="N161" s="101">
        <f t="shared" si="67"/>
        <v>16674.179583333334</v>
      </c>
      <c r="O161" s="101">
        <f t="shared" si="67"/>
        <v>0</v>
      </c>
      <c r="P161" s="101">
        <f t="shared" si="67"/>
        <v>290</v>
      </c>
      <c r="Q161" s="101">
        <f t="shared" si="67"/>
        <v>28930.959583333333</v>
      </c>
      <c r="R161" s="101">
        <f t="shared" si="67"/>
        <v>141069.04041666666</v>
      </c>
      <c r="S161" s="338"/>
    </row>
    <row r="162" spans="1:19" s="171" customFormat="1" ht="39.950000000000003" customHeight="1" thickBot="1" x14ac:dyDescent="0.25">
      <c r="A162" s="170"/>
      <c r="B162" s="170"/>
      <c r="C162" s="186"/>
      <c r="D162" s="186"/>
      <c r="E162" s="186"/>
      <c r="F162" s="186"/>
      <c r="G162" s="186"/>
    </row>
    <row r="163" spans="1:19" s="171" customFormat="1" ht="39.950000000000003" customHeight="1" thickBot="1" x14ac:dyDescent="0.25">
      <c r="A163" s="173" t="s">
        <v>315</v>
      </c>
      <c r="B163" s="174"/>
      <c r="C163" s="174"/>
      <c r="D163" s="174"/>
      <c r="E163" s="174"/>
      <c r="F163" s="174"/>
      <c r="G163" s="321"/>
      <c r="H163" s="174"/>
      <c r="I163" s="174"/>
      <c r="J163" s="174"/>
      <c r="K163" s="174"/>
      <c r="L163" s="174"/>
      <c r="M163" s="174"/>
      <c r="N163" s="174"/>
      <c r="O163" s="174"/>
      <c r="P163" s="174"/>
      <c r="Q163" s="174"/>
      <c r="R163" s="174"/>
    </row>
    <row r="164" spans="1:19" s="115" customFormat="1" ht="39.950000000000003" customHeight="1" x14ac:dyDescent="0.2">
      <c r="A164" s="299">
        <f>+A160+1</f>
        <v>72</v>
      </c>
      <c r="B164" s="142" t="s">
        <v>614</v>
      </c>
      <c r="C164" s="103" t="s">
        <v>346</v>
      </c>
      <c r="D164" s="140" t="s">
        <v>563</v>
      </c>
      <c r="E164" s="176" t="s">
        <v>183</v>
      </c>
      <c r="F164" s="159" t="s">
        <v>616</v>
      </c>
      <c r="G164" s="159" t="s">
        <v>660</v>
      </c>
      <c r="H164" s="194">
        <v>100000</v>
      </c>
      <c r="I164" s="118">
        <f>H164*2.87%</f>
        <v>2870</v>
      </c>
      <c r="J164" s="118">
        <f>+H164*3.04%</f>
        <v>3040</v>
      </c>
      <c r="K164" s="118">
        <v>0</v>
      </c>
      <c r="L164" s="116">
        <f>+J164+I164+K164</f>
        <v>5910</v>
      </c>
      <c r="M164" s="116">
        <f>+H164-L164</f>
        <v>94090</v>
      </c>
      <c r="N164" s="116">
        <f>+IF(M164*12&lt;=416220.01,0,IF(M164*12&lt;=624329.01,(((M164*12-416220.01)*0.15)/12),IF((M164*12&lt;=867123.01),(31216+0.2*(M164*12-624329.01))/12,((79776+0.25*(M164*12-867123.01))/12))))-O164</f>
        <v>12105.437291666667</v>
      </c>
      <c r="O164" s="116">
        <v>0</v>
      </c>
      <c r="P164" s="156">
        <v>225</v>
      </c>
      <c r="Q164" s="116">
        <f>+L164+N164+P164</f>
        <v>18240.437291666669</v>
      </c>
      <c r="R164" s="156">
        <f>+H164-Q164</f>
        <v>81759.562708333338</v>
      </c>
    </row>
    <row r="165" spans="1:19" s="115" customFormat="1" ht="39.950000000000003" customHeight="1" x14ac:dyDescent="0.2">
      <c r="A165" s="299">
        <f>+A164+1</f>
        <v>73</v>
      </c>
      <c r="B165" s="142" t="s">
        <v>577</v>
      </c>
      <c r="C165" s="103" t="s">
        <v>345</v>
      </c>
      <c r="D165" s="140" t="s">
        <v>578</v>
      </c>
      <c r="E165" s="176" t="s">
        <v>183</v>
      </c>
      <c r="F165" s="165" t="s">
        <v>576</v>
      </c>
      <c r="G165" s="154" t="s">
        <v>630</v>
      </c>
      <c r="H165" s="194">
        <v>60000</v>
      </c>
      <c r="I165" s="118">
        <f>H165*2.87%</f>
        <v>1722</v>
      </c>
      <c r="J165" s="118">
        <f>+H165*3.04%</f>
        <v>1824</v>
      </c>
      <c r="K165" s="118"/>
      <c r="L165" s="116">
        <f>+J165+I165+K165</f>
        <v>3546</v>
      </c>
      <c r="M165" s="116">
        <f>+H165-L165</f>
        <v>56454</v>
      </c>
      <c r="N165" s="116">
        <f>+IF(M165*12&lt;=416220.01,0,IF(M165*12&lt;=624329.01,(((M165*12-416220.01)*0.15)/12),IF((M165*12&lt;=867123.01),(31216+0.2*(M165*12-624329.01))/12,((79776+0.25*(M165*12-867123.01))/12))))-O165</f>
        <v>3486.6498333333329</v>
      </c>
      <c r="O165" s="116"/>
      <c r="P165" s="156">
        <v>225</v>
      </c>
      <c r="Q165" s="116">
        <f>+P165+N165+L165</f>
        <v>7257.6498333333329</v>
      </c>
      <c r="R165" s="156">
        <f>+H165-Q165</f>
        <v>52742.350166666671</v>
      </c>
    </row>
    <row r="166" spans="1:19" s="114" customFormat="1" ht="39.950000000000003" customHeight="1" x14ac:dyDescent="0.2">
      <c r="A166" s="363" t="s">
        <v>103</v>
      </c>
      <c r="B166" s="364"/>
      <c r="C166" s="100"/>
      <c r="D166" s="100"/>
      <c r="E166" s="100"/>
      <c r="F166" s="100"/>
      <c r="G166" s="100"/>
      <c r="H166" s="101">
        <f t="shared" ref="H166:R166" si="68">SUM(H164:H165)</f>
        <v>160000</v>
      </c>
      <c r="I166" s="101">
        <f t="shared" si="68"/>
        <v>4592</v>
      </c>
      <c r="J166" s="101">
        <f t="shared" si="68"/>
        <v>4864</v>
      </c>
      <c r="K166" s="101">
        <f t="shared" si="68"/>
        <v>0</v>
      </c>
      <c r="L166" s="101">
        <f t="shared" si="68"/>
        <v>9456</v>
      </c>
      <c r="M166" s="101">
        <f t="shared" si="68"/>
        <v>150544</v>
      </c>
      <c r="N166" s="101">
        <f t="shared" si="68"/>
        <v>15592.087125</v>
      </c>
      <c r="O166" s="101">
        <f t="shared" si="68"/>
        <v>0</v>
      </c>
      <c r="P166" s="101">
        <f t="shared" si="68"/>
        <v>450</v>
      </c>
      <c r="Q166" s="101">
        <f t="shared" si="68"/>
        <v>25498.087125000002</v>
      </c>
      <c r="R166" s="101">
        <f t="shared" si="68"/>
        <v>134501.91287500001</v>
      </c>
      <c r="S166" s="339"/>
    </row>
    <row r="167" spans="1:19" s="114" customFormat="1" ht="39.950000000000003" customHeight="1" thickBot="1" x14ac:dyDescent="0.25">
      <c r="A167" s="170"/>
      <c r="B167" s="170"/>
      <c r="C167" s="170"/>
      <c r="D167" s="170"/>
      <c r="E167" s="170"/>
      <c r="F167" s="170"/>
      <c r="G167" s="170"/>
    </row>
    <row r="168" spans="1:19" s="114" customFormat="1" ht="39.950000000000003" customHeight="1" thickBot="1" x14ac:dyDescent="0.25">
      <c r="A168" s="173" t="s">
        <v>186</v>
      </c>
      <c r="B168" s="174"/>
      <c r="C168" s="174"/>
      <c r="D168" s="174"/>
      <c r="E168" s="174"/>
      <c r="F168" s="174"/>
      <c r="G168" s="174"/>
      <c r="H168" s="174"/>
      <c r="I168" s="174"/>
      <c r="J168" s="174"/>
      <c r="K168" s="188"/>
      <c r="L168" s="188"/>
      <c r="M168" s="188"/>
      <c r="N168" s="188"/>
      <c r="O168" s="188"/>
      <c r="P168" s="188"/>
      <c r="Q168" s="188"/>
      <c r="R168" s="174"/>
    </row>
    <row r="169" spans="1:19" s="114" customFormat="1" ht="39.950000000000003" customHeight="1" x14ac:dyDescent="0.2">
      <c r="A169" s="103">
        <f>+A165+1</f>
        <v>74</v>
      </c>
      <c r="B169" s="141" t="s">
        <v>316</v>
      </c>
      <c r="C169" s="108" t="s">
        <v>346</v>
      </c>
      <c r="D169" s="143" t="s">
        <v>508</v>
      </c>
      <c r="E169" s="154" t="s">
        <v>183</v>
      </c>
      <c r="F169" s="155" t="s">
        <v>611</v>
      </c>
      <c r="G169" s="159" t="s">
        <v>616</v>
      </c>
      <c r="H169" s="160">
        <v>145000</v>
      </c>
      <c r="I169" s="118">
        <f>H169*2.87%</f>
        <v>4161.5</v>
      </c>
      <c r="J169" s="118">
        <f>+H169*3.04%</f>
        <v>4408</v>
      </c>
      <c r="K169" s="118"/>
      <c r="L169" s="118">
        <f>+J169+I169+K169</f>
        <v>8569.5</v>
      </c>
      <c r="M169" s="118">
        <f>+H169-L169</f>
        <v>136430.5</v>
      </c>
      <c r="N169" s="116">
        <f>+IF(M169*12&lt;=416220.01,0,IF(M169*12&lt;=624329.01,(((M169*12-416220.01)*0.15)/12),IF((M169*12&lt;=867123.01),(31216+0.2*(M169*12-624329.01))/12,((79776+0.25*(M169*12-867123.01))/12))))-O169</f>
        <v>22690.562291666665</v>
      </c>
      <c r="O169" s="118"/>
      <c r="P169" s="161">
        <v>5466</v>
      </c>
      <c r="Q169" s="118">
        <f>+P169+N169+L169</f>
        <v>36726.062291666662</v>
      </c>
      <c r="R169" s="156">
        <f>+H169-Q169</f>
        <v>108273.93770833334</v>
      </c>
    </row>
    <row r="170" spans="1:19" s="114" customFormat="1" ht="39.950000000000003" customHeight="1" x14ac:dyDescent="0.2">
      <c r="A170" s="363" t="s">
        <v>103</v>
      </c>
      <c r="B170" s="367"/>
      <c r="C170" s="189"/>
      <c r="D170" s="189"/>
      <c r="E170" s="189"/>
      <c r="F170" s="189"/>
      <c r="G170" s="190"/>
      <c r="H170" s="101">
        <f>+H169</f>
        <v>145000</v>
      </c>
      <c r="I170" s="101">
        <f t="shared" ref="I170:R170" si="69">+I169</f>
        <v>4161.5</v>
      </c>
      <c r="J170" s="101">
        <f t="shared" si="69"/>
        <v>4408</v>
      </c>
      <c r="K170" s="101">
        <f t="shared" si="69"/>
        <v>0</v>
      </c>
      <c r="L170" s="101">
        <f t="shared" si="69"/>
        <v>8569.5</v>
      </c>
      <c r="M170" s="101">
        <f t="shared" si="69"/>
        <v>136430.5</v>
      </c>
      <c r="N170" s="101">
        <f t="shared" si="69"/>
        <v>22690.562291666665</v>
      </c>
      <c r="O170" s="101">
        <f t="shared" si="69"/>
        <v>0</v>
      </c>
      <c r="P170" s="101">
        <f t="shared" si="69"/>
        <v>5466</v>
      </c>
      <c r="Q170" s="101">
        <f t="shared" si="69"/>
        <v>36726.062291666662</v>
      </c>
      <c r="R170" s="101">
        <f t="shared" si="69"/>
        <v>108273.93770833334</v>
      </c>
      <c r="S170" s="339"/>
    </row>
    <row r="171" spans="1:19" s="114" customFormat="1" ht="39.950000000000003" customHeight="1" thickBot="1" x14ac:dyDescent="0.25">
      <c r="A171" s="124"/>
      <c r="B171" s="110"/>
      <c r="C171" s="113"/>
      <c r="D171" s="191"/>
      <c r="E171" s="192"/>
      <c r="F171" s="145"/>
      <c r="G171" s="145"/>
      <c r="H171" s="193"/>
      <c r="I171" s="115"/>
      <c r="J171" s="115"/>
      <c r="K171" s="115"/>
      <c r="L171" s="115"/>
      <c r="M171" s="115"/>
      <c r="N171" s="115"/>
      <c r="O171" s="115"/>
      <c r="P171" s="115"/>
      <c r="Q171" s="115"/>
      <c r="R171" s="115"/>
    </row>
    <row r="172" spans="1:19" s="183" customFormat="1" ht="39.950000000000003" customHeight="1" thickBot="1" x14ac:dyDescent="0.25">
      <c r="A172" s="173" t="s">
        <v>176</v>
      </c>
      <c r="B172" s="174"/>
      <c r="C172" s="174"/>
      <c r="D172" s="174"/>
      <c r="E172" s="174"/>
      <c r="F172" s="174"/>
      <c r="G172" s="174"/>
      <c r="H172" s="174"/>
      <c r="I172" s="174"/>
      <c r="J172" s="174"/>
      <c r="K172" s="174"/>
      <c r="L172" s="174"/>
      <c r="M172" s="174"/>
      <c r="N172" s="174"/>
      <c r="O172" s="174"/>
      <c r="P172" s="174"/>
      <c r="Q172" s="174"/>
      <c r="R172" s="174"/>
    </row>
    <row r="173" spans="1:19" s="187" customFormat="1" ht="39.950000000000003" customHeight="1" x14ac:dyDescent="0.2">
      <c r="A173" s="108">
        <f>+A169+1</f>
        <v>75</v>
      </c>
      <c r="B173" s="141" t="s">
        <v>318</v>
      </c>
      <c r="C173" s="108" t="s">
        <v>346</v>
      </c>
      <c r="D173" s="143" t="s">
        <v>187</v>
      </c>
      <c r="E173" s="154" t="s">
        <v>183</v>
      </c>
      <c r="F173" s="159" t="s">
        <v>616</v>
      </c>
      <c r="G173" s="159" t="s">
        <v>660</v>
      </c>
      <c r="H173" s="160">
        <v>155000</v>
      </c>
      <c r="I173" s="116">
        <f t="shared" ref="I173:I175" si="70">H173*2.87%</f>
        <v>4448.5</v>
      </c>
      <c r="J173" s="116">
        <f t="shared" ref="J173:J175" si="71">+H173*3.04%</f>
        <v>4712</v>
      </c>
      <c r="K173" s="116"/>
      <c r="L173" s="116">
        <f t="shared" ref="L173:L177" si="72">+J173+I173+K173</f>
        <v>9160.5</v>
      </c>
      <c r="M173" s="116">
        <f t="shared" ref="M173:M177" si="73">+H173-L173</f>
        <v>145839.5</v>
      </c>
      <c r="N173" s="116">
        <f>+IF(M173*12&lt;=416220.01,0,IF(M173*12&lt;=624329.01,(((M173*12-416220.01)*0.15)/12),IF((M173*12&lt;=867123.01),(31216+0.2*(M173*12-624329.01))/12,((79776+0.25*(M173*12-867123.01))/12))))-O173</f>
        <v>25042.812291666665</v>
      </c>
      <c r="O173" s="116"/>
      <c r="P173" s="161">
        <v>9381.82</v>
      </c>
      <c r="Q173" s="116">
        <f>+P173+N173+L173</f>
        <v>43585.132291666669</v>
      </c>
      <c r="R173" s="161">
        <f>+H173-Q173</f>
        <v>111414.86770833333</v>
      </c>
    </row>
    <row r="174" spans="1:19" s="187" customFormat="1" ht="39.950000000000003" customHeight="1" x14ac:dyDescent="0.2">
      <c r="A174" s="108">
        <f>+A173+1</f>
        <v>76</v>
      </c>
      <c r="B174" s="141" t="s">
        <v>84</v>
      </c>
      <c r="C174" s="108" t="s">
        <v>346</v>
      </c>
      <c r="D174" s="143" t="s">
        <v>413</v>
      </c>
      <c r="E174" s="154" t="s">
        <v>183</v>
      </c>
      <c r="F174" s="165" t="s">
        <v>576</v>
      </c>
      <c r="G174" s="154" t="s">
        <v>630</v>
      </c>
      <c r="H174" s="160">
        <v>80000</v>
      </c>
      <c r="I174" s="105">
        <f t="shared" si="70"/>
        <v>2296</v>
      </c>
      <c r="J174" s="105">
        <f t="shared" si="71"/>
        <v>2432</v>
      </c>
      <c r="K174" s="116">
        <v>1919.78</v>
      </c>
      <c r="L174" s="116">
        <f t="shared" si="72"/>
        <v>6647.78</v>
      </c>
      <c r="M174" s="116">
        <f t="shared" si="73"/>
        <v>73352.22</v>
      </c>
      <c r="N174" s="116">
        <f t="shared" ref="N174:N177" si="74">+IF(M174*12&lt;=416220.01,0,IF(M174*12&lt;=624329.01,(((M174*12-416220.01)*0.15)/12),IF((M174*12&lt;=867123.01),(31216+0.2*(M174*12-624329.01))/12,((79776+0.25*(M174*12-867123.01))/12))))-O174</f>
        <v>6920.9922916666665</v>
      </c>
      <c r="O174" s="116"/>
      <c r="P174" s="161">
        <v>2990.29</v>
      </c>
      <c r="Q174" s="118">
        <f>+P174+N174+L174</f>
        <v>16559.062291666665</v>
      </c>
      <c r="R174" s="156">
        <f>+H174-Q174</f>
        <v>63440.937708333338</v>
      </c>
    </row>
    <row r="175" spans="1:19" s="183" customFormat="1" ht="39.950000000000003" customHeight="1" x14ac:dyDescent="0.2">
      <c r="A175" s="108">
        <f>+A174+1</f>
        <v>77</v>
      </c>
      <c r="B175" s="141" t="s">
        <v>320</v>
      </c>
      <c r="C175" s="108" t="s">
        <v>346</v>
      </c>
      <c r="D175" s="143" t="s">
        <v>195</v>
      </c>
      <c r="E175" s="154" t="s">
        <v>183</v>
      </c>
      <c r="F175" s="165" t="s">
        <v>641</v>
      </c>
      <c r="G175" s="154" t="s">
        <v>642</v>
      </c>
      <c r="H175" s="160">
        <v>80000</v>
      </c>
      <c r="I175" s="105">
        <f t="shared" si="70"/>
        <v>2296</v>
      </c>
      <c r="J175" s="105">
        <f t="shared" si="71"/>
        <v>2432</v>
      </c>
      <c r="K175" s="116">
        <v>1919.78</v>
      </c>
      <c r="L175" s="116">
        <f>+J175+I175+K175</f>
        <v>6647.78</v>
      </c>
      <c r="M175" s="116">
        <f>+H175-L175</f>
        <v>73352.22</v>
      </c>
      <c r="N175" s="116">
        <f t="shared" si="74"/>
        <v>6920.9922916666665</v>
      </c>
      <c r="O175" s="116"/>
      <c r="P175" s="161">
        <v>3943.56</v>
      </c>
      <c r="Q175" s="118">
        <f>+P175+N175+L175</f>
        <v>17512.332291666666</v>
      </c>
      <c r="R175" s="156">
        <f>+H175-Q175</f>
        <v>62487.667708333334</v>
      </c>
    </row>
    <row r="176" spans="1:19" s="183" customFormat="1" ht="39.950000000000003" customHeight="1" x14ac:dyDescent="0.2">
      <c r="A176" s="108">
        <f>+A175+1</f>
        <v>78</v>
      </c>
      <c r="B176" s="141" t="s">
        <v>317</v>
      </c>
      <c r="C176" s="108" t="s">
        <v>346</v>
      </c>
      <c r="D176" s="143" t="s">
        <v>195</v>
      </c>
      <c r="E176" s="154" t="s">
        <v>183</v>
      </c>
      <c r="F176" s="154" t="s">
        <v>592</v>
      </c>
      <c r="G176" s="154" t="s">
        <v>640</v>
      </c>
      <c r="H176" s="160">
        <v>80000</v>
      </c>
      <c r="I176" s="116">
        <f>H176*2.87%</f>
        <v>2296</v>
      </c>
      <c r="J176" s="116">
        <f>+H176*3.04%</f>
        <v>2432</v>
      </c>
      <c r="K176" s="116">
        <v>1919.78</v>
      </c>
      <c r="L176" s="116">
        <f>+J176+I176+K176</f>
        <v>6647.78</v>
      </c>
      <c r="M176" s="116">
        <f>+H176-L176</f>
        <v>73352.22</v>
      </c>
      <c r="N176" s="116">
        <f t="shared" si="74"/>
        <v>6920.9922916666665</v>
      </c>
      <c r="O176" s="116"/>
      <c r="P176" s="161">
        <v>25</v>
      </c>
      <c r="Q176" s="118">
        <f>+P176+N176+L176</f>
        <v>13593.772291666666</v>
      </c>
      <c r="R176" s="156">
        <f>+H176-Q176</f>
        <v>66406.227708333332</v>
      </c>
    </row>
    <row r="177" spans="1:19" s="183" customFormat="1" ht="39.950000000000003" customHeight="1" x14ac:dyDescent="0.2">
      <c r="A177" s="108">
        <f>+A176+1</f>
        <v>79</v>
      </c>
      <c r="B177" s="141" t="s">
        <v>472</v>
      </c>
      <c r="C177" s="108" t="s">
        <v>346</v>
      </c>
      <c r="D177" s="143" t="s">
        <v>321</v>
      </c>
      <c r="E177" s="154" t="s">
        <v>183</v>
      </c>
      <c r="F177" s="154" t="s">
        <v>604</v>
      </c>
      <c r="G177" s="154" t="s">
        <v>654</v>
      </c>
      <c r="H177" s="160">
        <v>65000</v>
      </c>
      <c r="I177" s="105">
        <f t="shared" ref="I177" si="75">H177*2.87%</f>
        <v>1865.5</v>
      </c>
      <c r="J177" s="105">
        <f t="shared" ref="J177" si="76">+H177*3.04%</f>
        <v>1976</v>
      </c>
      <c r="K177" s="105"/>
      <c r="L177" s="116">
        <f t="shared" si="72"/>
        <v>3841.5</v>
      </c>
      <c r="M177" s="116">
        <f t="shared" si="73"/>
        <v>61158.5</v>
      </c>
      <c r="N177" s="116">
        <f t="shared" si="74"/>
        <v>4427.5498333333335</v>
      </c>
      <c r="O177" s="116"/>
      <c r="P177" s="161">
        <v>225</v>
      </c>
      <c r="Q177" s="116">
        <f>+P177+N177+L177</f>
        <v>8494.0498333333344</v>
      </c>
      <c r="R177" s="161">
        <f>+H177-Q177</f>
        <v>56505.950166666662</v>
      </c>
    </row>
    <row r="178" spans="1:19" s="183" customFormat="1" ht="39.950000000000003" customHeight="1" x14ac:dyDescent="0.2">
      <c r="A178" s="363" t="s">
        <v>103</v>
      </c>
      <c r="B178" s="364"/>
      <c r="C178" s="100"/>
      <c r="D178" s="100"/>
      <c r="E178" s="100"/>
      <c r="F178" s="100"/>
      <c r="G178" s="100"/>
      <c r="H178" s="101">
        <f t="shared" ref="H178:R178" si="77">SUM(H173:H177)</f>
        <v>460000</v>
      </c>
      <c r="I178" s="101">
        <f t="shared" si="77"/>
        <v>13202</v>
      </c>
      <c r="J178" s="101">
        <f t="shared" si="77"/>
        <v>13984</v>
      </c>
      <c r="K178" s="101">
        <f t="shared" si="77"/>
        <v>5759.34</v>
      </c>
      <c r="L178" s="101">
        <f t="shared" si="77"/>
        <v>32945.339999999997</v>
      </c>
      <c r="M178" s="101">
        <f t="shared" si="77"/>
        <v>427054.66000000003</v>
      </c>
      <c r="N178" s="101">
        <f t="shared" si="77"/>
        <v>50233.339</v>
      </c>
      <c r="O178" s="101">
        <f t="shared" si="77"/>
        <v>0</v>
      </c>
      <c r="P178" s="101">
        <f t="shared" si="77"/>
        <v>16565.669999999998</v>
      </c>
      <c r="Q178" s="101">
        <f t="shared" si="77"/>
        <v>99744.349000000002</v>
      </c>
      <c r="R178" s="101">
        <f t="shared" si="77"/>
        <v>360255.65100000001</v>
      </c>
      <c r="S178" s="340"/>
    </row>
    <row r="179" spans="1:19" s="183" customFormat="1" ht="39.950000000000003" customHeight="1" thickBot="1" x14ac:dyDescent="0.25">
      <c r="A179" s="170"/>
      <c r="B179" s="170"/>
      <c r="C179" s="170"/>
      <c r="D179" s="170"/>
      <c r="E179" s="170"/>
      <c r="F179" s="170"/>
      <c r="G179" s="170"/>
      <c r="H179" s="114"/>
      <c r="I179" s="114"/>
      <c r="J179" s="114"/>
      <c r="K179" s="114"/>
      <c r="L179" s="114"/>
      <c r="M179" s="114"/>
      <c r="N179" s="114"/>
      <c r="O179" s="114"/>
      <c r="P179" s="114"/>
      <c r="Q179" s="114"/>
      <c r="R179" s="114"/>
    </row>
    <row r="180" spans="1:19" s="187" customFormat="1" ht="39.950000000000003" customHeight="1" thickBot="1" x14ac:dyDescent="0.25">
      <c r="A180" s="173" t="s">
        <v>376</v>
      </c>
      <c r="B180" s="174"/>
      <c r="C180" s="174"/>
      <c r="D180" s="174"/>
      <c r="E180" s="174"/>
      <c r="F180" s="174"/>
      <c r="G180" s="174"/>
      <c r="H180" s="174"/>
      <c r="I180" s="174"/>
      <c r="J180" s="174"/>
      <c r="K180" s="174"/>
      <c r="L180" s="174"/>
      <c r="M180" s="174"/>
      <c r="N180" s="174"/>
      <c r="O180" s="174"/>
      <c r="P180" s="174"/>
      <c r="Q180" s="174"/>
      <c r="R180" s="174"/>
    </row>
    <row r="181" spans="1:19" s="183" customFormat="1" ht="39.950000000000003" customHeight="1" x14ac:dyDescent="0.2">
      <c r="A181" s="103">
        <f>+A177+1</f>
        <v>80</v>
      </c>
      <c r="B181" s="109" t="s">
        <v>188</v>
      </c>
      <c r="C181" s="108" t="s">
        <v>346</v>
      </c>
      <c r="D181" s="107" t="s">
        <v>377</v>
      </c>
      <c r="E181" s="154" t="s">
        <v>183</v>
      </c>
      <c r="F181" s="159" t="s">
        <v>616</v>
      </c>
      <c r="G181" s="159" t="s">
        <v>660</v>
      </c>
      <c r="H181" s="195">
        <v>180000</v>
      </c>
      <c r="I181" s="97">
        <f>H181*2.87%</f>
        <v>5166</v>
      </c>
      <c r="J181" s="118">
        <f>+H181*3.04%</f>
        <v>5472</v>
      </c>
      <c r="K181" s="118"/>
      <c r="L181" s="116">
        <f>+J181+I181+K181</f>
        <v>10638</v>
      </c>
      <c r="M181" s="116">
        <f>+H181-L181</f>
        <v>169362</v>
      </c>
      <c r="N181" s="116">
        <f>+IF(M181*12&lt;=416220.01,0,IF(M181*12&lt;=624329.01,(((M181*12-416220.01)*0.15)/12),IF((M181*12&lt;=867123.01),(31216+0.2*(M181*12-624329.01))/12,((79776+0.25*(M181*12-867123.01))/12))))</f>
        <v>30923.437291666665</v>
      </c>
      <c r="O181" s="116"/>
      <c r="P181" s="156">
        <v>10090.290000000001</v>
      </c>
      <c r="Q181" s="116">
        <f>+P181+N181+L181</f>
        <v>51651.72729166667</v>
      </c>
      <c r="R181" s="164">
        <f>+H181-Q181</f>
        <v>128348.27270833333</v>
      </c>
    </row>
    <row r="182" spans="1:19" s="111" customFormat="1" ht="39.950000000000003" customHeight="1" x14ac:dyDescent="0.2">
      <c r="A182" s="363" t="s">
        <v>103</v>
      </c>
      <c r="B182" s="364"/>
      <c r="C182" s="100"/>
      <c r="D182" s="100"/>
      <c r="E182" s="100"/>
      <c r="F182" s="100"/>
      <c r="G182" s="100"/>
      <c r="H182" s="101">
        <f t="shared" ref="H182:R182" si="78">SUM(H181:H181)</f>
        <v>180000</v>
      </c>
      <c r="I182" s="101">
        <f t="shared" si="78"/>
        <v>5166</v>
      </c>
      <c r="J182" s="101">
        <f t="shared" si="78"/>
        <v>5472</v>
      </c>
      <c r="K182" s="101">
        <f t="shared" si="78"/>
        <v>0</v>
      </c>
      <c r="L182" s="101">
        <f t="shared" si="78"/>
        <v>10638</v>
      </c>
      <c r="M182" s="101">
        <f t="shared" si="78"/>
        <v>169362</v>
      </c>
      <c r="N182" s="101">
        <f t="shared" si="78"/>
        <v>30923.437291666665</v>
      </c>
      <c r="O182" s="101">
        <f t="shared" si="78"/>
        <v>0</v>
      </c>
      <c r="P182" s="101">
        <f t="shared" si="78"/>
        <v>10090.290000000001</v>
      </c>
      <c r="Q182" s="101">
        <f t="shared" si="78"/>
        <v>51651.72729166667</v>
      </c>
      <c r="R182" s="101">
        <f t="shared" si="78"/>
        <v>128348.27270833333</v>
      </c>
      <c r="S182" s="338"/>
    </row>
    <row r="183" spans="1:19" s="115" customFormat="1" ht="39.950000000000003" customHeight="1" thickBot="1" x14ac:dyDescent="0.25">
      <c r="A183" s="170"/>
      <c r="B183" s="170"/>
      <c r="C183" s="170"/>
      <c r="D183" s="170"/>
      <c r="E183" s="170"/>
      <c r="F183" s="170"/>
      <c r="G183" s="170"/>
      <c r="H183" s="114"/>
      <c r="I183" s="114"/>
      <c r="J183" s="114"/>
      <c r="K183" s="114"/>
      <c r="L183" s="114"/>
      <c r="M183" s="114"/>
      <c r="N183" s="114"/>
      <c r="O183" s="114"/>
      <c r="P183" s="114"/>
      <c r="Q183" s="114"/>
      <c r="R183" s="114"/>
    </row>
    <row r="184" spans="1:19" s="115" customFormat="1" ht="39.950000000000003" customHeight="1" thickBot="1" x14ac:dyDescent="0.25">
      <c r="A184" s="173" t="s">
        <v>149</v>
      </c>
      <c r="B184" s="174"/>
      <c r="C184" s="174"/>
      <c r="D184" s="174"/>
      <c r="E184" s="174"/>
      <c r="F184" s="174"/>
      <c r="G184" s="174"/>
      <c r="H184" s="174"/>
      <c r="I184" s="174"/>
      <c r="J184" s="174"/>
      <c r="K184" s="174"/>
      <c r="L184" s="174"/>
      <c r="M184" s="174"/>
      <c r="N184" s="174"/>
      <c r="O184" s="174"/>
      <c r="P184" s="174"/>
      <c r="Q184" s="174"/>
      <c r="R184" s="174"/>
    </row>
    <row r="185" spans="1:19" s="111" customFormat="1" ht="39.950000000000003" customHeight="1" x14ac:dyDescent="0.2">
      <c r="A185" s="157">
        <f>+A181+1</f>
        <v>81</v>
      </c>
      <c r="B185" s="168" t="s">
        <v>392</v>
      </c>
      <c r="C185" s="153" t="s">
        <v>346</v>
      </c>
      <c r="D185" s="154" t="s">
        <v>393</v>
      </c>
      <c r="E185" s="154" t="s">
        <v>183</v>
      </c>
      <c r="F185" s="165" t="s">
        <v>576</v>
      </c>
      <c r="G185" s="154" t="s">
        <v>630</v>
      </c>
      <c r="H185" s="194">
        <v>150000</v>
      </c>
      <c r="I185" s="118">
        <f>H185*2.87%</f>
        <v>4305</v>
      </c>
      <c r="J185" s="118">
        <f>+H185*3.04%</f>
        <v>4560</v>
      </c>
      <c r="K185" s="118"/>
      <c r="L185" s="116">
        <f>+J185+I185+K185</f>
        <v>8865</v>
      </c>
      <c r="M185" s="116">
        <f>+H185-L185</f>
        <v>141135</v>
      </c>
      <c r="N185" s="116">
        <f>+IF(M185*12&lt;=416220.01,0,IF(M185*12&lt;=624329.01,(((M185*12-416220.01)*0.15)/12),IF((M185*12&lt;=867123.01),(31216+0.2*(M185*12-624329.01))/12,((79776+0.25*(M185*12-867123.01))/12))))-O185</f>
        <v>23866.687291666665</v>
      </c>
      <c r="O185" s="116"/>
      <c r="P185" s="116">
        <v>3656.21</v>
      </c>
      <c r="Q185" s="116">
        <f>+P185+N185+L185</f>
        <v>36387.897291666668</v>
      </c>
      <c r="R185" s="156">
        <f>+H185-Q185</f>
        <v>113612.10270833333</v>
      </c>
    </row>
    <row r="186" spans="1:19" s="115" customFormat="1" ht="39.950000000000003" customHeight="1" x14ac:dyDescent="0.2">
      <c r="A186" s="157">
        <f>+A185+1</f>
        <v>82</v>
      </c>
      <c r="B186" s="168" t="s">
        <v>303</v>
      </c>
      <c r="C186" s="153" t="s">
        <v>346</v>
      </c>
      <c r="D186" s="154" t="s">
        <v>322</v>
      </c>
      <c r="E186" s="154" t="s">
        <v>183</v>
      </c>
      <c r="F186" s="165" t="s">
        <v>641</v>
      </c>
      <c r="G186" s="154" t="s">
        <v>642</v>
      </c>
      <c r="H186" s="194">
        <v>70000</v>
      </c>
      <c r="I186" s="97">
        <f>H186*2.87%</f>
        <v>2009</v>
      </c>
      <c r="J186" s="118">
        <f t="shared" ref="J186" si="79">+H186*3.04%</f>
        <v>2128</v>
      </c>
      <c r="K186" s="118"/>
      <c r="L186" s="116">
        <f>+J186+I186+K186</f>
        <v>4137</v>
      </c>
      <c r="M186" s="116">
        <f>+H186-L186</f>
        <v>65863</v>
      </c>
      <c r="N186" s="116">
        <f t="shared" ref="N186:N187" si="80">+IF(M186*12&lt;=416220.01,0,IF(M186*12&lt;=624329.01,(((M186*12-416220.01)*0.15)/12),IF((M186*12&lt;=867123.01),(31216+0.2*(M186*12-624329.01))/12,((79776+0.25*(M186*12-867123.01))/12))))-O186</f>
        <v>5368.4498333333331</v>
      </c>
      <c r="O186" s="116"/>
      <c r="P186" s="161">
        <v>25</v>
      </c>
      <c r="Q186" s="116">
        <f>+P186+N186+L186</f>
        <v>9530.4498333333322</v>
      </c>
      <c r="R186" s="164">
        <f>+H186-Q186</f>
        <v>60469.550166666668</v>
      </c>
    </row>
    <row r="187" spans="1:19" s="115" customFormat="1" ht="39.950000000000003" customHeight="1" x14ac:dyDescent="0.2">
      <c r="A187" s="157">
        <f>+A186+1</f>
        <v>83</v>
      </c>
      <c r="B187" s="168" t="s">
        <v>431</v>
      </c>
      <c r="C187" s="153" t="s">
        <v>346</v>
      </c>
      <c r="D187" s="154" t="s">
        <v>322</v>
      </c>
      <c r="E187" s="154" t="s">
        <v>183</v>
      </c>
      <c r="F187" s="165" t="s">
        <v>641</v>
      </c>
      <c r="G187" s="154" t="s">
        <v>642</v>
      </c>
      <c r="H187" s="194">
        <v>60000</v>
      </c>
      <c r="I187" s="97">
        <f>H187*2.87%</f>
        <v>1722</v>
      </c>
      <c r="J187" s="118">
        <f t="shared" ref="J187" si="81">+H187*3.04%</f>
        <v>1824</v>
      </c>
      <c r="K187" s="118"/>
      <c r="L187" s="116">
        <f>+J187+I187+K187</f>
        <v>3546</v>
      </c>
      <c r="M187" s="116">
        <f>+H187-L187</f>
        <v>56454</v>
      </c>
      <c r="N187" s="116">
        <f t="shared" si="80"/>
        <v>3486.6498333333329</v>
      </c>
      <c r="O187" s="116">
        <v>0</v>
      </c>
      <c r="P187" s="156">
        <v>25</v>
      </c>
      <c r="Q187" s="116">
        <f>+P187+N187+L187</f>
        <v>7057.6498333333329</v>
      </c>
      <c r="R187" s="164">
        <f>+H187-Q187</f>
        <v>52942.350166666671</v>
      </c>
    </row>
    <row r="188" spans="1:19" s="115" customFormat="1" ht="39.950000000000003" customHeight="1" x14ac:dyDescent="0.2">
      <c r="A188" s="363" t="s">
        <v>103</v>
      </c>
      <c r="B188" s="364"/>
      <c r="C188" s="100"/>
      <c r="D188" s="100"/>
      <c r="E188" s="100"/>
      <c r="F188" s="100"/>
      <c r="G188" s="100"/>
      <c r="H188" s="101">
        <f>SUM(H185:H187)</f>
        <v>280000</v>
      </c>
      <c r="I188" s="101">
        <f t="shared" ref="I188:R188" si="82">SUM(I185:I187)</f>
        <v>8036</v>
      </c>
      <c r="J188" s="101">
        <f t="shared" si="82"/>
        <v>8512</v>
      </c>
      <c r="K188" s="101">
        <f t="shared" si="82"/>
        <v>0</v>
      </c>
      <c r="L188" s="101">
        <f t="shared" si="82"/>
        <v>16548</v>
      </c>
      <c r="M188" s="101">
        <f t="shared" si="82"/>
        <v>263452</v>
      </c>
      <c r="N188" s="101">
        <f t="shared" si="82"/>
        <v>32721.78695833333</v>
      </c>
      <c r="O188" s="101">
        <f t="shared" si="82"/>
        <v>0</v>
      </c>
      <c r="P188" s="101">
        <f t="shared" si="82"/>
        <v>3706.21</v>
      </c>
      <c r="Q188" s="101">
        <f t="shared" si="82"/>
        <v>52975.99695833333</v>
      </c>
      <c r="R188" s="101">
        <f t="shared" si="82"/>
        <v>227024.00304166667</v>
      </c>
      <c r="S188" s="338"/>
    </row>
    <row r="189" spans="1:19" s="111" customFormat="1" ht="39.950000000000003" customHeight="1" thickBot="1" x14ac:dyDescent="0.25">
      <c r="A189" s="170"/>
      <c r="B189" s="170"/>
      <c r="C189" s="170"/>
      <c r="D189" s="170"/>
      <c r="E189" s="170"/>
      <c r="F189" s="170"/>
      <c r="G189" s="170"/>
      <c r="H189" s="114"/>
      <c r="I189" s="114"/>
      <c r="J189" s="114"/>
      <c r="K189" s="114"/>
      <c r="L189" s="114"/>
      <c r="M189" s="114"/>
      <c r="N189" s="114"/>
      <c r="O189" s="114"/>
      <c r="P189" s="114"/>
      <c r="Q189" s="114"/>
      <c r="R189" s="114"/>
    </row>
    <row r="190" spans="1:19" s="187" customFormat="1" ht="39.950000000000003" customHeight="1" thickBot="1" x14ac:dyDescent="0.25">
      <c r="A190" s="173" t="s">
        <v>150</v>
      </c>
      <c r="B190" s="174"/>
      <c r="C190" s="174"/>
      <c r="D190" s="174"/>
      <c r="E190" s="174"/>
      <c r="F190" s="174"/>
      <c r="G190" s="174"/>
      <c r="H190" s="174"/>
      <c r="I190" s="174"/>
      <c r="J190" s="174"/>
      <c r="K190" s="174"/>
      <c r="L190" s="174"/>
      <c r="M190" s="174"/>
      <c r="N190" s="174"/>
      <c r="O190" s="174"/>
      <c r="P190" s="174"/>
      <c r="Q190" s="174"/>
      <c r="R190" s="174"/>
    </row>
    <row r="191" spans="1:19" s="183" customFormat="1" ht="39.950000000000003" customHeight="1" x14ac:dyDescent="0.2">
      <c r="A191" s="157">
        <f>+A187+1</f>
        <v>84</v>
      </c>
      <c r="B191" s="165" t="s">
        <v>363</v>
      </c>
      <c r="C191" s="153" t="s">
        <v>345</v>
      </c>
      <c r="D191" s="165" t="s">
        <v>358</v>
      </c>
      <c r="E191" s="154" t="s">
        <v>183</v>
      </c>
      <c r="F191" s="154" t="s">
        <v>592</v>
      </c>
      <c r="G191" s="154" t="s">
        <v>640</v>
      </c>
      <c r="H191" s="161">
        <v>70000</v>
      </c>
      <c r="I191" s="118">
        <f t="shared" ref="I191" si="83">H191*2.87%</f>
        <v>2009</v>
      </c>
      <c r="J191" s="118">
        <f>+H191*3.04%</f>
        <v>2128</v>
      </c>
      <c r="K191" s="118"/>
      <c r="L191" s="116">
        <f>+J191+I191+K191</f>
        <v>4137</v>
      </c>
      <c r="M191" s="116">
        <f>+H191-L191</f>
        <v>65863</v>
      </c>
      <c r="N191" s="116">
        <f>+IF(M191*12&lt;=416220.01,0,IF(M191*12&lt;=624329.01,(((M191*12-416220.01)*0.15)/12),IF((M191*12&lt;=867123.01),(31216+0.2*(M191*12-624329.01))/12,((79776+0.25*(M191*12-867123.01))/12))))-O191</f>
        <v>5368.4498333333331</v>
      </c>
      <c r="O191" s="116"/>
      <c r="P191" s="161">
        <v>10629.12</v>
      </c>
      <c r="Q191" s="116">
        <f>+P191+N191+L191</f>
        <v>20134.569833333335</v>
      </c>
      <c r="R191" s="156">
        <f>+H191-Q191</f>
        <v>49865.430166666665</v>
      </c>
    </row>
    <row r="192" spans="1:19" s="111" customFormat="1" ht="39.950000000000003" customHeight="1" x14ac:dyDescent="0.2">
      <c r="A192" s="157">
        <f>+A191+1</f>
        <v>85</v>
      </c>
      <c r="B192" s="165" t="s">
        <v>190</v>
      </c>
      <c r="C192" s="153" t="s">
        <v>345</v>
      </c>
      <c r="D192" s="165" t="s">
        <v>189</v>
      </c>
      <c r="E192" s="154" t="s">
        <v>183</v>
      </c>
      <c r="F192" s="159" t="s">
        <v>616</v>
      </c>
      <c r="G192" s="159" t="s">
        <v>660</v>
      </c>
      <c r="H192" s="161">
        <v>70000</v>
      </c>
      <c r="I192" s="118">
        <f>H192*2.87%</f>
        <v>2009</v>
      </c>
      <c r="J192" s="118">
        <f t="shared" ref="J192" si="84">+H192*3.04%</f>
        <v>2128</v>
      </c>
      <c r="K192" s="118"/>
      <c r="L192" s="116">
        <f>+J192+I192+K192</f>
        <v>4137</v>
      </c>
      <c r="M192" s="116">
        <f>+H192-L192</f>
        <v>65863</v>
      </c>
      <c r="N192" s="116">
        <f>+IF(M192*12&lt;=416220.01,0,IF(M192*12&lt;=624329.01,(((M192*12-416220.01)*0.15)/12),IF((M192*12&lt;=867123.01),(31216+0.2*(M192*12-624329.01))/12,((79776+0.25*(M192*12-867123.01))/12))))-O192</f>
        <v>5368.4498333333331</v>
      </c>
      <c r="O192" s="116"/>
      <c r="P192" s="156">
        <v>25</v>
      </c>
      <c r="Q192" s="116">
        <f>+P192+N192+L192</f>
        <v>9530.4498333333322</v>
      </c>
      <c r="R192" s="156">
        <f>+H192-Q192</f>
        <v>60469.550166666668</v>
      </c>
    </row>
    <row r="193" spans="1:19" s="183" customFormat="1" ht="39.950000000000003" customHeight="1" x14ac:dyDescent="0.2">
      <c r="A193" s="363" t="s">
        <v>103</v>
      </c>
      <c r="B193" s="364"/>
      <c r="C193" s="100"/>
      <c r="D193" s="100"/>
      <c r="E193" s="100"/>
      <c r="F193" s="100"/>
      <c r="G193" s="100"/>
      <c r="H193" s="101">
        <f>SUM(H191:H192)</f>
        <v>140000</v>
      </c>
      <c r="I193" s="101">
        <f t="shared" ref="I193:R193" si="85">SUM(I191:I192)</f>
        <v>4018</v>
      </c>
      <c r="J193" s="101">
        <f t="shared" si="85"/>
        <v>4256</v>
      </c>
      <c r="K193" s="101">
        <f t="shared" si="85"/>
        <v>0</v>
      </c>
      <c r="L193" s="101">
        <f t="shared" si="85"/>
        <v>8274</v>
      </c>
      <c r="M193" s="101">
        <f t="shared" si="85"/>
        <v>131726</v>
      </c>
      <c r="N193" s="101">
        <f t="shared" si="85"/>
        <v>10736.899666666666</v>
      </c>
      <c r="O193" s="101">
        <f t="shared" si="85"/>
        <v>0</v>
      </c>
      <c r="P193" s="101">
        <f t="shared" si="85"/>
        <v>10654.12</v>
      </c>
      <c r="Q193" s="101">
        <f t="shared" si="85"/>
        <v>29665.019666666667</v>
      </c>
      <c r="R193" s="101">
        <f t="shared" si="85"/>
        <v>110334.98033333334</v>
      </c>
      <c r="S193" s="340"/>
    </row>
    <row r="194" spans="1:19" s="111" customFormat="1" ht="39.950000000000003" customHeight="1" thickBot="1" x14ac:dyDescent="0.25">
      <c r="A194" s="113"/>
      <c r="B194" s="145"/>
      <c r="C194" s="113"/>
      <c r="D194" s="196"/>
      <c r="E194" s="196"/>
      <c r="F194" s="196"/>
      <c r="G194" s="196"/>
    </row>
    <row r="195" spans="1:19" s="111" customFormat="1" ht="39.950000000000003" customHeight="1" thickBot="1" x14ac:dyDescent="0.25">
      <c r="A195" s="173" t="s">
        <v>259</v>
      </c>
      <c r="B195" s="174"/>
      <c r="C195" s="174"/>
      <c r="D195" s="174"/>
      <c r="E195" s="174"/>
      <c r="F195" s="174"/>
      <c r="G195" s="174"/>
      <c r="H195" s="174"/>
      <c r="I195" s="174"/>
      <c r="J195" s="174"/>
      <c r="K195" s="174"/>
      <c r="L195" s="174"/>
      <c r="M195" s="174"/>
      <c r="N195" s="174"/>
      <c r="O195" s="174"/>
      <c r="P195" s="174"/>
      <c r="Q195" s="174"/>
      <c r="R195" s="174"/>
    </row>
    <row r="196" spans="1:19" s="115" customFormat="1" ht="39.950000000000003" customHeight="1" x14ac:dyDescent="0.2">
      <c r="A196" s="153">
        <f>+A192+1</f>
        <v>86</v>
      </c>
      <c r="B196" s="158" t="s">
        <v>615</v>
      </c>
      <c r="C196" s="130" t="s">
        <v>345</v>
      </c>
      <c r="D196" s="325" t="s">
        <v>620</v>
      </c>
      <c r="E196" s="154" t="s">
        <v>183</v>
      </c>
      <c r="F196" s="159" t="s">
        <v>616</v>
      </c>
      <c r="G196" s="159" t="s">
        <v>660</v>
      </c>
      <c r="H196" s="116">
        <v>170000</v>
      </c>
      <c r="I196" s="116">
        <f>H196*2.87%</f>
        <v>4879</v>
      </c>
      <c r="J196" s="118">
        <f t="shared" ref="J196" si="86">+H196*3.04%</f>
        <v>5168</v>
      </c>
      <c r="K196" s="118"/>
      <c r="L196" s="116">
        <f>+J196+I196+K196</f>
        <v>10047</v>
      </c>
      <c r="M196" s="116">
        <f>+H196-L196</f>
        <v>159953</v>
      </c>
      <c r="N196" s="116">
        <f>+IF(M196*12&lt;=416220.01,0,IF(M196*12&lt;=624329.01,(((M196*12-416220.01)*0.15)/12),IF((M196*12&lt;=867123.01),(31216+0.2*(M196*12-624329.01))/12,((79776+0.25*(M196*12-867123.01))/12))))-O196</f>
        <v>28571.187291666665</v>
      </c>
      <c r="O196" s="116"/>
      <c r="P196" s="156">
        <v>4525</v>
      </c>
      <c r="Q196" s="116">
        <f>+P196+N196+L196</f>
        <v>43143.187291666662</v>
      </c>
      <c r="R196" s="156">
        <f>+H196-Q196</f>
        <v>126856.81270833334</v>
      </c>
    </row>
    <row r="197" spans="1:19" s="115" customFormat="1" ht="39.950000000000003" customHeight="1" x14ac:dyDescent="0.2">
      <c r="A197" s="153">
        <f>+A196+1</f>
        <v>87</v>
      </c>
      <c r="B197" s="158" t="s">
        <v>652</v>
      </c>
      <c r="C197" s="130" t="s">
        <v>346</v>
      </c>
      <c r="D197" s="325" t="s">
        <v>655</v>
      </c>
      <c r="E197" s="154" t="s">
        <v>183</v>
      </c>
      <c r="F197" s="154" t="s">
        <v>604</v>
      </c>
      <c r="G197" s="154" t="s">
        <v>654</v>
      </c>
      <c r="H197" s="116">
        <v>50000</v>
      </c>
      <c r="I197" s="116">
        <f>H197*2.87%</f>
        <v>1435</v>
      </c>
      <c r="J197" s="118">
        <f t="shared" ref="J197" si="87">+H197*3.04%</f>
        <v>1520</v>
      </c>
      <c r="K197" s="118">
        <v>1919.78</v>
      </c>
      <c r="L197" s="116">
        <f>+J197+I197+K197</f>
        <v>4874.78</v>
      </c>
      <c r="M197" s="116">
        <f>+H197-L197</f>
        <v>45125.22</v>
      </c>
      <c r="N197" s="116">
        <f>+IF(M197*12&lt;=416220.01,0,IF(M197*12&lt;=624329.01,(((M197*12-416220.01)*0.15)/12),IF((M197*12&lt;=867123.01),(31216+0.2*(M197*12-624329.01))/12,((79776+0.25*(M197*12-867123.01))/12))))-O197</f>
        <v>1566.0328749999999</v>
      </c>
      <c r="O197" s="116"/>
      <c r="P197" s="156">
        <v>25</v>
      </c>
      <c r="Q197" s="116">
        <f>+P197+N197+L197</f>
        <v>6465.8128749999996</v>
      </c>
      <c r="R197" s="156">
        <f>+H197-Q197</f>
        <v>43534.187124999997</v>
      </c>
    </row>
    <row r="198" spans="1:19" s="115" customFormat="1" ht="39.950000000000003" customHeight="1" x14ac:dyDescent="0.2">
      <c r="A198" s="363" t="s">
        <v>103</v>
      </c>
      <c r="B198" s="364"/>
      <c r="C198" s="100"/>
      <c r="D198" s="100"/>
      <c r="E198" s="184"/>
      <c r="F198" s="184"/>
      <c r="G198" s="185"/>
      <c r="H198" s="101">
        <f t="shared" ref="H198:Q198" si="88">+SUM(H196:H197)</f>
        <v>220000</v>
      </c>
      <c r="I198" s="101">
        <f t="shared" si="88"/>
        <v>6314</v>
      </c>
      <c r="J198" s="101">
        <f t="shared" si="88"/>
        <v>6688</v>
      </c>
      <c r="K198" s="101">
        <f t="shared" si="88"/>
        <v>1919.78</v>
      </c>
      <c r="L198" s="101">
        <f t="shared" si="88"/>
        <v>14921.779999999999</v>
      </c>
      <c r="M198" s="101">
        <f t="shared" si="88"/>
        <v>205078.22</v>
      </c>
      <c r="N198" s="101">
        <f t="shared" si="88"/>
        <v>30137.220166666666</v>
      </c>
      <c r="O198" s="101">
        <f t="shared" si="88"/>
        <v>0</v>
      </c>
      <c r="P198" s="101">
        <f t="shared" si="88"/>
        <v>4550</v>
      </c>
      <c r="Q198" s="101">
        <f t="shared" si="88"/>
        <v>49609.000166666665</v>
      </c>
      <c r="R198" s="101">
        <f>+SUM(R196:R197)</f>
        <v>170390.99983333334</v>
      </c>
      <c r="S198" s="338"/>
    </row>
    <row r="199" spans="1:19" s="187" customFormat="1" ht="39.950000000000003" customHeight="1" thickBot="1" x14ac:dyDescent="0.25">
      <c r="A199" s="175"/>
      <c r="B199" s="175"/>
      <c r="C199" s="175"/>
      <c r="D199" s="175"/>
      <c r="E199" s="175"/>
      <c r="F199" s="175"/>
      <c r="G199" s="175"/>
      <c r="H199" s="197"/>
      <c r="I199" s="197"/>
      <c r="J199" s="197"/>
      <c r="K199" s="197"/>
      <c r="L199" s="197"/>
      <c r="M199" s="197"/>
      <c r="N199" s="197"/>
      <c r="O199" s="197"/>
      <c r="P199" s="197"/>
      <c r="Q199" s="197"/>
      <c r="R199" s="197"/>
    </row>
    <row r="200" spans="1:19" s="111" customFormat="1" ht="39.950000000000003" customHeight="1" thickBot="1" x14ac:dyDescent="0.25">
      <c r="A200" s="173" t="s">
        <v>323</v>
      </c>
      <c r="B200" s="174"/>
      <c r="C200" s="174"/>
      <c r="D200" s="174"/>
      <c r="E200" s="174"/>
      <c r="F200" s="174"/>
      <c r="G200" s="174"/>
      <c r="H200" s="174"/>
      <c r="I200" s="174"/>
      <c r="J200" s="174"/>
      <c r="K200" s="188"/>
      <c r="L200" s="174"/>
      <c r="M200" s="174"/>
      <c r="N200" s="174"/>
      <c r="O200" s="174"/>
      <c r="P200" s="174"/>
      <c r="Q200" s="174"/>
      <c r="R200" s="174"/>
    </row>
    <row r="201" spans="1:19" s="187" customFormat="1" ht="39.950000000000003" customHeight="1" x14ac:dyDescent="0.2">
      <c r="A201" s="157">
        <f>+A197+1</f>
        <v>88</v>
      </c>
      <c r="B201" s="165" t="s">
        <v>488</v>
      </c>
      <c r="C201" s="153" t="s">
        <v>345</v>
      </c>
      <c r="D201" s="154" t="s">
        <v>490</v>
      </c>
      <c r="E201" s="154" t="s">
        <v>183</v>
      </c>
      <c r="F201" s="165" t="s">
        <v>611</v>
      </c>
      <c r="G201" s="154" t="s">
        <v>616</v>
      </c>
      <c r="H201" s="118">
        <v>145000</v>
      </c>
      <c r="I201" s="97">
        <f>H201*2.87%</f>
        <v>4161.5</v>
      </c>
      <c r="J201" s="97">
        <f>+H201*3.04%</f>
        <v>4408</v>
      </c>
      <c r="K201" s="97"/>
      <c r="L201" s="116">
        <f>+J201+I201+K201</f>
        <v>8569.5</v>
      </c>
      <c r="M201" s="116">
        <f>+H201-L201</f>
        <v>136430.5</v>
      </c>
      <c r="N201" s="116">
        <f>+IF(M201*12&lt;=416220.01,0,IF(M201*12&lt;=624329.01,(((M201*12-416220.01)*0.15)/12),IF((M201*12&lt;=867123.01),(31216+0.2*(M201*12-624329.01))/12,((79776+0.25*(M201*12-867123.01))/12))))-O201</f>
        <v>22690.562291666665</v>
      </c>
      <c r="O201" s="116"/>
      <c r="P201" s="161">
        <f>100+125</f>
        <v>225</v>
      </c>
      <c r="Q201" s="116">
        <f t="shared" ref="Q201:Q206" si="89">+P201+N201+L201</f>
        <v>31485.062291666665</v>
      </c>
      <c r="R201" s="164">
        <f t="shared" ref="R201:R206" si="90">+H201-Q201</f>
        <v>113514.93770833334</v>
      </c>
    </row>
    <row r="202" spans="1:19" s="111" customFormat="1" ht="39.950000000000003" customHeight="1" x14ac:dyDescent="0.2">
      <c r="A202" s="157">
        <f>+A201+1</f>
        <v>89</v>
      </c>
      <c r="B202" s="165" t="s">
        <v>69</v>
      </c>
      <c r="C202" s="153" t="s">
        <v>345</v>
      </c>
      <c r="D202" s="154" t="s">
        <v>81</v>
      </c>
      <c r="E202" s="154" t="s">
        <v>183</v>
      </c>
      <c r="F202" s="154" t="s">
        <v>592</v>
      </c>
      <c r="G202" s="154" t="s">
        <v>640</v>
      </c>
      <c r="H202" s="118">
        <v>95000</v>
      </c>
      <c r="I202" s="97">
        <f t="shared" ref="I202" si="91">H202*2.87%</f>
        <v>2726.5</v>
      </c>
      <c r="J202" s="97">
        <f t="shared" ref="J202" si="92">+H202*3.04%</f>
        <v>2888</v>
      </c>
      <c r="K202" s="97"/>
      <c r="L202" s="118">
        <f t="shared" ref="L202:L206" si="93">+J202+I202+K202</f>
        <v>5614.5</v>
      </c>
      <c r="M202" s="118">
        <f t="shared" ref="M202:M206" si="94">+H202-L202</f>
        <v>89385.5</v>
      </c>
      <c r="N202" s="116">
        <f t="shared" ref="N202:N206" si="95">+IF(M202*12&lt;=416220.01,0,IF(M202*12&lt;=624329.01,(((M202*12-416220.01)*0.15)/12),IF((M202*12&lt;=867123.01),(31216+0.2*(M202*12-624329.01))/12,((79776+0.25*(M202*12-867123.01))/12))))-O202</f>
        <v>10929.312291666667</v>
      </c>
      <c r="O202" s="118"/>
      <c r="P202" s="161">
        <v>1190.29</v>
      </c>
      <c r="Q202" s="116">
        <f t="shared" si="89"/>
        <v>17734.102291666666</v>
      </c>
      <c r="R202" s="156">
        <f t="shared" si="90"/>
        <v>77265.89770833333</v>
      </c>
    </row>
    <row r="203" spans="1:19" s="187" customFormat="1" ht="39.950000000000003" customHeight="1" x14ac:dyDescent="0.2">
      <c r="A203" s="157">
        <f t="shared" ref="A203" si="96">+A202+1</f>
        <v>90</v>
      </c>
      <c r="B203" s="165" t="s">
        <v>489</v>
      </c>
      <c r="C203" s="153" t="s">
        <v>345</v>
      </c>
      <c r="D203" s="154" t="s">
        <v>66</v>
      </c>
      <c r="E203" s="154" t="s">
        <v>183</v>
      </c>
      <c r="F203" s="165" t="s">
        <v>611</v>
      </c>
      <c r="G203" s="154" t="s">
        <v>616</v>
      </c>
      <c r="H203" s="118">
        <v>95000</v>
      </c>
      <c r="I203" s="97">
        <f>H203*2.87%</f>
        <v>2726.5</v>
      </c>
      <c r="J203" s="97">
        <f>+H203*3.04%</f>
        <v>2888</v>
      </c>
      <c r="K203" s="97"/>
      <c r="L203" s="118">
        <f>+J203+I203+K203</f>
        <v>5614.5</v>
      </c>
      <c r="M203" s="118">
        <f>+H203-L203</f>
        <v>89385.5</v>
      </c>
      <c r="N203" s="116">
        <f t="shared" si="95"/>
        <v>10929.312291666667</v>
      </c>
      <c r="O203" s="118"/>
      <c r="P203" s="161">
        <v>225</v>
      </c>
      <c r="Q203" s="116">
        <f t="shared" si="89"/>
        <v>16768.812291666669</v>
      </c>
      <c r="R203" s="164">
        <f t="shared" si="90"/>
        <v>78231.187708333338</v>
      </c>
    </row>
    <row r="204" spans="1:19" s="187" customFormat="1" ht="39.950000000000003" customHeight="1" x14ac:dyDescent="0.2">
      <c r="A204" s="157">
        <f>+A203+1</f>
        <v>91</v>
      </c>
      <c r="B204" s="165" t="s">
        <v>432</v>
      </c>
      <c r="C204" s="153" t="s">
        <v>345</v>
      </c>
      <c r="D204" s="154" t="s">
        <v>66</v>
      </c>
      <c r="E204" s="154" t="s">
        <v>183</v>
      </c>
      <c r="F204" s="165" t="s">
        <v>641</v>
      </c>
      <c r="G204" s="154" t="s">
        <v>642</v>
      </c>
      <c r="H204" s="118">
        <v>80000</v>
      </c>
      <c r="I204" s="97">
        <f t="shared" ref="I204" si="97">H204*2.87%</f>
        <v>2296</v>
      </c>
      <c r="J204" s="97">
        <f t="shared" ref="J204" si="98">+H204*3.04%</f>
        <v>2432</v>
      </c>
      <c r="K204" s="97">
        <f>1919.78*2</f>
        <v>3839.56</v>
      </c>
      <c r="L204" s="118">
        <f t="shared" si="93"/>
        <v>8567.56</v>
      </c>
      <c r="M204" s="118">
        <f t="shared" si="94"/>
        <v>71432.44</v>
      </c>
      <c r="N204" s="116">
        <f t="shared" si="95"/>
        <v>6482.3378333333339</v>
      </c>
      <c r="O204" s="118">
        <v>0</v>
      </c>
      <c r="P204" s="161">
        <f>100+125</f>
        <v>225</v>
      </c>
      <c r="Q204" s="116">
        <f t="shared" si="89"/>
        <v>15274.897833333333</v>
      </c>
      <c r="R204" s="156">
        <f t="shared" si="90"/>
        <v>64725.102166666664</v>
      </c>
    </row>
    <row r="205" spans="1:19" s="111" customFormat="1" ht="39.950000000000003" customHeight="1" x14ac:dyDescent="0.2">
      <c r="A205" s="157">
        <f t="shared" ref="A205" si="99">+A204+1</f>
        <v>92</v>
      </c>
      <c r="B205" s="109" t="s">
        <v>359</v>
      </c>
      <c r="C205" s="108" t="s">
        <v>345</v>
      </c>
      <c r="D205" s="104" t="s">
        <v>499</v>
      </c>
      <c r="E205" s="107" t="s">
        <v>183</v>
      </c>
      <c r="F205" s="154" t="s">
        <v>604</v>
      </c>
      <c r="G205" s="154" t="s">
        <v>654</v>
      </c>
      <c r="H205" s="163">
        <v>75000</v>
      </c>
      <c r="I205" s="97">
        <f>H205*2.87%</f>
        <v>2152.5</v>
      </c>
      <c r="J205" s="97">
        <f>+H205*3.04%</f>
        <v>2280</v>
      </c>
      <c r="K205" s="97">
        <v>1919.78</v>
      </c>
      <c r="L205" s="118">
        <f t="shared" si="93"/>
        <v>6352.28</v>
      </c>
      <c r="M205" s="118">
        <f t="shared" si="94"/>
        <v>68647.72</v>
      </c>
      <c r="N205" s="116">
        <f t="shared" si="95"/>
        <v>5925.3938333333326</v>
      </c>
      <c r="O205" s="118">
        <v>0</v>
      </c>
      <c r="P205" s="161">
        <f>100+125</f>
        <v>225</v>
      </c>
      <c r="Q205" s="116">
        <f t="shared" si="89"/>
        <v>12502.673833333332</v>
      </c>
      <c r="R205" s="164">
        <f t="shared" si="90"/>
        <v>62497.326166666666</v>
      </c>
    </row>
    <row r="206" spans="1:19" s="111" customFormat="1" ht="39.950000000000003" customHeight="1" x14ac:dyDescent="0.2">
      <c r="A206" s="157">
        <f>+A205+1</f>
        <v>93</v>
      </c>
      <c r="B206" s="109" t="s">
        <v>639</v>
      </c>
      <c r="C206" s="108" t="s">
        <v>345</v>
      </c>
      <c r="D206" s="104" t="s">
        <v>650</v>
      </c>
      <c r="E206" s="107" t="s">
        <v>183</v>
      </c>
      <c r="F206" s="154" t="s">
        <v>592</v>
      </c>
      <c r="G206" s="154" t="s">
        <v>640</v>
      </c>
      <c r="H206" s="163">
        <v>50000</v>
      </c>
      <c r="I206" s="97">
        <f>H206*2.87%</f>
        <v>1435</v>
      </c>
      <c r="J206" s="97">
        <f>+H206*3.04%</f>
        <v>1520</v>
      </c>
      <c r="K206" s="97"/>
      <c r="L206" s="118">
        <f t="shared" si="93"/>
        <v>2955</v>
      </c>
      <c r="M206" s="118">
        <f t="shared" si="94"/>
        <v>47045</v>
      </c>
      <c r="N206" s="116">
        <f t="shared" si="95"/>
        <v>1853.9998749999997</v>
      </c>
      <c r="O206" s="118"/>
      <c r="P206" s="161">
        <v>25</v>
      </c>
      <c r="Q206" s="116">
        <f t="shared" si="89"/>
        <v>4833.9998749999995</v>
      </c>
      <c r="R206" s="164">
        <f t="shared" si="90"/>
        <v>45166.000124999999</v>
      </c>
    </row>
    <row r="207" spans="1:19" s="111" customFormat="1" ht="39.950000000000003" customHeight="1" x14ac:dyDescent="0.2">
      <c r="A207" s="363" t="s">
        <v>103</v>
      </c>
      <c r="B207" s="364"/>
      <c r="C207" s="100"/>
      <c r="D207" s="100"/>
      <c r="E207" s="100"/>
      <c r="F207" s="100"/>
      <c r="G207" s="198"/>
      <c r="H207" s="101">
        <f>SUM(H201:H206)</f>
        <v>540000</v>
      </c>
      <c r="I207" s="101">
        <f t="shared" ref="I207:R207" si="100">SUM(I201:I206)</f>
        <v>15498</v>
      </c>
      <c r="J207" s="101">
        <f t="shared" si="100"/>
        <v>16416</v>
      </c>
      <c r="K207" s="101">
        <f t="shared" si="100"/>
        <v>5759.34</v>
      </c>
      <c r="L207" s="101">
        <f t="shared" si="100"/>
        <v>37673.339999999997</v>
      </c>
      <c r="M207" s="101">
        <f t="shared" si="100"/>
        <v>502326.66000000003</v>
      </c>
      <c r="N207" s="101">
        <f t="shared" si="100"/>
        <v>58810.918416666667</v>
      </c>
      <c r="O207" s="101">
        <f t="shared" si="100"/>
        <v>0</v>
      </c>
      <c r="P207" s="101">
        <f t="shared" si="100"/>
        <v>2115.29</v>
      </c>
      <c r="Q207" s="101">
        <f t="shared" si="100"/>
        <v>98599.548416666657</v>
      </c>
      <c r="R207" s="101">
        <f t="shared" si="100"/>
        <v>441400.45158333331</v>
      </c>
      <c r="S207" s="338"/>
    </row>
    <row r="208" spans="1:19" s="111" customFormat="1" ht="39.950000000000003" customHeight="1" thickBot="1" x14ac:dyDescent="0.25">
      <c r="A208" s="170"/>
      <c r="B208" s="170"/>
      <c r="C208" s="170"/>
      <c r="D208" s="170"/>
      <c r="E208" s="170"/>
      <c r="F208" s="170"/>
      <c r="G208" s="170"/>
      <c r="H208" s="98"/>
      <c r="I208" s="98"/>
      <c r="J208" s="98"/>
      <c r="K208" s="98"/>
      <c r="L208" s="98"/>
      <c r="M208" s="98"/>
      <c r="N208" s="98"/>
      <c r="O208" s="98"/>
      <c r="P208" s="98"/>
      <c r="Q208" s="98"/>
      <c r="R208" s="98"/>
    </row>
    <row r="209" spans="1:19" s="111" customFormat="1" ht="39.950000000000003" customHeight="1" thickBot="1" x14ac:dyDescent="0.25">
      <c r="A209" s="173" t="s">
        <v>263</v>
      </c>
      <c r="B209" s="174"/>
      <c r="C209" s="174"/>
      <c r="D209" s="174"/>
      <c r="E209" s="174"/>
      <c r="F209" s="174"/>
      <c r="G209" s="174"/>
      <c r="H209" s="174"/>
      <c r="I209" s="174"/>
      <c r="J209" s="174"/>
      <c r="K209" s="174"/>
      <c r="L209" s="174"/>
      <c r="M209" s="174"/>
      <c r="N209" s="174"/>
      <c r="O209" s="174"/>
      <c r="P209" s="174"/>
      <c r="Q209" s="174"/>
      <c r="R209" s="174"/>
    </row>
    <row r="210" spans="1:19" s="111" customFormat="1" ht="39.950000000000003" customHeight="1" x14ac:dyDescent="0.2">
      <c r="A210" s="153">
        <f>+A206+1</f>
        <v>94</v>
      </c>
      <c r="B210" s="165" t="s">
        <v>579</v>
      </c>
      <c r="C210" s="153" t="s">
        <v>345</v>
      </c>
      <c r="D210" s="154" t="s">
        <v>368</v>
      </c>
      <c r="E210" s="154" t="s">
        <v>183</v>
      </c>
      <c r="F210" s="165" t="s">
        <v>641</v>
      </c>
      <c r="G210" s="154" t="s">
        <v>642</v>
      </c>
      <c r="H210" s="116">
        <v>145000</v>
      </c>
      <c r="I210" s="116">
        <f>H210*2.87%</f>
        <v>4161.5</v>
      </c>
      <c r="J210" s="116">
        <f>+H210*3.04%</f>
        <v>4408</v>
      </c>
      <c r="K210" s="116">
        <v>1919.78</v>
      </c>
      <c r="L210" s="116">
        <f t="shared" ref="L210:L212" si="101">+J210+I210+K210</f>
        <v>10489.28</v>
      </c>
      <c r="M210" s="116">
        <f t="shared" ref="M210:M212" si="102">+H210-L210</f>
        <v>134510.72</v>
      </c>
      <c r="N210" s="116">
        <f>+IF(M210*12&lt;=416220.01,0,IF(M210*12&lt;=624329.01,(((M210*12-416220.01)*0.15)/12),IF((M210*12&lt;=867123.01),(31216+0.2*(M210*12-624329.01))/12,((79776+0.25*(M210*12-867123.01))/12))))-O210</f>
        <v>22210.617291666669</v>
      </c>
      <c r="O210" s="116"/>
      <c r="P210" s="161">
        <v>5090.29</v>
      </c>
      <c r="Q210" s="116">
        <f t="shared" ref="Q210:Q212" si="103">+P210+N210+L210</f>
        <v>37790.187291666669</v>
      </c>
      <c r="R210" s="161">
        <f t="shared" ref="R210:R212" si="104">+H210-Q210</f>
        <v>107209.81270833334</v>
      </c>
    </row>
    <row r="211" spans="1:19" s="111" customFormat="1" ht="39.950000000000003" customHeight="1" x14ac:dyDescent="0.2">
      <c r="A211" s="153">
        <f>+A210+1</f>
        <v>95</v>
      </c>
      <c r="B211" s="109" t="s">
        <v>406</v>
      </c>
      <c r="C211" s="108" t="s">
        <v>345</v>
      </c>
      <c r="D211" s="109" t="s">
        <v>402</v>
      </c>
      <c r="E211" s="107" t="s">
        <v>183</v>
      </c>
      <c r="F211" s="154" t="s">
        <v>592</v>
      </c>
      <c r="G211" s="154" t="s">
        <v>640</v>
      </c>
      <c r="H211" s="163">
        <v>110000</v>
      </c>
      <c r="I211" s="118">
        <f>H211*2.87%</f>
        <v>3157</v>
      </c>
      <c r="J211" s="118">
        <f>+H211*3.04%</f>
        <v>3344</v>
      </c>
      <c r="K211" s="118">
        <f>1919.78*3</f>
        <v>5759.34</v>
      </c>
      <c r="L211" s="118">
        <f t="shared" si="101"/>
        <v>12260.34</v>
      </c>
      <c r="M211" s="118">
        <f t="shared" si="102"/>
        <v>97739.66</v>
      </c>
      <c r="N211" s="116">
        <f t="shared" ref="N211:N212" si="105">+IF(M211*12&lt;=416220.01,0,IF(M211*12&lt;=624329.01,(((M211*12-416220.01)*0.15)/12),IF((M211*12&lt;=867123.01),(31216+0.2*(M211*12-624329.01))/12,((79776+0.25*(M211*12-867123.01))/12))))-O211</f>
        <v>13017.852291666664</v>
      </c>
      <c r="O211" s="118"/>
      <c r="P211" s="156">
        <v>6817.14</v>
      </c>
      <c r="Q211" s="116">
        <f t="shared" si="103"/>
        <v>32095.332291666666</v>
      </c>
      <c r="R211" s="156">
        <f t="shared" si="104"/>
        <v>77904.667708333334</v>
      </c>
    </row>
    <row r="212" spans="1:19" s="111" customFormat="1" ht="39.950000000000003" customHeight="1" x14ac:dyDescent="0.2">
      <c r="A212" s="157">
        <f>+A211+1</f>
        <v>96</v>
      </c>
      <c r="B212" s="155" t="s">
        <v>170</v>
      </c>
      <c r="C212" s="157" t="s">
        <v>345</v>
      </c>
      <c r="D212" s="176" t="s">
        <v>324</v>
      </c>
      <c r="E212" s="176" t="s">
        <v>183</v>
      </c>
      <c r="F212" s="155" t="s">
        <v>611</v>
      </c>
      <c r="G212" s="154" t="s">
        <v>616</v>
      </c>
      <c r="H212" s="118">
        <v>55000</v>
      </c>
      <c r="I212" s="118">
        <f>H212*2.87%</f>
        <v>1578.5</v>
      </c>
      <c r="J212" s="118">
        <f>+H212*3.04%</f>
        <v>1672</v>
      </c>
      <c r="K212" s="118">
        <v>0</v>
      </c>
      <c r="L212" s="118">
        <f t="shared" si="101"/>
        <v>3250.5</v>
      </c>
      <c r="M212" s="118">
        <f t="shared" si="102"/>
        <v>51749.5</v>
      </c>
      <c r="N212" s="116">
        <f t="shared" si="105"/>
        <v>2559.6748749999997</v>
      </c>
      <c r="O212" s="118"/>
      <c r="P212" s="161">
        <v>5290.29</v>
      </c>
      <c r="Q212" s="116">
        <f t="shared" si="103"/>
        <v>11100.464875</v>
      </c>
      <c r="R212" s="156">
        <f t="shared" si="104"/>
        <v>43899.535125000002</v>
      </c>
    </row>
    <row r="213" spans="1:19" s="111" customFormat="1" ht="39.950000000000003" customHeight="1" x14ac:dyDescent="0.2">
      <c r="A213" s="363" t="s">
        <v>103</v>
      </c>
      <c r="B213" s="364"/>
      <c r="C213" s="184"/>
      <c r="D213" s="184"/>
      <c r="E213" s="184"/>
      <c r="F213" s="184"/>
      <c r="G213" s="184"/>
      <c r="H213" s="101">
        <f t="shared" ref="H213:R213" si="106">SUM(H210:H212)</f>
        <v>310000</v>
      </c>
      <c r="I213" s="101">
        <f t="shared" si="106"/>
        <v>8897</v>
      </c>
      <c r="J213" s="101">
        <f t="shared" si="106"/>
        <v>9424</v>
      </c>
      <c r="K213" s="101">
        <f t="shared" si="106"/>
        <v>7679.12</v>
      </c>
      <c r="L213" s="101">
        <f t="shared" si="106"/>
        <v>26000.120000000003</v>
      </c>
      <c r="M213" s="101">
        <f t="shared" si="106"/>
        <v>283999.88</v>
      </c>
      <c r="N213" s="101">
        <f t="shared" si="106"/>
        <v>37788.144458333329</v>
      </c>
      <c r="O213" s="101">
        <f t="shared" si="106"/>
        <v>0</v>
      </c>
      <c r="P213" s="101">
        <f t="shared" si="106"/>
        <v>17197.72</v>
      </c>
      <c r="Q213" s="101">
        <f t="shared" si="106"/>
        <v>80985.984458333347</v>
      </c>
      <c r="R213" s="101">
        <f t="shared" si="106"/>
        <v>229014.01554166665</v>
      </c>
      <c r="S213" s="338"/>
    </row>
    <row r="214" spans="1:19" s="111" customFormat="1" ht="39.950000000000003" customHeight="1" thickBot="1" x14ac:dyDescent="0.25">
      <c r="A214" s="170"/>
      <c r="B214" s="170"/>
      <c r="C214" s="170"/>
      <c r="D214" s="170"/>
      <c r="E214" s="170"/>
      <c r="F214" s="170"/>
      <c r="G214" s="170"/>
      <c r="H214" s="114"/>
      <c r="I214" s="114"/>
      <c r="J214" s="114"/>
      <c r="K214" s="114"/>
      <c r="L214" s="114"/>
      <c r="M214" s="114"/>
      <c r="N214" s="114"/>
      <c r="O214" s="114"/>
      <c r="P214" s="114"/>
      <c r="Q214" s="114"/>
      <c r="R214" s="114"/>
    </row>
    <row r="215" spans="1:19" s="115" customFormat="1" ht="39.950000000000003" customHeight="1" thickBot="1" x14ac:dyDescent="0.25">
      <c r="A215" s="173" t="s">
        <v>197</v>
      </c>
      <c r="B215" s="174"/>
      <c r="C215" s="174"/>
      <c r="D215" s="174"/>
      <c r="E215" s="174"/>
      <c r="F215" s="174"/>
      <c r="G215" s="174"/>
      <c r="H215" s="174"/>
      <c r="I215" s="174"/>
      <c r="J215" s="174"/>
      <c r="K215" s="174"/>
      <c r="L215" s="174"/>
      <c r="M215" s="174"/>
      <c r="N215" s="174"/>
      <c r="O215" s="174"/>
      <c r="P215" s="174"/>
      <c r="Q215" s="174"/>
      <c r="R215" s="174"/>
    </row>
    <row r="216" spans="1:19" s="111" customFormat="1" ht="39.950000000000003" customHeight="1" x14ac:dyDescent="0.2">
      <c r="A216" s="153">
        <f>+A212+1</f>
        <v>97</v>
      </c>
      <c r="B216" s="109" t="s">
        <v>192</v>
      </c>
      <c r="C216" s="108" t="s">
        <v>345</v>
      </c>
      <c r="D216" s="109" t="s">
        <v>647</v>
      </c>
      <c r="E216" s="107" t="s">
        <v>183</v>
      </c>
      <c r="F216" s="159" t="s">
        <v>616</v>
      </c>
      <c r="G216" s="159" t="s">
        <v>660</v>
      </c>
      <c r="H216" s="166">
        <v>95000</v>
      </c>
      <c r="I216" s="97">
        <f t="shared" ref="I216" si="107">H216*2.87%</f>
        <v>2726.5</v>
      </c>
      <c r="J216" s="97">
        <f t="shared" ref="J216" si="108">+H216*3.04%</f>
        <v>2888</v>
      </c>
      <c r="K216" s="97"/>
      <c r="L216" s="118">
        <f>+J216+I216+K216</f>
        <v>5614.5</v>
      </c>
      <c r="M216" s="118">
        <f>+H216-L216</f>
        <v>89385.5</v>
      </c>
      <c r="N216" s="116">
        <f>+IF(M216*12&lt;=416220.01,0,IF(M216*12&lt;=624329.01,(((M216*12-416220.01)*0.15)/12),IF((M216*12&lt;=867123.01),(31216+0.2*(M216*12-624329.01))/12,((79776+0.25*(M216*12-867123.01))/12))))-O216</f>
        <v>10929.312291666667</v>
      </c>
      <c r="O216" s="118"/>
      <c r="P216" s="156">
        <v>2535.62</v>
      </c>
      <c r="Q216" s="116">
        <f>+P216+N216+L216</f>
        <v>19079.432291666668</v>
      </c>
      <c r="R216" s="117">
        <f>+H216-Q216</f>
        <v>75920.567708333328</v>
      </c>
    </row>
    <row r="217" spans="1:19" ht="39.950000000000003" customHeight="1" x14ac:dyDescent="0.2">
      <c r="A217" s="157">
        <f>+A216+1</f>
        <v>98</v>
      </c>
      <c r="B217" s="165" t="s">
        <v>617</v>
      </c>
      <c r="C217" s="153" t="s">
        <v>345</v>
      </c>
      <c r="D217" s="176" t="s">
        <v>621</v>
      </c>
      <c r="E217" s="154" t="s">
        <v>183</v>
      </c>
      <c r="F217" s="159" t="s">
        <v>616</v>
      </c>
      <c r="G217" s="159" t="s">
        <v>660</v>
      </c>
      <c r="H217" s="163">
        <v>145000</v>
      </c>
      <c r="I217" s="105">
        <f>H217*2.87%</f>
        <v>4161.5</v>
      </c>
      <c r="J217" s="105">
        <f>+H217*3.04%</f>
        <v>4408</v>
      </c>
      <c r="K217" s="105"/>
      <c r="L217" s="116">
        <f>+J217+I217+K217</f>
        <v>8569.5</v>
      </c>
      <c r="M217" s="116">
        <f>+H217-L217</f>
        <v>136430.5</v>
      </c>
      <c r="N217" s="116">
        <f t="shared" ref="N217:N219" si="109">+IF(M217*12&lt;=416220.01,0,IF(M217*12&lt;=624329.01,(((M217*12-416220.01)*0.15)/12),IF((M217*12&lt;=867123.01),(31216+0.2*(M217*12-624329.01))/12,((79776+0.25*(M217*12-867123.01))/12))))-O217</f>
        <v>22690.562291666665</v>
      </c>
      <c r="O217" s="116"/>
      <c r="P217" s="156">
        <v>11720</v>
      </c>
      <c r="Q217" s="116">
        <f>+P217+N217+L217</f>
        <v>42980.062291666662</v>
      </c>
      <c r="R217" s="164">
        <f>H217-Q217</f>
        <v>102019.93770833334</v>
      </c>
    </row>
    <row r="218" spans="1:19" s="111" customFormat="1" ht="39.950000000000003" customHeight="1" x14ac:dyDescent="0.2">
      <c r="A218" s="157">
        <v>100</v>
      </c>
      <c r="B218" s="165" t="s">
        <v>465</v>
      </c>
      <c r="C218" s="153" t="s">
        <v>345</v>
      </c>
      <c r="D218" s="155" t="s">
        <v>324</v>
      </c>
      <c r="E218" s="154" t="s">
        <v>183</v>
      </c>
      <c r="F218" s="154" t="s">
        <v>592</v>
      </c>
      <c r="G218" s="154" t="s">
        <v>640</v>
      </c>
      <c r="H218" s="163">
        <v>60000</v>
      </c>
      <c r="I218" s="105">
        <f>H218*2.87%</f>
        <v>1722</v>
      </c>
      <c r="J218" s="105">
        <f>+H218*3.04%</f>
        <v>1824</v>
      </c>
      <c r="K218" s="105"/>
      <c r="L218" s="116">
        <f>+J218+I218+K218</f>
        <v>3546</v>
      </c>
      <c r="M218" s="116">
        <f>+H218-L218</f>
        <v>56454</v>
      </c>
      <c r="N218" s="116">
        <f t="shared" si="109"/>
        <v>3486.6498333333329</v>
      </c>
      <c r="O218" s="116"/>
      <c r="P218" s="97">
        <v>225</v>
      </c>
      <c r="Q218" s="116">
        <f>+P218+N218+L218</f>
        <v>7257.6498333333329</v>
      </c>
      <c r="R218" s="164">
        <f>H218-Q218</f>
        <v>52742.350166666671</v>
      </c>
    </row>
    <row r="219" spans="1:19" s="115" customFormat="1" ht="39.950000000000003" customHeight="1" x14ac:dyDescent="0.2">
      <c r="A219" s="157">
        <v>101</v>
      </c>
      <c r="B219" s="165" t="s">
        <v>540</v>
      </c>
      <c r="C219" s="153" t="s">
        <v>345</v>
      </c>
      <c r="D219" s="165" t="s">
        <v>324</v>
      </c>
      <c r="E219" s="154" t="s">
        <v>183</v>
      </c>
      <c r="F219" s="159" t="s">
        <v>616</v>
      </c>
      <c r="G219" s="159" t="s">
        <v>660</v>
      </c>
      <c r="H219" s="163">
        <v>55000</v>
      </c>
      <c r="I219" s="105">
        <f>H219*2.87%</f>
        <v>1578.5</v>
      </c>
      <c r="J219" s="105">
        <f>+H219*3.04%</f>
        <v>1672</v>
      </c>
      <c r="K219" s="105"/>
      <c r="L219" s="116">
        <f>+J219+I219+K219</f>
        <v>3250.5</v>
      </c>
      <c r="M219" s="116">
        <f>+H219-L219</f>
        <v>51749.5</v>
      </c>
      <c r="N219" s="116">
        <f t="shared" si="109"/>
        <v>2559.6748749999997</v>
      </c>
      <c r="O219" s="116"/>
      <c r="P219" s="97">
        <v>225</v>
      </c>
      <c r="Q219" s="116">
        <f>+P219+N219+L219</f>
        <v>6035.1748749999997</v>
      </c>
      <c r="R219" s="164">
        <f>H219-Q219</f>
        <v>48964.825125000003</v>
      </c>
    </row>
    <row r="220" spans="1:19" ht="39.950000000000003" customHeight="1" x14ac:dyDescent="0.2">
      <c r="A220" s="363" t="s">
        <v>103</v>
      </c>
      <c r="B220" s="364"/>
      <c r="C220" s="184"/>
      <c r="D220" s="105"/>
      <c r="E220" s="184"/>
      <c r="F220" s="184"/>
      <c r="G220" s="185"/>
      <c r="H220" s="101">
        <f>SUM(H216:H219)</f>
        <v>355000</v>
      </c>
      <c r="I220" s="101">
        <f t="shared" ref="I220:R220" si="110">SUM(I216:I219)</f>
        <v>10188.5</v>
      </c>
      <c r="J220" s="101">
        <f t="shared" si="110"/>
        <v>10792</v>
      </c>
      <c r="K220" s="101">
        <f t="shared" si="110"/>
        <v>0</v>
      </c>
      <c r="L220" s="101">
        <f t="shared" si="110"/>
        <v>20980.5</v>
      </c>
      <c r="M220" s="101">
        <f t="shared" si="110"/>
        <v>334019.5</v>
      </c>
      <c r="N220" s="101">
        <f t="shared" si="110"/>
        <v>39666.199291666664</v>
      </c>
      <c r="O220" s="101">
        <f t="shared" si="110"/>
        <v>0</v>
      </c>
      <c r="P220" s="101">
        <f t="shared" si="110"/>
        <v>14705.619999999999</v>
      </c>
      <c r="Q220" s="101">
        <f t="shared" si="110"/>
        <v>75352.319291666659</v>
      </c>
      <c r="R220" s="101">
        <f t="shared" si="110"/>
        <v>279647.68070833338</v>
      </c>
      <c r="S220" s="341"/>
    </row>
    <row r="221" spans="1:19" s="115" customFormat="1" ht="39.950000000000003" customHeight="1" thickBot="1" x14ac:dyDescent="0.25">
      <c r="A221" s="170"/>
      <c r="B221" s="170"/>
      <c r="C221" s="170"/>
      <c r="D221" s="170"/>
      <c r="E221" s="170"/>
      <c r="F221" s="170"/>
      <c r="G221" s="170"/>
      <c r="H221" s="199"/>
      <c r="I221" s="199"/>
      <c r="J221" s="199"/>
      <c r="K221" s="199"/>
      <c r="L221" s="199"/>
      <c r="M221" s="199"/>
      <c r="N221" s="199"/>
      <c r="O221" s="199"/>
      <c r="P221" s="199"/>
      <c r="Q221" s="199"/>
      <c r="R221" s="199"/>
    </row>
    <row r="222" spans="1:19" s="115" customFormat="1" ht="39.950000000000003" customHeight="1" thickBot="1" x14ac:dyDescent="0.25">
      <c r="A222" s="173" t="s">
        <v>191</v>
      </c>
      <c r="B222" s="174"/>
      <c r="C222" s="174"/>
      <c r="D222" s="174"/>
      <c r="E222" s="174"/>
      <c r="F222" s="174"/>
      <c r="G222" s="174"/>
      <c r="H222" s="174"/>
      <c r="I222" s="174"/>
      <c r="J222" s="174"/>
      <c r="K222" s="174"/>
      <c r="L222" s="174"/>
      <c r="M222" s="174"/>
      <c r="N222" s="174"/>
      <c r="O222" s="174"/>
      <c r="P222" s="174"/>
      <c r="Q222" s="174"/>
      <c r="R222" s="174"/>
    </row>
    <row r="223" spans="1:19" s="115" customFormat="1" ht="39.950000000000003" customHeight="1" x14ac:dyDescent="0.2">
      <c r="A223" s="103">
        <f>+A219+1</f>
        <v>102</v>
      </c>
      <c r="B223" s="109" t="s">
        <v>509</v>
      </c>
      <c r="C223" s="108" t="s">
        <v>345</v>
      </c>
      <c r="D223" s="107" t="s">
        <v>360</v>
      </c>
      <c r="E223" s="154" t="s">
        <v>183</v>
      </c>
      <c r="F223" s="176" t="s">
        <v>611</v>
      </c>
      <c r="G223" s="154" t="s">
        <v>616</v>
      </c>
      <c r="H223" s="97">
        <v>75000</v>
      </c>
      <c r="I223" s="97">
        <f>H223*2.87%</f>
        <v>2152.5</v>
      </c>
      <c r="J223" s="97">
        <f>+H223*3.04%</f>
        <v>2280</v>
      </c>
      <c r="K223" s="97"/>
      <c r="L223" s="116">
        <f>+J223+I223+K223</f>
        <v>4432.5</v>
      </c>
      <c r="M223" s="116">
        <f>+H223-L223</f>
        <v>70567.5</v>
      </c>
      <c r="N223" s="116">
        <f>+IF(M223*12&lt;=416220.01,0,IF(M223*12&lt;=624329.01,(((M223*12-416220.01)*0.15)/12),IF((M223*12&lt;=867123.01),(31216+0.2*(M223*12-624329.01))/12,((79776+0.25*(M223*12-867123.01))/12))))</f>
        <v>6309.3498333333337</v>
      </c>
      <c r="O223" s="116"/>
      <c r="P223" s="161">
        <v>15765.97</v>
      </c>
      <c r="Q223" s="116">
        <f>+P223+N223+L223</f>
        <v>26507.819833333335</v>
      </c>
      <c r="R223" s="164">
        <f>+H223-Q223</f>
        <v>48492.180166666665</v>
      </c>
    </row>
    <row r="224" spans="1:19" ht="39.950000000000003" customHeight="1" x14ac:dyDescent="0.2">
      <c r="A224" s="157">
        <f>+A223+1</f>
        <v>103</v>
      </c>
      <c r="B224" s="165" t="s">
        <v>412</v>
      </c>
      <c r="C224" s="153" t="s">
        <v>345</v>
      </c>
      <c r="D224" s="155" t="s">
        <v>360</v>
      </c>
      <c r="E224" s="154" t="s">
        <v>183</v>
      </c>
      <c r="F224" s="154" t="s">
        <v>604</v>
      </c>
      <c r="G224" s="154" t="s">
        <v>654</v>
      </c>
      <c r="H224" s="163">
        <v>75000</v>
      </c>
      <c r="I224" s="105">
        <f>H224*2.87%</f>
        <v>2152.5</v>
      </c>
      <c r="J224" s="105">
        <f>+H224*3.04%</f>
        <v>2280</v>
      </c>
      <c r="K224" s="105"/>
      <c r="L224" s="116">
        <f>+J224+I224+K224</f>
        <v>4432.5</v>
      </c>
      <c r="M224" s="116">
        <f>+H224-L224</f>
        <v>70567.5</v>
      </c>
      <c r="N224" s="116">
        <f>+IF(M224*12&lt;=416220.01,0,IF(M224*12&lt;=624329.01,(((M224*12-416220.01)*0.15)/12),IF((M224*12&lt;=867123.01),(31216+0.2*(M224*12-624329.01))/12,((79776+0.25*(M224*12-867123.01))/12))))</f>
        <v>6309.3498333333337</v>
      </c>
      <c r="O224" s="116"/>
      <c r="P224" s="156">
        <v>1290.29</v>
      </c>
      <c r="Q224" s="116">
        <f>+P224+N224+L224</f>
        <v>12032.139833333335</v>
      </c>
      <c r="R224" s="164">
        <f>H224-Q224</f>
        <v>62967.860166666665</v>
      </c>
    </row>
    <row r="225" spans="1:19" s="115" customFormat="1" ht="39.950000000000003" customHeight="1" x14ac:dyDescent="0.2">
      <c r="A225" s="363" t="s">
        <v>103</v>
      </c>
      <c r="B225" s="364"/>
      <c r="C225" s="184"/>
      <c r="D225" s="184"/>
      <c r="E225" s="184"/>
      <c r="F225" s="184"/>
      <c r="G225" s="185"/>
      <c r="H225" s="101">
        <f t="shared" ref="H225:R225" si="111">SUM(H223:H224)</f>
        <v>150000</v>
      </c>
      <c r="I225" s="101">
        <f t="shared" si="111"/>
        <v>4305</v>
      </c>
      <c r="J225" s="101">
        <f t="shared" si="111"/>
        <v>4560</v>
      </c>
      <c r="K225" s="101">
        <f t="shared" si="111"/>
        <v>0</v>
      </c>
      <c r="L225" s="101">
        <f t="shared" si="111"/>
        <v>8865</v>
      </c>
      <c r="M225" s="101">
        <f t="shared" si="111"/>
        <v>141135</v>
      </c>
      <c r="N225" s="101">
        <f t="shared" si="111"/>
        <v>12618.699666666667</v>
      </c>
      <c r="O225" s="101">
        <f t="shared" si="111"/>
        <v>0</v>
      </c>
      <c r="P225" s="101">
        <f t="shared" si="111"/>
        <v>17056.259999999998</v>
      </c>
      <c r="Q225" s="101">
        <f t="shared" si="111"/>
        <v>38539.959666666669</v>
      </c>
      <c r="R225" s="101">
        <f t="shared" si="111"/>
        <v>111460.04033333334</v>
      </c>
      <c r="S225" s="338"/>
    </row>
    <row r="226" spans="1:19" s="111" customFormat="1" ht="39.950000000000003" hidden="1" customHeight="1" thickBot="1" x14ac:dyDescent="0.25">
      <c r="A226" s="200"/>
      <c r="B226" s="200"/>
      <c r="C226" s="200"/>
      <c r="D226" s="200"/>
      <c r="E226" s="200"/>
      <c r="F226" s="200"/>
      <c r="G226" s="200"/>
      <c r="H226" s="201"/>
      <c r="I226" s="201"/>
      <c r="J226" s="201"/>
      <c r="K226" s="201"/>
      <c r="L226" s="201"/>
      <c r="M226" s="201"/>
      <c r="N226" s="201"/>
      <c r="O226" s="201"/>
      <c r="P226" s="201"/>
      <c r="Q226" s="201"/>
      <c r="R226" s="201"/>
    </row>
    <row r="227" spans="1:19" s="111" customFormat="1" ht="39.950000000000003" hidden="1" customHeight="1" thickBot="1" x14ac:dyDescent="0.25">
      <c r="A227" s="173" t="s">
        <v>13</v>
      </c>
      <c r="B227" s="174"/>
      <c r="C227" s="174"/>
      <c r="D227" s="174"/>
      <c r="E227" s="174"/>
      <c r="F227" s="174"/>
      <c r="G227" s="174"/>
      <c r="H227" s="174"/>
      <c r="I227" s="174"/>
      <c r="J227" s="174"/>
      <c r="K227" s="174"/>
      <c r="L227" s="174"/>
      <c r="M227" s="174"/>
      <c r="N227" s="174"/>
      <c r="O227" s="174"/>
      <c r="P227" s="174"/>
      <c r="Q227" s="174"/>
      <c r="R227" s="174"/>
    </row>
    <row r="228" spans="1:19" s="99" customFormat="1" ht="39.950000000000003" hidden="1" customHeight="1" x14ac:dyDescent="0.2">
      <c r="A228" s="177"/>
      <c r="B228" s="66"/>
      <c r="C228" s="67" t="s">
        <v>345</v>
      </c>
      <c r="D228" s="66" t="s">
        <v>519</v>
      </c>
      <c r="E228" s="176" t="s">
        <v>183</v>
      </c>
      <c r="F228" s="155" t="s">
        <v>611</v>
      </c>
      <c r="G228" s="176" t="s">
        <v>610</v>
      </c>
      <c r="H228" s="118"/>
      <c r="I228" s="118">
        <f>H228*2.87%</f>
        <v>0</v>
      </c>
      <c r="J228" s="118">
        <f>+H228*3.04%</f>
        <v>0</v>
      </c>
      <c r="K228" s="116">
        <v>0</v>
      </c>
      <c r="L228" s="118">
        <f>+J228+I228+K228</f>
        <v>0</v>
      </c>
      <c r="M228" s="118">
        <f>+H228-L228</f>
        <v>0</v>
      </c>
      <c r="N228" s="116">
        <f>+IF(M228*12&lt;=416220.01,0,IF(M228*12&lt;=624329.01,(((M228*12-416220.01)*0.15)/12),IF((M228*12&lt;=867123.01),(31216+0.2*(M228*12-624329.01))/12,((79776+0.25*(M228*12-867123.01))/12))))</f>
        <v>0</v>
      </c>
      <c r="O228" s="118"/>
      <c r="P228" s="116"/>
      <c r="Q228" s="116">
        <f>+P228+N228+L228</f>
        <v>0</v>
      </c>
      <c r="R228" s="156">
        <f>+H228-Q228</f>
        <v>0</v>
      </c>
    </row>
    <row r="229" spans="1:19" s="99" customFormat="1" ht="39.950000000000003" hidden="1" customHeight="1" x14ac:dyDescent="0.2">
      <c r="A229" s="363" t="s">
        <v>103</v>
      </c>
      <c r="B229" s="364"/>
      <c r="C229" s="184"/>
      <c r="D229" s="184"/>
      <c r="E229" s="184"/>
      <c r="F229" s="184"/>
      <c r="G229" s="100"/>
      <c r="H229" s="101">
        <f>SUM(H228:H228)</f>
        <v>0</v>
      </c>
      <c r="I229" s="101">
        <f t="shared" ref="I229:R229" si="112">SUM(I228:I228)</f>
        <v>0</v>
      </c>
      <c r="J229" s="101">
        <f t="shared" si="112"/>
        <v>0</v>
      </c>
      <c r="K229" s="101">
        <f t="shared" si="112"/>
        <v>0</v>
      </c>
      <c r="L229" s="101">
        <f t="shared" si="112"/>
        <v>0</v>
      </c>
      <c r="M229" s="101">
        <f t="shared" si="112"/>
        <v>0</v>
      </c>
      <c r="N229" s="101">
        <f t="shared" si="112"/>
        <v>0</v>
      </c>
      <c r="O229" s="101">
        <f t="shared" si="112"/>
        <v>0</v>
      </c>
      <c r="P229" s="101">
        <f t="shared" si="112"/>
        <v>0</v>
      </c>
      <c r="Q229" s="101">
        <f t="shared" si="112"/>
        <v>0</v>
      </c>
      <c r="R229" s="101">
        <f t="shared" si="112"/>
        <v>0</v>
      </c>
    </row>
    <row r="230" spans="1:19" s="111" customFormat="1" ht="39.950000000000003" customHeight="1" thickBot="1" x14ac:dyDescent="0.25">
      <c r="A230" s="170"/>
      <c r="B230" s="170"/>
      <c r="C230" s="170"/>
      <c r="D230" s="170"/>
      <c r="E230" s="170"/>
      <c r="F230" s="170"/>
      <c r="G230" s="170"/>
      <c r="H230" s="98"/>
      <c r="I230" s="98"/>
      <c r="J230" s="98"/>
      <c r="K230" s="98"/>
      <c r="L230" s="98"/>
      <c r="M230" s="98"/>
      <c r="N230" s="98"/>
      <c r="O230" s="98"/>
      <c r="P230" s="98"/>
      <c r="Q230" s="98"/>
      <c r="R230" s="98"/>
    </row>
    <row r="231" spans="1:19" s="111" customFormat="1" ht="39.950000000000003" customHeight="1" thickBot="1" x14ac:dyDescent="0.25">
      <c r="A231" s="173" t="s">
        <v>325</v>
      </c>
      <c r="B231" s="174"/>
      <c r="C231" s="174"/>
      <c r="D231" s="174"/>
      <c r="E231" s="174"/>
      <c r="F231" s="174"/>
      <c r="G231" s="174"/>
      <c r="H231" s="174"/>
      <c r="I231" s="174"/>
      <c r="J231" s="174"/>
      <c r="K231" s="174"/>
      <c r="L231" s="174"/>
      <c r="M231" s="174"/>
      <c r="N231" s="174"/>
      <c r="O231" s="174"/>
      <c r="P231" s="174"/>
      <c r="Q231" s="174"/>
      <c r="R231" s="174"/>
    </row>
    <row r="232" spans="1:19" s="111" customFormat="1" ht="39.950000000000003" customHeight="1" x14ac:dyDescent="0.2">
      <c r="A232" s="177">
        <f>+A224-1</f>
        <v>102</v>
      </c>
      <c r="B232" s="66" t="s">
        <v>326</v>
      </c>
      <c r="C232" s="67" t="s">
        <v>345</v>
      </c>
      <c r="D232" s="66" t="s">
        <v>520</v>
      </c>
      <c r="E232" s="176" t="s">
        <v>183</v>
      </c>
      <c r="F232" s="165" t="s">
        <v>641</v>
      </c>
      <c r="G232" s="154" t="s">
        <v>642</v>
      </c>
      <c r="H232" s="118">
        <v>155000</v>
      </c>
      <c r="I232" s="118">
        <f>H232*2.87%</f>
        <v>4448.5</v>
      </c>
      <c r="J232" s="118">
        <f>+H232*3.04%</f>
        <v>4712</v>
      </c>
      <c r="K232" s="116">
        <v>0</v>
      </c>
      <c r="L232" s="116">
        <f>+J232+I232+K232</f>
        <v>9160.5</v>
      </c>
      <c r="M232" s="116">
        <f>+H232-L232</f>
        <v>145839.5</v>
      </c>
      <c r="N232" s="116">
        <f>+IF(M232*12&lt;=416220.01,0,IF(M232*12&lt;=624329.01,(((M232*12-416220.01)*0.15)/12),IF((M232*12&lt;=867123.01),(31216+0.2*(M232*12-624329.01))/12,((79776+0.25*(M232*12-867123.01))/12))))</f>
        <v>25042.812291666665</v>
      </c>
      <c r="O232" s="116"/>
      <c r="P232" s="156">
        <v>225</v>
      </c>
      <c r="Q232" s="116">
        <f>+P232+N232+L232</f>
        <v>34428.312291666662</v>
      </c>
      <c r="R232" s="156">
        <f>+H232-Q232</f>
        <v>120571.68770833334</v>
      </c>
    </row>
    <row r="233" spans="1:19" s="111" customFormat="1" ht="39.950000000000003" customHeight="1" x14ac:dyDescent="0.2">
      <c r="A233" s="363" t="s">
        <v>103</v>
      </c>
      <c r="B233" s="364"/>
      <c r="C233" s="184"/>
      <c r="D233" s="184"/>
      <c r="E233" s="184"/>
      <c r="F233" s="184"/>
      <c r="G233" s="100"/>
      <c r="H233" s="101">
        <f>SUM(H232:H232)</f>
        <v>155000</v>
      </c>
      <c r="I233" s="101">
        <f t="shared" ref="I233:R233" si="113">SUM(I232:I232)</f>
        <v>4448.5</v>
      </c>
      <c r="J233" s="101">
        <f t="shared" si="113"/>
        <v>4712</v>
      </c>
      <c r="K233" s="101">
        <f t="shared" si="113"/>
        <v>0</v>
      </c>
      <c r="L233" s="101">
        <f t="shared" si="113"/>
        <v>9160.5</v>
      </c>
      <c r="M233" s="101">
        <f t="shared" si="113"/>
        <v>145839.5</v>
      </c>
      <c r="N233" s="101">
        <f t="shared" si="113"/>
        <v>25042.812291666665</v>
      </c>
      <c r="O233" s="101">
        <f t="shared" si="113"/>
        <v>0</v>
      </c>
      <c r="P233" s="101">
        <f t="shared" si="113"/>
        <v>225</v>
      </c>
      <c r="Q233" s="101">
        <f t="shared" si="113"/>
        <v>34428.312291666662</v>
      </c>
      <c r="R233" s="101">
        <f t="shared" si="113"/>
        <v>120571.68770833334</v>
      </c>
      <c r="S233" s="338"/>
    </row>
    <row r="234" spans="1:19" s="111" customFormat="1" ht="39.950000000000003" customHeight="1" thickBot="1" x14ac:dyDescent="0.25">
      <c r="A234" s="170"/>
      <c r="B234" s="170"/>
      <c r="C234" s="170"/>
      <c r="D234" s="170"/>
      <c r="E234" s="170"/>
      <c r="F234" s="170"/>
      <c r="G234" s="170"/>
      <c r="H234" s="98"/>
      <c r="I234" s="98"/>
      <c r="J234" s="98"/>
      <c r="K234" s="98"/>
      <c r="L234" s="98"/>
      <c r="M234" s="98"/>
      <c r="N234" s="98"/>
      <c r="O234" s="98"/>
      <c r="P234" s="98"/>
      <c r="Q234" s="98"/>
      <c r="R234" s="98"/>
    </row>
    <row r="235" spans="1:19" s="111" customFormat="1" ht="39.950000000000003" customHeight="1" thickBot="1" x14ac:dyDescent="0.25">
      <c r="A235" s="202" t="s">
        <v>580</v>
      </c>
      <c r="B235" s="201"/>
      <c r="C235" s="201"/>
      <c r="D235" s="201"/>
      <c r="E235" s="201"/>
      <c r="F235" s="201"/>
      <c r="G235" s="201"/>
      <c r="H235" s="201"/>
      <c r="I235" s="201"/>
      <c r="J235" s="201"/>
      <c r="K235" s="201"/>
      <c r="L235" s="201"/>
      <c r="M235" s="201"/>
      <c r="N235" s="201"/>
      <c r="O235" s="201"/>
      <c r="P235" s="201"/>
      <c r="Q235" s="201"/>
      <c r="R235" s="201"/>
    </row>
    <row r="236" spans="1:19" s="111" customFormat="1" ht="39.950000000000003" customHeight="1" x14ac:dyDescent="0.2">
      <c r="A236" s="153">
        <f>+A232+1</f>
        <v>103</v>
      </c>
      <c r="B236" s="158" t="s">
        <v>581</v>
      </c>
      <c r="C236" s="130" t="s">
        <v>345</v>
      </c>
      <c r="D236" s="143" t="s">
        <v>582</v>
      </c>
      <c r="E236" s="154" t="s">
        <v>183</v>
      </c>
      <c r="F236" s="165" t="s">
        <v>641</v>
      </c>
      <c r="G236" s="154" t="s">
        <v>642</v>
      </c>
      <c r="H236" s="105">
        <v>100000</v>
      </c>
      <c r="I236" s="116">
        <f>H236*2.87%</f>
        <v>2870</v>
      </c>
      <c r="J236" s="116">
        <f>+H236*3.04%</f>
        <v>3040</v>
      </c>
      <c r="K236" s="116"/>
      <c r="L236" s="116">
        <f>+J236+I236+K236</f>
        <v>5910</v>
      </c>
      <c r="M236" s="116">
        <f>+H236-L236</f>
        <v>94090</v>
      </c>
      <c r="N236" s="116">
        <f>+IF(M236*12&lt;=416220.01,0,IF(M236*12&lt;=624329.01,(((M236*12-416220.01)*0.15)/12),IF((M236*12&lt;=867123.01),(31216+0.2*(M236*12-624329.01))/12,((79776+0.25*(M236*12-867123.01))/12))))</f>
        <v>12105.437291666667</v>
      </c>
      <c r="O236" s="116">
        <v>0</v>
      </c>
      <c r="P236" s="116">
        <v>9790.2900000000009</v>
      </c>
      <c r="Q236" s="116">
        <f>+P236+N236+L236</f>
        <v>27805.72729166667</v>
      </c>
      <c r="R236" s="161">
        <f>+H236-Q236</f>
        <v>72194.27270833333</v>
      </c>
    </row>
    <row r="237" spans="1:19" s="111" customFormat="1" ht="39.950000000000003" customHeight="1" thickBot="1" x14ac:dyDescent="0.25">
      <c r="A237" s="363" t="s">
        <v>103</v>
      </c>
      <c r="B237" s="364"/>
      <c r="C237" s="100"/>
      <c r="D237" s="100"/>
      <c r="E237" s="100"/>
      <c r="F237" s="100"/>
      <c r="G237" s="100"/>
      <c r="H237" s="101">
        <f>SUM(H236:H236)</f>
        <v>100000</v>
      </c>
      <c r="I237" s="101">
        <f t="shared" ref="I237:R237" si="114">SUM(I236:I236)</f>
        <v>2870</v>
      </c>
      <c r="J237" s="101">
        <f t="shared" si="114"/>
        <v>3040</v>
      </c>
      <c r="K237" s="101">
        <f t="shared" si="114"/>
        <v>0</v>
      </c>
      <c r="L237" s="101">
        <f t="shared" si="114"/>
        <v>5910</v>
      </c>
      <c r="M237" s="101">
        <f t="shared" si="114"/>
        <v>94090</v>
      </c>
      <c r="N237" s="101">
        <f t="shared" si="114"/>
        <v>12105.437291666667</v>
      </c>
      <c r="O237" s="101">
        <f t="shared" si="114"/>
        <v>0</v>
      </c>
      <c r="P237" s="101">
        <f t="shared" si="114"/>
        <v>9790.2900000000009</v>
      </c>
      <c r="Q237" s="101">
        <f t="shared" si="114"/>
        <v>27805.72729166667</v>
      </c>
      <c r="R237" s="101">
        <f t="shared" si="114"/>
        <v>72194.27270833333</v>
      </c>
      <c r="S237" s="338"/>
    </row>
    <row r="238" spans="1:19" s="111" customFormat="1" ht="39.950000000000003" customHeight="1" thickBot="1" x14ac:dyDescent="0.25">
      <c r="A238" s="173" t="s">
        <v>364</v>
      </c>
      <c r="B238" s="174"/>
      <c r="C238" s="174"/>
      <c r="D238" s="174"/>
      <c r="E238" s="174"/>
      <c r="F238" s="174"/>
      <c r="G238" s="321"/>
      <c r="H238" s="174"/>
      <c r="I238" s="174"/>
      <c r="J238" s="174"/>
      <c r="K238" s="174"/>
      <c r="L238" s="174"/>
      <c r="M238" s="174"/>
      <c r="N238" s="174"/>
      <c r="O238" s="174"/>
      <c r="P238" s="174"/>
      <c r="Q238" s="174"/>
      <c r="R238" s="174"/>
    </row>
    <row r="239" spans="1:19" s="111" customFormat="1" ht="39.950000000000003" customHeight="1" x14ac:dyDescent="0.2">
      <c r="A239" s="157">
        <f>+A236+1</f>
        <v>104</v>
      </c>
      <c r="B239" s="158" t="s">
        <v>473</v>
      </c>
      <c r="C239" s="130" t="s">
        <v>345</v>
      </c>
      <c r="D239" s="143" t="s">
        <v>510</v>
      </c>
      <c r="E239" s="154" t="s">
        <v>183</v>
      </c>
      <c r="F239" s="165" t="s">
        <v>611</v>
      </c>
      <c r="G239" s="154" t="s">
        <v>616</v>
      </c>
      <c r="H239" s="97">
        <v>145000</v>
      </c>
      <c r="I239" s="118">
        <f>H239*2.87%</f>
        <v>4161.5</v>
      </c>
      <c r="J239" s="118">
        <f>+H239*3.04%</f>
        <v>4408</v>
      </c>
      <c r="K239" s="118"/>
      <c r="L239" s="116">
        <f>+J239+I239+K239</f>
        <v>8569.5</v>
      </c>
      <c r="M239" s="116">
        <f>+H239-L239</f>
        <v>136430.5</v>
      </c>
      <c r="N239" s="116">
        <f>+IF(M239*12&lt;=416220.01,0,IF(M239*12&lt;=624329.01,(((M239*12-416220.01)*0.15)/12),IF((M239*12&lt;=867123.01),(31216+0.2*(M239*12-624329.01))/12,((79776+0.25*(M239*12-867123.01))/12))))</f>
        <v>22690.562291666665</v>
      </c>
      <c r="O239" s="116"/>
      <c r="P239" s="156">
        <v>25</v>
      </c>
      <c r="Q239" s="116">
        <f>+P239+N239+L239</f>
        <v>31285.062291666665</v>
      </c>
      <c r="R239" s="156">
        <f>+H239-Q239</f>
        <v>113714.93770833334</v>
      </c>
    </row>
    <row r="240" spans="1:19" s="115" customFormat="1" ht="39.950000000000003" customHeight="1" x14ac:dyDescent="0.2">
      <c r="A240" s="157">
        <f>+A239+1</f>
        <v>105</v>
      </c>
      <c r="B240" s="158" t="s">
        <v>491</v>
      </c>
      <c r="C240" s="130" t="s">
        <v>346</v>
      </c>
      <c r="D240" s="143" t="s">
        <v>193</v>
      </c>
      <c r="E240" s="154" t="s">
        <v>183</v>
      </c>
      <c r="F240" s="165" t="s">
        <v>611</v>
      </c>
      <c r="G240" s="154" t="s">
        <v>616</v>
      </c>
      <c r="H240" s="97">
        <v>80000</v>
      </c>
      <c r="I240" s="118">
        <f>H240*2.87%</f>
        <v>2296</v>
      </c>
      <c r="J240" s="118">
        <f>+H240*3.04%</f>
        <v>2432</v>
      </c>
      <c r="K240" s="118"/>
      <c r="L240" s="116">
        <f>+J240+I240+K240</f>
        <v>4728</v>
      </c>
      <c r="M240" s="116">
        <f>+H240-L240</f>
        <v>75272</v>
      </c>
      <c r="N240" s="116">
        <f t="shared" ref="N240:N241" si="115">+IF(M240*12&lt;=416220.01,0,IF(M240*12&lt;=624329.01,(((M240*12-416220.01)*0.15)/12),IF((M240*12&lt;=867123.01),(31216+0.2*(M240*12-624329.01))/12,((79776+0.25*(M240*12-867123.01))/12))))</f>
        <v>7400.9372916666662</v>
      </c>
      <c r="O240" s="116"/>
      <c r="P240" s="156">
        <v>1025</v>
      </c>
      <c r="Q240" s="116">
        <f t="shared" ref="Q240:Q241" si="116">+P240+N240+L240</f>
        <v>13153.937291666665</v>
      </c>
      <c r="R240" s="156">
        <f t="shared" ref="R240:R241" si="117">+H240-Q240</f>
        <v>66846.062708333338</v>
      </c>
    </row>
    <row r="241" spans="1:19" s="115" customFormat="1" ht="39.950000000000003" customHeight="1" x14ac:dyDescent="0.2">
      <c r="A241" s="157">
        <f>+A240+1</f>
        <v>106</v>
      </c>
      <c r="B241" s="158" t="s">
        <v>653</v>
      </c>
      <c r="C241" s="130" t="s">
        <v>345</v>
      </c>
      <c r="D241" s="143" t="s">
        <v>655</v>
      </c>
      <c r="E241" s="154" t="s">
        <v>183</v>
      </c>
      <c r="F241" s="154" t="s">
        <v>604</v>
      </c>
      <c r="G241" s="154" t="s">
        <v>654</v>
      </c>
      <c r="H241" s="97">
        <v>50000</v>
      </c>
      <c r="I241" s="118">
        <f>H241*2.87%</f>
        <v>1435</v>
      </c>
      <c r="J241" s="118">
        <f>+H241*3.04%</f>
        <v>1520</v>
      </c>
      <c r="K241" s="118"/>
      <c r="L241" s="116">
        <f>+J241+I241+K241</f>
        <v>2955</v>
      </c>
      <c r="M241" s="116">
        <f>+H241-L241</f>
        <v>47045</v>
      </c>
      <c r="N241" s="116">
        <f t="shared" si="115"/>
        <v>1853.9998749999997</v>
      </c>
      <c r="O241" s="116"/>
      <c r="P241" s="156">
        <v>5090.29</v>
      </c>
      <c r="Q241" s="116">
        <f t="shared" si="116"/>
        <v>9899.2898749999986</v>
      </c>
      <c r="R241" s="156">
        <f t="shared" si="117"/>
        <v>40100.710124999998</v>
      </c>
    </row>
    <row r="242" spans="1:19" s="99" customFormat="1" ht="39.950000000000003" customHeight="1" thickBot="1" x14ac:dyDescent="0.25">
      <c r="A242" s="363" t="s">
        <v>103</v>
      </c>
      <c r="B242" s="364"/>
      <c r="C242" s="100"/>
      <c r="D242" s="100"/>
      <c r="E242" s="100"/>
      <c r="F242" s="100"/>
      <c r="G242" s="100"/>
      <c r="H242" s="101">
        <f>SUM(H239:H241)</f>
        <v>275000</v>
      </c>
      <c r="I242" s="101">
        <f t="shared" ref="I242:Q242" si="118">SUM(I239:I241)</f>
        <v>7892.5</v>
      </c>
      <c r="J242" s="101">
        <f t="shared" si="118"/>
        <v>8360</v>
      </c>
      <c r="K242" s="101">
        <f t="shared" si="118"/>
        <v>0</v>
      </c>
      <c r="L242" s="101">
        <f t="shared" si="118"/>
        <v>16252.5</v>
      </c>
      <c r="M242" s="101">
        <f t="shared" si="118"/>
        <v>258747.5</v>
      </c>
      <c r="N242" s="101">
        <f t="shared" si="118"/>
        <v>31945.499458333332</v>
      </c>
      <c r="O242" s="101">
        <f t="shared" si="118"/>
        <v>0</v>
      </c>
      <c r="P242" s="101">
        <f t="shared" si="118"/>
        <v>6140.29</v>
      </c>
      <c r="Q242" s="101">
        <f t="shared" si="118"/>
        <v>54338.289458333325</v>
      </c>
      <c r="R242" s="101">
        <f>SUM(R239:R241)</f>
        <v>220661.71054166666</v>
      </c>
      <c r="S242" s="341"/>
    </row>
    <row r="243" spans="1:19" ht="39.950000000000003" customHeight="1" thickBot="1" x14ac:dyDescent="0.25">
      <c r="A243" s="202" t="s">
        <v>544</v>
      </c>
      <c r="B243" s="201"/>
      <c r="C243" s="201"/>
      <c r="D243" s="201"/>
      <c r="E243" s="201"/>
      <c r="F243" s="201"/>
      <c r="G243" s="201"/>
      <c r="H243" s="201"/>
      <c r="I243" s="201"/>
      <c r="J243" s="201"/>
      <c r="K243" s="201"/>
      <c r="L243" s="201"/>
      <c r="M243" s="201"/>
      <c r="N243" s="201"/>
      <c r="O243" s="201"/>
      <c r="P243" s="201"/>
      <c r="Q243" s="201"/>
      <c r="R243" s="201"/>
    </row>
    <row r="244" spans="1:19" ht="39.950000000000003" customHeight="1" x14ac:dyDescent="0.2">
      <c r="A244" s="153">
        <f>+A241+1</f>
        <v>107</v>
      </c>
      <c r="B244" s="158" t="s">
        <v>311</v>
      </c>
      <c r="C244" s="130" t="s">
        <v>346</v>
      </c>
      <c r="D244" s="143" t="s">
        <v>633</v>
      </c>
      <c r="E244" s="154" t="s">
        <v>183</v>
      </c>
      <c r="F244" s="159" t="s">
        <v>616</v>
      </c>
      <c r="G244" s="159" t="s">
        <v>660</v>
      </c>
      <c r="H244" s="105">
        <v>145000</v>
      </c>
      <c r="I244" s="116">
        <f>H244*2.87%</f>
        <v>4161.5</v>
      </c>
      <c r="J244" s="116">
        <f>+H244*3.04%</f>
        <v>4408</v>
      </c>
      <c r="K244" s="116"/>
      <c r="L244" s="116">
        <f>+J244+I244+K244</f>
        <v>8569.5</v>
      </c>
      <c r="M244" s="116">
        <f>+H244-L244</f>
        <v>136430.5</v>
      </c>
      <c r="N244" s="116">
        <f>+IF(M244*12&lt;=416220.01,0,IF(M244*12&lt;=624329.01,(((M244*12-416220.01)*0.15)/12),IF((M244*12&lt;=867123.01),(31216+0.2*(M244*12-624329.01))/12,((79776+0.25*(M244*12-867123.01))/12))))</f>
        <v>22690.562291666665</v>
      </c>
      <c r="O244" s="116"/>
      <c r="P244" s="161">
        <v>14402.26</v>
      </c>
      <c r="Q244" s="116">
        <f>+P244+N244+L244</f>
        <v>45662.322291666664</v>
      </c>
      <c r="R244" s="161">
        <f>+H244-Q244</f>
        <v>99337.677708333329</v>
      </c>
    </row>
    <row r="245" spans="1:19" s="115" customFormat="1" ht="39.950000000000003" customHeight="1" x14ac:dyDescent="0.2">
      <c r="A245" s="157">
        <f>+A244+1</f>
        <v>108</v>
      </c>
      <c r="B245" s="158" t="s">
        <v>492</v>
      </c>
      <c r="C245" s="130" t="s">
        <v>346</v>
      </c>
      <c r="D245" s="143" t="s">
        <v>545</v>
      </c>
      <c r="E245" s="154" t="s">
        <v>183</v>
      </c>
      <c r="F245" s="165" t="s">
        <v>611</v>
      </c>
      <c r="G245" s="154" t="s">
        <v>616</v>
      </c>
      <c r="H245" s="97">
        <v>80000</v>
      </c>
      <c r="I245" s="118">
        <f>H245*2.87%</f>
        <v>2296</v>
      </c>
      <c r="J245" s="118">
        <f>+H245*3.04%</f>
        <v>2432</v>
      </c>
      <c r="K245" s="118">
        <v>1919.78</v>
      </c>
      <c r="L245" s="116">
        <f>+J245+I245+K245</f>
        <v>6647.78</v>
      </c>
      <c r="M245" s="116">
        <f>+H245-L245</f>
        <v>73352.22</v>
      </c>
      <c r="N245" s="116">
        <f>+IF(M245*12&lt;=416220.01,0,IF(M245*12&lt;=624329.01,(((M245*12-416220.01)*0.15)/12),IF((M245*12&lt;=867123.01),(31216+0.2*(M245*12-624329.01))/12,((79776+0.25*(M245*12-867123.01))/12))))</f>
        <v>6920.9922916666665</v>
      </c>
      <c r="O245" s="116"/>
      <c r="P245" s="156">
        <v>225</v>
      </c>
      <c r="Q245" s="116">
        <f>+P245+N245+L245</f>
        <v>13793.772291666666</v>
      </c>
      <c r="R245" s="156">
        <f>+H245-Q245</f>
        <v>66206.227708333332</v>
      </c>
    </row>
    <row r="246" spans="1:19" ht="39.950000000000003" customHeight="1" x14ac:dyDescent="0.2">
      <c r="A246" s="363" t="s">
        <v>103</v>
      </c>
      <c r="B246" s="364"/>
      <c r="C246" s="100"/>
      <c r="D246" s="100"/>
      <c r="E246" s="100"/>
      <c r="F246" s="100"/>
      <c r="G246" s="100"/>
      <c r="H246" s="101">
        <f>SUM(H244:H245)</f>
        <v>225000</v>
      </c>
      <c r="I246" s="101">
        <f t="shared" ref="I246:R246" si="119">SUM(I244:I245)</f>
        <v>6457.5</v>
      </c>
      <c r="J246" s="101">
        <f t="shared" si="119"/>
        <v>6840</v>
      </c>
      <c r="K246" s="101">
        <f t="shared" si="119"/>
        <v>1919.78</v>
      </c>
      <c r="L246" s="101">
        <f t="shared" si="119"/>
        <v>15217.279999999999</v>
      </c>
      <c r="M246" s="101">
        <f t="shared" si="119"/>
        <v>209782.72</v>
      </c>
      <c r="N246" s="101">
        <f t="shared" si="119"/>
        <v>29611.554583333331</v>
      </c>
      <c r="O246" s="101">
        <f t="shared" si="119"/>
        <v>0</v>
      </c>
      <c r="P246" s="101">
        <f t="shared" si="119"/>
        <v>14627.26</v>
      </c>
      <c r="Q246" s="101">
        <f t="shared" si="119"/>
        <v>59456.094583333332</v>
      </c>
      <c r="R246" s="101">
        <f t="shared" si="119"/>
        <v>165543.90541666665</v>
      </c>
      <c r="S246" s="341"/>
    </row>
    <row r="247" spans="1:19" ht="39.950000000000003" customHeight="1" thickBot="1" x14ac:dyDescent="0.25">
      <c r="A247" s="170"/>
      <c r="B247" s="170"/>
      <c r="C247" s="170"/>
      <c r="D247" s="170"/>
      <c r="E247" s="170"/>
      <c r="F247" s="170"/>
      <c r="G247" s="170"/>
      <c r="H247" s="114"/>
      <c r="I247" s="114"/>
      <c r="J247" s="114"/>
      <c r="K247" s="114"/>
      <c r="L247" s="114"/>
      <c r="M247" s="114"/>
      <c r="N247" s="114"/>
      <c r="O247" s="114"/>
      <c r="P247" s="114"/>
      <c r="Q247" s="114"/>
      <c r="R247" s="114"/>
    </row>
    <row r="248" spans="1:19" ht="39.950000000000003" customHeight="1" thickBot="1" x14ac:dyDescent="0.25">
      <c r="A248" s="293" t="s">
        <v>194</v>
      </c>
      <c r="B248" s="188"/>
      <c r="C248" s="188"/>
      <c r="D248" s="188"/>
      <c r="E248" s="188"/>
      <c r="F248" s="188"/>
      <c r="G248" s="188"/>
      <c r="H248" s="188"/>
      <c r="I248" s="188"/>
      <c r="J248" s="188"/>
      <c r="K248" s="174"/>
      <c r="L248" s="174"/>
      <c r="M248" s="174"/>
      <c r="N248" s="174"/>
      <c r="O248" s="174"/>
      <c r="P248" s="174"/>
      <c r="Q248" s="174"/>
      <c r="R248" s="174"/>
    </row>
    <row r="249" spans="1:19" s="115" customFormat="1" ht="39.950000000000003" customHeight="1" x14ac:dyDescent="0.2">
      <c r="A249" s="157">
        <f>+A245+1</f>
        <v>109</v>
      </c>
      <c r="B249" s="179" t="s">
        <v>555</v>
      </c>
      <c r="C249" s="132" t="s">
        <v>346</v>
      </c>
      <c r="D249" s="140" t="s">
        <v>556</v>
      </c>
      <c r="E249" s="176" t="s">
        <v>183</v>
      </c>
      <c r="F249" s="154" t="s">
        <v>592</v>
      </c>
      <c r="G249" s="154" t="s">
        <v>640</v>
      </c>
      <c r="H249" s="97">
        <v>50000</v>
      </c>
      <c r="I249" s="118">
        <f>H249*2.87%</f>
        <v>1435</v>
      </c>
      <c r="J249" s="118">
        <f>+H249*3.04%</f>
        <v>1520</v>
      </c>
      <c r="K249" s="116">
        <v>0</v>
      </c>
      <c r="L249" s="116">
        <f>+J249+I249+K249</f>
        <v>2955</v>
      </c>
      <c r="M249" s="116">
        <f>+H249-L249</f>
        <v>47045</v>
      </c>
      <c r="N249" s="116">
        <f>+IF(M249*12&lt;=416220.01,0,IF(M249*12&lt;=624329.01,(((M249*12-416220.01)*0.15)/12),IF((M249*12&lt;=867123.01),(31216+0.2*(M249*12-624329.01))/12,((79776+0.25*(M249*12-867123.01))/12))))</f>
        <v>1853.9998749999997</v>
      </c>
      <c r="O249" s="116"/>
      <c r="P249" s="156">
        <v>225</v>
      </c>
      <c r="Q249" s="116">
        <f>+P249+N249+L249</f>
        <v>5033.9998749999995</v>
      </c>
      <c r="R249" s="156">
        <f>+H249-Q249</f>
        <v>44966.000124999999</v>
      </c>
    </row>
    <row r="250" spans="1:19" s="115" customFormat="1" ht="39.950000000000003" customHeight="1" x14ac:dyDescent="0.2">
      <c r="A250" s="153">
        <f>+A249+1</f>
        <v>110</v>
      </c>
      <c r="B250" s="158" t="s">
        <v>331</v>
      </c>
      <c r="C250" s="130" t="s">
        <v>346</v>
      </c>
      <c r="D250" s="158" t="s">
        <v>550</v>
      </c>
      <c r="E250" s="154" t="s">
        <v>183</v>
      </c>
      <c r="F250" s="154" t="s">
        <v>604</v>
      </c>
      <c r="G250" s="154" t="s">
        <v>654</v>
      </c>
      <c r="H250" s="116">
        <v>60000</v>
      </c>
      <c r="I250" s="116">
        <f t="shared" ref="I250" si="120">H250*2.87%</f>
        <v>1722</v>
      </c>
      <c r="J250" s="118">
        <f t="shared" ref="J250" si="121">+H250*3.04%</f>
        <v>1824</v>
      </c>
      <c r="K250" s="118">
        <f>1919.78*2</f>
        <v>3839.56</v>
      </c>
      <c r="L250" s="116">
        <f>+J250+I250+K250</f>
        <v>7385.5599999999995</v>
      </c>
      <c r="M250" s="116">
        <f>+H250-L250</f>
        <v>52614.44</v>
      </c>
      <c r="N250" s="116">
        <f>+IF(M250*12&lt;=416220.01,0,IF(M250*12&lt;=624329.01,(((M250*12-416220.01)*0.15)/12),IF((M250*12&lt;=867123.01),(31216+0.2*(M250*12-624329.01))/12,((79776+0.25*(M250*12-867123.01))/12))))</f>
        <v>2718.7378333333336</v>
      </c>
      <c r="O250" s="116">
        <v>0</v>
      </c>
      <c r="P250" s="156">
        <v>225</v>
      </c>
      <c r="Q250" s="116">
        <f>+P250+N250+L250</f>
        <v>10329.297833333334</v>
      </c>
      <c r="R250" s="156">
        <f>+H250-Q250</f>
        <v>49670.70216666667</v>
      </c>
    </row>
    <row r="251" spans="1:19" ht="39.950000000000003" customHeight="1" x14ac:dyDescent="0.2">
      <c r="A251" s="363" t="s">
        <v>103</v>
      </c>
      <c r="B251" s="364"/>
      <c r="C251" s="100"/>
      <c r="D251" s="100"/>
      <c r="E251" s="100"/>
      <c r="F251" s="100"/>
      <c r="G251" s="100"/>
      <c r="H251" s="101">
        <f>+SUM(H249:H250)</f>
        <v>110000</v>
      </c>
      <c r="I251" s="101">
        <f t="shared" ref="I251:R251" si="122">+SUM(I249:I250)</f>
        <v>3157</v>
      </c>
      <c r="J251" s="101">
        <f t="shared" si="122"/>
        <v>3344</v>
      </c>
      <c r="K251" s="101">
        <f t="shared" si="122"/>
        <v>3839.56</v>
      </c>
      <c r="L251" s="101">
        <f t="shared" si="122"/>
        <v>10340.56</v>
      </c>
      <c r="M251" s="101">
        <f t="shared" si="122"/>
        <v>99659.44</v>
      </c>
      <c r="N251" s="101">
        <f t="shared" si="122"/>
        <v>4572.7377083333331</v>
      </c>
      <c r="O251" s="101">
        <f t="shared" si="122"/>
        <v>0</v>
      </c>
      <c r="P251" s="101">
        <f t="shared" si="122"/>
        <v>450</v>
      </c>
      <c r="Q251" s="101">
        <f t="shared" si="122"/>
        <v>15363.297708333334</v>
      </c>
      <c r="R251" s="101">
        <f t="shared" si="122"/>
        <v>94636.702291666676</v>
      </c>
      <c r="S251" s="341"/>
    </row>
    <row r="252" spans="1:19" ht="39.950000000000003" customHeight="1" thickBot="1" x14ac:dyDescent="0.25">
      <c r="A252" s="170"/>
      <c r="B252" s="170"/>
      <c r="C252" s="186"/>
      <c r="D252" s="186"/>
      <c r="E252" s="186"/>
      <c r="F252" s="186"/>
      <c r="G252" s="186"/>
      <c r="H252" s="171"/>
      <c r="I252" s="171"/>
      <c r="J252" s="171"/>
      <c r="K252" s="171"/>
      <c r="L252" s="171"/>
      <c r="M252" s="171"/>
      <c r="N252" s="171"/>
      <c r="O252" s="171"/>
      <c r="P252" s="171"/>
      <c r="Q252" s="171"/>
      <c r="R252" s="171"/>
    </row>
    <row r="253" spans="1:19" ht="39.950000000000003" customHeight="1" thickBot="1" x14ac:dyDescent="0.25">
      <c r="A253" s="173" t="s">
        <v>557</v>
      </c>
      <c r="B253" s="174"/>
      <c r="C253" s="174"/>
      <c r="D253" s="174"/>
      <c r="E253" s="174"/>
      <c r="F253" s="174"/>
      <c r="G253" s="174"/>
      <c r="H253" s="174"/>
      <c r="I253" s="174"/>
      <c r="J253" s="174"/>
      <c r="K253" s="174"/>
      <c r="L253" s="174"/>
      <c r="M253" s="174"/>
      <c r="N253" s="174"/>
      <c r="O253" s="174"/>
      <c r="P253" s="174"/>
      <c r="Q253" s="174"/>
      <c r="R253" s="174"/>
    </row>
    <row r="254" spans="1:19" ht="39.950000000000003" customHeight="1" x14ac:dyDescent="0.2">
      <c r="A254" s="157">
        <f>+A250+1</f>
        <v>111</v>
      </c>
      <c r="B254" s="102" t="s">
        <v>558</v>
      </c>
      <c r="C254" s="131" t="s">
        <v>345</v>
      </c>
      <c r="D254" s="102" t="s">
        <v>559</v>
      </c>
      <c r="E254" s="176" t="s">
        <v>183</v>
      </c>
      <c r="F254" s="154" t="s">
        <v>592</v>
      </c>
      <c r="G254" s="154" t="s">
        <v>640</v>
      </c>
      <c r="H254" s="118">
        <v>145000</v>
      </c>
      <c r="I254" s="118">
        <f>H254*2.87%</f>
        <v>4161.5</v>
      </c>
      <c r="J254" s="118">
        <f>+H254*3.04%</f>
        <v>4408</v>
      </c>
      <c r="K254" s="118">
        <v>0</v>
      </c>
      <c r="L254" s="118">
        <f>+J254+I254+K254</f>
        <v>8569.5</v>
      </c>
      <c r="M254" s="116">
        <f>+H254-L254</f>
        <v>136430.5</v>
      </c>
      <c r="N254" s="116">
        <f>+IF(M254*12&lt;=416220.01,0,IF(M254*12&lt;=624329.01,(((M254*12-416220.01)*0.15)/12),IF((M254*12&lt;=867123.01),(31216+0.2*(M254*12-624329.01))/12,((79776+0.25*(M254*12-867123.01))/12))))</f>
        <v>22690.562291666665</v>
      </c>
      <c r="O254" s="116"/>
      <c r="P254" s="156">
        <v>25</v>
      </c>
      <c r="Q254" s="116">
        <f>+P254+N254+L254</f>
        <v>31285.062291666665</v>
      </c>
      <c r="R254" s="156">
        <f>+H254-Q254</f>
        <v>113714.93770833334</v>
      </c>
    </row>
    <row r="255" spans="1:19" s="115" customFormat="1" ht="39.950000000000003" customHeight="1" x14ac:dyDescent="0.2">
      <c r="A255" s="363" t="s">
        <v>103</v>
      </c>
      <c r="B255" s="364"/>
      <c r="C255" s="100"/>
      <c r="D255" s="100"/>
      <c r="E255" s="100"/>
      <c r="F255" s="100"/>
      <c r="G255" s="100"/>
      <c r="H255" s="101">
        <f t="shared" ref="H255:J255" si="123">SUM(H254:H254)</f>
        <v>145000</v>
      </c>
      <c r="I255" s="101">
        <f t="shared" si="123"/>
        <v>4161.5</v>
      </c>
      <c r="J255" s="101">
        <f t="shared" si="123"/>
        <v>4408</v>
      </c>
      <c r="K255" s="101">
        <f>SUM(K254:K254)</f>
        <v>0</v>
      </c>
      <c r="L255" s="101">
        <f t="shared" ref="L255:R255" si="124">SUM(L254:L254)</f>
        <v>8569.5</v>
      </c>
      <c r="M255" s="101">
        <f t="shared" si="124"/>
        <v>136430.5</v>
      </c>
      <c r="N255" s="101">
        <f t="shared" si="124"/>
        <v>22690.562291666665</v>
      </c>
      <c r="O255" s="101">
        <f t="shared" si="124"/>
        <v>0</v>
      </c>
      <c r="P255" s="101">
        <f t="shared" si="124"/>
        <v>25</v>
      </c>
      <c r="Q255" s="101">
        <f t="shared" si="124"/>
        <v>31285.062291666665</v>
      </c>
      <c r="R255" s="101">
        <f t="shared" si="124"/>
        <v>113714.93770833334</v>
      </c>
      <c r="S255" s="338"/>
    </row>
    <row r="256" spans="1:19" ht="39.950000000000003" customHeight="1" thickBot="1" x14ac:dyDescent="0.25">
      <c r="A256" s="170"/>
      <c r="B256" s="170"/>
      <c r="C256" s="170"/>
      <c r="D256" s="170"/>
      <c r="E256" s="170"/>
      <c r="F256" s="170"/>
      <c r="G256" s="170"/>
      <c r="H256" s="114"/>
      <c r="I256" s="114"/>
      <c r="J256" s="114"/>
      <c r="K256" s="114"/>
      <c r="L256" s="114"/>
      <c r="M256" s="114"/>
      <c r="N256" s="114"/>
      <c r="O256" s="114"/>
      <c r="P256" s="114"/>
      <c r="Q256" s="114"/>
      <c r="R256" s="114"/>
    </row>
    <row r="257" spans="1:19" ht="39.950000000000003" customHeight="1" thickBot="1" x14ac:dyDescent="0.25">
      <c r="A257" s="173" t="s">
        <v>365</v>
      </c>
      <c r="B257" s="174"/>
      <c r="C257" s="174"/>
      <c r="D257" s="174"/>
      <c r="E257" s="174"/>
      <c r="F257" s="174"/>
      <c r="G257" s="174"/>
      <c r="H257" s="174"/>
      <c r="I257" s="174"/>
      <c r="J257" s="174"/>
      <c r="K257" s="174"/>
      <c r="L257" s="174"/>
      <c r="M257" s="174"/>
      <c r="N257" s="174"/>
      <c r="O257" s="174"/>
      <c r="P257" s="174"/>
      <c r="Q257" s="174"/>
      <c r="R257" s="174"/>
    </row>
    <row r="258" spans="1:19" ht="39.950000000000003" customHeight="1" x14ac:dyDescent="0.2">
      <c r="A258" s="157">
        <f>+A254+1</f>
        <v>112</v>
      </c>
      <c r="B258" s="102" t="s">
        <v>121</v>
      </c>
      <c r="C258" s="131" t="s">
        <v>346</v>
      </c>
      <c r="D258" s="102" t="s">
        <v>333</v>
      </c>
      <c r="E258" s="176" t="s">
        <v>183</v>
      </c>
      <c r="F258" s="155" t="s">
        <v>611</v>
      </c>
      <c r="G258" s="154" t="s">
        <v>616</v>
      </c>
      <c r="H258" s="118">
        <v>70000</v>
      </c>
      <c r="I258" s="118">
        <f>H258*2.87%</f>
        <v>2009</v>
      </c>
      <c r="J258" s="118">
        <f>+H258*3.04%</f>
        <v>2128</v>
      </c>
      <c r="K258" s="118">
        <v>0</v>
      </c>
      <c r="L258" s="118">
        <f>+J258+I258+K258</f>
        <v>4137</v>
      </c>
      <c r="M258" s="116">
        <f>+H258-L258</f>
        <v>65863</v>
      </c>
      <c r="N258" s="116">
        <f>+IF(M258*12&lt;=416220.01,0,IF(M258*12&lt;=624329.01,(((M258*12-416220.01)*0.15)/12),IF((M258*12&lt;=867123.01),(31216+0.2*(M258*12-624329.01))/12,((79776+0.25*(M258*12-867123.01))/12))))</f>
        <v>5368.4498333333331</v>
      </c>
      <c r="O258" s="116"/>
      <c r="P258" s="156">
        <v>225</v>
      </c>
      <c r="Q258" s="116">
        <f>+P258+N258+L258</f>
        <v>9730.4498333333322</v>
      </c>
      <c r="R258" s="156">
        <f>+H258-Q258</f>
        <v>60269.550166666668</v>
      </c>
    </row>
    <row r="259" spans="1:19" ht="39.950000000000003" customHeight="1" x14ac:dyDescent="0.2">
      <c r="A259" s="363" t="s">
        <v>103</v>
      </c>
      <c r="B259" s="364"/>
      <c r="C259" s="100"/>
      <c r="D259" s="100"/>
      <c r="E259" s="100"/>
      <c r="F259" s="100"/>
      <c r="G259" s="100"/>
      <c r="H259" s="101">
        <f t="shared" ref="H259:R259" si="125">SUM(H258:H258)</f>
        <v>70000</v>
      </c>
      <c r="I259" s="101">
        <f t="shared" si="125"/>
        <v>2009</v>
      </c>
      <c r="J259" s="101">
        <f t="shared" si="125"/>
        <v>2128</v>
      </c>
      <c r="K259" s="101">
        <f>SUM(K258:K258)</f>
        <v>0</v>
      </c>
      <c r="L259" s="101">
        <f t="shared" si="125"/>
        <v>4137</v>
      </c>
      <c r="M259" s="101">
        <f t="shared" si="125"/>
        <v>65863</v>
      </c>
      <c r="N259" s="101">
        <f t="shared" si="125"/>
        <v>5368.4498333333331</v>
      </c>
      <c r="O259" s="101">
        <f t="shared" si="125"/>
        <v>0</v>
      </c>
      <c r="P259" s="101">
        <f t="shared" si="125"/>
        <v>225</v>
      </c>
      <c r="Q259" s="101">
        <f t="shared" si="125"/>
        <v>9730.4498333333322</v>
      </c>
      <c r="R259" s="101">
        <f t="shared" si="125"/>
        <v>60269.550166666668</v>
      </c>
      <c r="S259" s="341"/>
    </row>
    <row r="260" spans="1:19" ht="39.950000000000003" customHeight="1" thickBot="1" x14ac:dyDescent="0.25">
      <c r="A260" s="170"/>
      <c r="B260" s="170"/>
      <c r="C260" s="170"/>
      <c r="D260" s="170"/>
      <c r="E260" s="170"/>
      <c r="F260" s="170"/>
      <c r="G260" s="170"/>
      <c r="H260" s="114"/>
      <c r="I260" s="114"/>
      <c r="J260" s="114"/>
      <c r="K260" s="114"/>
      <c r="L260" s="114"/>
      <c r="M260" s="114"/>
      <c r="N260" s="114"/>
      <c r="O260" s="114"/>
      <c r="P260" s="114"/>
      <c r="Q260" s="114"/>
      <c r="R260" s="114"/>
    </row>
    <row r="261" spans="1:19" ht="39.950000000000003" customHeight="1" thickBot="1" x14ac:dyDescent="0.25">
      <c r="A261" s="173" t="s">
        <v>474</v>
      </c>
      <c r="B261" s="174"/>
      <c r="C261" s="174"/>
      <c r="D261" s="174"/>
      <c r="E261" s="174"/>
      <c r="F261" s="174"/>
      <c r="G261" s="174"/>
      <c r="H261" s="174"/>
      <c r="I261" s="174"/>
      <c r="J261" s="174"/>
      <c r="K261" s="174"/>
      <c r="L261" s="174"/>
      <c r="M261" s="174"/>
      <c r="N261" s="174"/>
      <c r="O261" s="174"/>
      <c r="P261" s="174"/>
      <c r="Q261" s="174"/>
      <c r="R261" s="174"/>
    </row>
    <row r="262" spans="1:19" ht="39.950000000000003" customHeight="1" x14ac:dyDescent="0.2">
      <c r="A262" s="157">
        <f>+A258+1</f>
        <v>113</v>
      </c>
      <c r="B262" s="102" t="s">
        <v>410</v>
      </c>
      <c r="C262" s="131" t="s">
        <v>346</v>
      </c>
      <c r="D262" s="102" t="s">
        <v>497</v>
      </c>
      <c r="E262" s="176" t="s">
        <v>183</v>
      </c>
      <c r="F262" s="154" t="s">
        <v>604</v>
      </c>
      <c r="G262" s="154" t="s">
        <v>654</v>
      </c>
      <c r="H262" s="118">
        <v>90000</v>
      </c>
      <c r="I262" s="118">
        <f>H262*2.87%</f>
        <v>2583</v>
      </c>
      <c r="J262" s="118">
        <f>+H262*3.04%</f>
        <v>2736</v>
      </c>
      <c r="K262" s="118"/>
      <c r="L262" s="116">
        <f>+J262+I262+K262</f>
        <v>5319</v>
      </c>
      <c r="M262" s="116">
        <f>+H262-L262</f>
        <v>84681</v>
      </c>
      <c r="N262" s="116">
        <f>+IF(M262*12&lt;=416220.01,0,IF(M262*12&lt;=624329.01,(((M262*12-416220.01)*0.15)/12),IF((M262*12&lt;=867123.01),(31216+0.2*(M262*12-624329.01))/12,((79776+0.25*(M262*12-867123.01))/12))))</f>
        <v>9753.1872916666671</v>
      </c>
      <c r="O262" s="116"/>
      <c r="P262" s="161">
        <v>15290.29</v>
      </c>
      <c r="Q262" s="116">
        <f>+P262+N262+L262</f>
        <v>30362.47729166667</v>
      </c>
      <c r="R262" s="156">
        <f>+H262-Q262</f>
        <v>59637.52270833333</v>
      </c>
    </row>
    <row r="263" spans="1:19" ht="39.950000000000003" customHeight="1" x14ac:dyDescent="0.2">
      <c r="A263" s="157">
        <f>+A262+1</f>
        <v>114</v>
      </c>
      <c r="B263" s="102" t="s">
        <v>501</v>
      </c>
      <c r="C263" s="131" t="s">
        <v>346</v>
      </c>
      <c r="D263" s="102" t="s">
        <v>502</v>
      </c>
      <c r="E263" s="176" t="s">
        <v>183</v>
      </c>
      <c r="F263" s="154" t="s">
        <v>641</v>
      </c>
      <c r="G263" s="154" t="s">
        <v>642</v>
      </c>
      <c r="H263" s="118">
        <v>38000</v>
      </c>
      <c r="I263" s="116">
        <f>H263*2.87%</f>
        <v>1090.5999999999999</v>
      </c>
      <c r="J263" s="116">
        <f>+H263*3.04%</f>
        <v>1155.2</v>
      </c>
      <c r="K263" s="116"/>
      <c r="L263" s="116">
        <f>+J263+I263+K263</f>
        <v>2245.8000000000002</v>
      </c>
      <c r="M263" s="116">
        <f>+H263-L263</f>
        <v>35754.199999999997</v>
      </c>
      <c r="N263" s="116">
        <f>+IF(M263*12&lt;=416220.01,0,IF(M263*12&lt;=624329.01,(((M263*12-416220.01)*0.15)/12),IF((M263*12&lt;=867123.01),(31216+0.2*(M263*12-624329.01))/12,((79776+0.25*(M263*12-867123.01))/12))))</f>
        <v>160.37987499999943</v>
      </c>
      <c r="O263" s="116">
        <f t="shared" ref="O263" si="126">N263*2.87%</f>
        <v>4.6029024124999838</v>
      </c>
      <c r="P263" s="118">
        <v>225</v>
      </c>
      <c r="Q263" s="116">
        <f>+P263+N263+L263</f>
        <v>2631.1798749999998</v>
      </c>
      <c r="R263" s="161">
        <f>+H263-Q263</f>
        <v>35368.820124999998</v>
      </c>
    </row>
    <row r="264" spans="1:19" ht="39.950000000000003" customHeight="1" x14ac:dyDescent="0.2">
      <c r="A264" s="363" t="s">
        <v>103</v>
      </c>
      <c r="B264" s="364"/>
      <c r="C264" s="100"/>
      <c r="D264" s="100"/>
      <c r="E264" s="100"/>
      <c r="F264" s="100"/>
      <c r="G264" s="100"/>
      <c r="H264" s="101">
        <f>SUM(H262:H263)</f>
        <v>128000</v>
      </c>
      <c r="I264" s="101">
        <f t="shared" ref="I264:R264" si="127">SUM(I262:I263)</f>
        <v>3673.6</v>
      </c>
      <c r="J264" s="101">
        <f t="shared" si="127"/>
        <v>3891.2</v>
      </c>
      <c r="K264" s="101">
        <f t="shared" si="127"/>
        <v>0</v>
      </c>
      <c r="L264" s="101">
        <f t="shared" si="127"/>
        <v>7564.8</v>
      </c>
      <c r="M264" s="101">
        <f t="shared" si="127"/>
        <v>120435.2</v>
      </c>
      <c r="N264" s="101">
        <f t="shared" si="127"/>
        <v>9913.5671666666658</v>
      </c>
      <c r="O264" s="101">
        <f t="shared" si="127"/>
        <v>4.6029024124999838</v>
      </c>
      <c r="P264" s="101">
        <f t="shared" si="127"/>
        <v>15515.29</v>
      </c>
      <c r="Q264" s="101">
        <f t="shared" si="127"/>
        <v>32993.657166666671</v>
      </c>
      <c r="R264" s="101">
        <f t="shared" si="127"/>
        <v>95006.342833333329</v>
      </c>
      <c r="S264" s="341"/>
    </row>
    <row r="265" spans="1:19" ht="39.950000000000003" customHeight="1" thickBot="1" x14ac:dyDescent="0.25">
      <c r="A265" s="170"/>
      <c r="B265" s="170"/>
      <c r="C265" s="170"/>
      <c r="D265" s="170"/>
      <c r="E265" s="170"/>
      <c r="F265" s="170"/>
      <c r="G265" s="170"/>
      <c r="H265" s="114"/>
      <c r="I265" s="114"/>
      <c r="J265" s="114"/>
      <c r="K265" s="114"/>
      <c r="L265" s="114"/>
      <c r="M265" s="114"/>
      <c r="N265" s="114"/>
      <c r="O265" s="114"/>
      <c r="P265" s="114"/>
      <c r="Q265" s="114"/>
      <c r="R265" s="114"/>
    </row>
    <row r="266" spans="1:19" ht="39.950000000000003" customHeight="1" thickBot="1" x14ac:dyDescent="0.25">
      <c r="A266" s="173" t="s">
        <v>175</v>
      </c>
      <c r="B266" s="174"/>
      <c r="C266" s="174"/>
      <c r="D266" s="174"/>
      <c r="E266" s="174"/>
      <c r="F266" s="174"/>
      <c r="G266" s="174"/>
      <c r="H266" s="174"/>
      <c r="I266" s="174"/>
      <c r="J266" s="174"/>
      <c r="K266" s="174"/>
      <c r="L266" s="174"/>
      <c r="M266" s="174"/>
      <c r="N266" s="174"/>
      <c r="O266" s="174"/>
      <c r="P266" s="174"/>
      <c r="Q266" s="174"/>
      <c r="R266" s="174"/>
    </row>
    <row r="267" spans="1:19" ht="39.950000000000003" customHeight="1" x14ac:dyDescent="0.2">
      <c r="A267" s="157">
        <f>+A263+1</f>
        <v>115</v>
      </c>
      <c r="B267" s="142" t="s">
        <v>314</v>
      </c>
      <c r="C267" s="103" t="s">
        <v>345</v>
      </c>
      <c r="D267" s="140" t="s">
        <v>514</v>
      </c>
      <c r="E267" s="176" t="s">
        <v>183</v>
      </c>
      <c r="F267" s="154" t="s">
        <v>592</v>
      </c>
      <c r="G267" s="154" t="s">
        <v>640</v>
      </c>
      <c r="H267" s="156">
        <v>100000</v>
      </c>
      <c r="I267" s="118">
        <f>H267*2.87%</f>
        <v>2870</v>
      </c>
      <c r="J267" s="118">
        <f>+H267*3.04%</f>
        <v>3040</v>
      </c>
      <c r="K267" s="118"/>
      <c r="L267" s="118">
        <f>+J267+I267+K267</f>
        <v>5910</v>
      </c>
      <c r="M267" s="118">
        <f>+H267-L267</f>
        <v>94090</v>
      </c>
      <c r="N267" s="116">
        <f>+IF(M267*12&lt;=416220.01,0,IF(M267*12&lt;=624329.01,(((M267*12-416220.01)*0.15)/12),IF((M267*12&lt;=867123.01),(31216+0.2*(M267*12-624329.01))/12,((79776+0.25*(M267*12-867123.01))/12))))</f>
        <v>12105.437291666667</v>
      </c>
      <c r="O267" s="118"/>
      <c r="P267" s="156">
        <v>2963</v>
      </c>
      <c r="Q267" s="118">
        <f>+P267+N267+L267</f>
        <v>20978.437291666669</v>
      </c>
      <c r="R267" s="156">
        <f>+H267-Q267</f>
        <v>79021.562708333338</v>
      </c>
    </row>
    <row r="268" spans="1:19" ht="39.950000000000003" customHeight="1" x14ac:dyDescent="0.2">
      <c r="A268" s="363" t="s">
        <v>103</v>
      </c>
      <c r="B268" s="364"/>
      <c r="C268" s="100"/>
      <c r="D268" s="100"/>
      <c r="E268" s="100"/>
      <c r="F268" s="100"/>
      <c r="G268" s="100"/>
      <c r="H268" s="101">
        <f>+H267</f>
        <v>100000</v>
      </c>
      <c r="I268" s="101">
        <f t="shared" ref="I268:Q268" si="128">+I267</f>
        <v>2870</v>
      </c>
      <c r="J268" s="101">
        <f t="shared" si="128"/>
        <v>3040</v>
      </c>
      <c r="K268" s="101">
        <f t="shared" si="128"/>
        <v>0</v>
      </c>
      <c r="L268" s="101">
        <f t="shared" si="128"/>
        <v>5910</v>
      </c>
      <c r="M268" s="101">
        <f t="shared" si="128"/>
        <v>94090</v>
      </c>
      <c r="N268" s="101">
        <f t="shared" si="128"/>
        <v>12105.437291666667</v>
      </c>
      <c r="O268" s="101">
        <f t="shared" si="128"/>
        <v>0</v>
      </c>
      <c r="P268" s="101">
        <f t="shared" si="128"/>
        <v>2963</v>
      </c>
      <c r="Q268" s="101">
        <f t="shared" si="128"/>
        <v>20978.437291666669</v>
      </c>
      <c r="R268" s="101">
        <f>+R267</f>
        <v>79021.562708333338</v>
      </c>
    </row>
    <row r="269" spans="1:19" ht="39.950000000000003" customHeight="1" thickBot="1" x14ac:dyDescent="0.25">
      <c r="D269" s="196"/>
      <c r="E269" s="196"/>
      <c r="F269" s="196"/>
      <c r="G269" s="196"/>
      <c r="I269" s="111"/>
      <c r="J269" s="111"/>
      <c r="K269" s="111"/>
      <c r="L269" s="111"/>
      <c r="M269" s="111"/>
      <c r="N269" s="111"/>
      <c r="O269" s="111"/>
      <c r="P269" s="111"/>
      <c r="Q269" s="111"/>
      <c r="R269" s="111"/>
    </row>
    <row r="270" spans="1:19" ht="39.950000000000003" customHeight="1" thickBot="1" x14ac:dyDescent="0.25">
      <c r="A270" s="173" t="s">
        <v>334</v>
      </c>
      <c r="B270" s="174"/>
      <c r="C270" s="174"/>
      <c r="D270" s="174"/>
      <c r="E270" s="203"/>
      <c r="F270" s="204"/>
      <c r="G270" s="204"/>
      <c r="H270" s="205">
        <f t="shared" ref="H270:R270" si="129">+H11+H20+H26+H34+H44+H52+H57+H61+H65+H73+H80+H86+H91+H95+H99+H106+H109+H112+H116+H119+H126+H142+H146+H152+H156+H161+H166+H170+H178+H182+H188+H193+H198+H207+H213+H220+H225+H229+H233+H237+H242+H246+H251+H255+H259+H264+H268+H137+H48+H69+H132</f>
        <v>10948000</v>
      </c>
      <c r="I270" s="205">
        <f t="shared" si="129"/>
        <v>314207.59999999998</v>
      </c>
      <c r="J270" s="205">
        <f t="shared" si="129"/>
        <v>332819.20000000001</v>
      </c>
      <c r="K270" s="205">
        <f t="shared" si="129"/>
        <v>63352.74</v>
      </c>
      <c r="L270" s="205">
        <f t="shared" si="129"/>
        <v>710379.54000000027</v>
      </c>
      <c r="M270" s="205">
        <f t="shared" si="129"/>
        <v>10237620.459999999</v>
      </c>
      <c r="N270" s="205">
        <f t="shared" si="129"/>
        <v>1256442.9384999999</v>
      </c>
      <c r="O270" s="205">
        <f t="shared" si="129"/>
        <v>4.6029024124999838</v>
      </c>
      <c r="P270" s="205">
        <f t="shared" si="129"/>
        <v>297095.55</v>
      </c>
      <c r="Q270" s="205">
        <f t="shared" si="129"/>
        <v>2263918.0285000005</v>
      </c>
      <c r="R270" s="205">
        <f t="shared" si="129"/>
        <v>8684081.9715</v>
      </c>
    </row>
    <row r="271" spans="1:19" ht="39.950000000000003" customHeight="1" x14ac:dyDescent="0.2">
      <c r="H271" s="305"/>
      <c r="I271"/>
      <c r="K271" s="207"/>
      <c r="R271" s="326"/>
    </row>
    <row r="272" spans="1:19" ht="39.950000000000003" customHeight="1" x14ac:dyDescent="0.2">
      <c r="H272" s="304"/>
      <c r="I272"/>
      <c r="R272" s="207"/>
    </row>
    <row r="273" spans="2:8" ht="39.950000000000003" customHeight="1" thickBot="1" x14ac:dyDescent="0.3">
      <c r="B273" s="351" t="s">
        <v>90</v>
      </c>
      <c r="C273" s="351"/>
      <c r="D273" s="206"/>
      <c r="E273" s="352" t="s">
        <v>662</v>
      </c>
      <c r="F273" s="352"/>
      <c r="G273" s="206"/>
      <c r="H273" s="208"/>
    </row>
    <row r="274" spans="2:8" ht="39.950000000000003" customHeight="1" x14ac:dyDescent="0.25">
      <c r="B274" s="344" t="s">
        <v>552</v>
      </c>
      <c r="C274" s="344"/>
      <c r="D274" s="206"/>
      <c r="E274" s="353" t="s">
        <v>663</v>
      </c>
      <c r="F274" s="353"/>
      <c r="G274" s="206"/>
    </row>
    <row r="64879" spans="2:2" ht="39.950000000000003" customHeight="1" x14ac:dyDescent="0.2">
      <c r="B64879" s="145">
        <f>SUM(B7:B64878)</f>
        <v>0</v>
      </c>
    </row>
    <row r="64881" spans="2:2" ht="39.950000000000003" customHeight="1" x14ac:dyDescent="0.2">
      <c r="B64881" s="145">
        <f>SUM(B64879)</f>
        <v>0</v>
      </c>
    </row>
    <row r="1048207" spans="17:17" ht="39.950000000000003" customHeight="1" x14ac:dyDescent="0.2">
      <c r="Q1048207" s="123" t="e">
        <f>SUM(#REF!)</f>
        <v>#REF!</v>
      </c>
    </row>
  </sheetData>
  <mergeCells count="59">
    <mergeCell ref="A44:B44"/>
    <mergeCell ref="A52:B52"/>
    <mergeCell ref="A57:B57"/>
    <mergeCell ref="A65:B65"/>
    <mergeCell ref="A73:B73"/>
    <mergeCell ref="A61:B61"/>
    <mergeCell ref="A48:B48"/>
    <mergeCell ref="A69:B69"/>
    <mergeCell ref="A11:B11"/>
    <mergeCell ref="A34:B34"/>
    <mergeCell ref="A2:R2"/>
    <mergeCell ref="A3:R3"/>
    <mergeCell ref="A4:R4"/>
    <mergeCell ref="A26:B26"/>
    <mergeCell ref="A20:B20"/>
    <mergeCell ref="I6:L6"/>
    <mergeCell ref="A178:B178"/>
    <mergeCell ref="A207:B207"/>
    <mergeCell ref="A80:B80"/>
    <mergeCell ref="A86:B86"/>
    <mergeCell ref="A91:B91"/>
    <mergeCell ref="A99:B99"/>
    <mergeCell ref="A95:B95"/>
    <mergeCell ref="A213:B213"/>
    <mergeCell ref="A198:B198"/>
    <mergeCell ref="A242:B242"/>
    <mergeCell ref="A188:B188"/>
    <mergeCell ref="A193:B193"/>
    <mergeCell ref="A106:B106"/>
    <mergeCell ref="A109:B109"/>
    <mergeCell ref="A116:B116"/>
    <mergeCell ref="A126:B126"/>
    <mergeCell ref="A137:B137"/>
    <mergeCell ref="A119:B119"/>
    <mergeCell ref="A112:B112"/>
    <mergeCell ref="A132:B132"/>
    <mergeCell ref="E273:F273"/>
    <mergeCell ref="E274:F274"/>
    <mergeCell ref="A142:B142"/>
    <mergeCell ref="A237:B237"/>
    <mergeCell ref="A220:B220"/>
    <mergeCell ref="A225:B225"/>
    <mergeCell ref="A182:B182"/>
    <mergeCell ref="A146:B146"/>
    <mergeCell ref="A246:B246"/>
    <mergeCell ref="A229:B229"/>
    <mergeCell ref="A233:B233"/>
    <mergeCell ref="A152:B152"/>
    <mergeCell ref="A156:B156"/>
    <mergeCell ref="A166:B166"/>
    <mergeCell ref="A161:B161"/>
    <mergeCell ref="A170:B170"/>
    <mergeCell ref="A251:B251"/>
    <mergeCell ref="A255:B255"/>
    <mergeCell ref="B273:C273"/>
    <mergeCell ref="B274:C274"/>
    <mergeCell ref="A268:B268"/>
    <mergeCell ref="A259:B259"/>
    <mergeCell ref="A264:B264"/>
  </mergeCells>
  <phoneticPr fontId="19" type="noConversion"/>
  <pageMargins left="0.15748031496062992" right="0.15748031496062992" top="0.15748031496062992" bottom="0.17" header="0.15748031496062992" footer="0.15748031496062992"/>
  <pageSetup paperSize="5" scale="48" fitToHeight="0" orientation="landscape" r:id="rId1"/>
  <rowBreaks count="11" manualBreakCount="11">
    <brk id="31" max="17" man="1"/>
    <brk id="55" max="17" man="1"/>
    <brk id="78" max="17" man="1"/>
    <brk id="102" max="17" man="1"/>
    <brk id="124" max="17" man="1"/>
    <brk id="147" max="17" man="1"/>
    <brk id="170" max="17" man="1"/>
    <brk id="193" max="17" man="1"/>
    <brk id="213" max="17" man="1"/>
    <brk id="237" max="17" man="1"/>
    <brk id="259" max="1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L999975"/>
  <sheetViews>
    <sheetView showGridLines="0" zoomScale="82" zoomScaleNormal="82" workbookViewId="0">
      <pane xSplit="3" ySplit="6" topLeftCell="D122" activePane="bottomRight" state="frozen"/>
      <selection pane="topRight" activeCell="C1" sqref="C1"/>
      <selection pane="bottomLeft" activeCell="A9" sqref="A9"/>
      <selection pane="bottomRight" activeCell="F129" sqref="F129:G130"/>
    </sheetView>
  </sheetViews>
  <sheetFormatPr baseColWidth="10" defaultColWidth="11.42578125" defaultRowHeight="20.100000000000001" customHeight="1" x14ac:dyDescent="0.2"/>
  <cols>
    <col min="1" max="1" width="1.85546875" style="1" customWidth="1"/>
    <col min="2" max="2" width="6.42578125" style="3" customWidth="1"/>
    <col min="3" max="3" width="46.42578125" style="12" customWidth="1"/>
    <col min="4" max="4" width="9.85546875" style="3" customWidth="1"/>
    <col min="5" max="5" width="48.140625" style="12" customWidth="1"/>
    <col min="6" max="6" width="30" style="89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3" width="17.28515625" style="1" customWidth="1"/>
    <col min="14" max="16384" width="11.42578125" style="1"/>
  </cols>
  <sheetData>
    <row r="1" spans="2:12" ht="20.100000000000001" customHeight="1" x14ac:dyDescent="0.35">
      <c r="B1" s="387" t="s">
        <v>335</v>
      </c>
      <c r="C1" s="387"/>
      <c r="D1" s="387"/>
      <c r="E1" s="387"/>
      <c r="F1" s="387"/>
      <c r="G1" s="387"/>
      <c r="H1" s="387"/>
      <c r="I1" s="387"/>
      <c r="J1" s="387"/>
      <c r="K1" s="387"/>
      <c r="L1" s="387"/>
    </row>
    <row r="2" spans="2:12" ht="20.100000000000001" customHeight="1" x14ac:dyDescent="0.35">
      <c r="B2" s="388" t="s">
        <v>351</v>
      </c>
      <c r="C2" s="388"/>
      <c r="D2" s="388"/>
      <c r="E2" s="388"/>
      <c r="F2" s="388"/>
      <c r="G2" s="388"/>
      <c r="H2" s="388"/>
      <c r="I2" s="388"/>
      <c r="J2" s="388"/>
      <c r="K2" s="388"/>
      <c r="L2" s="388"/>
    </row>
    <row r="3" spans="2:12" ht="20.100000000000001" customHeight="1" x14ac:dyDescent="0.3">
      <c r="B3" s="389" t="s">
        <v>658</v>
      </c>
      <c r="C3" s="389"/>
      <c r="D3" s="389"/>
      <c r="E3" s="389"/>
      <c r="F3" s="389"/>
      <c r="G3" s="389"/>
      <c r="H3" s="389"/>
      <c r="I3" s="389"/>
      <c r="J3" s="389"/>
      <c r="K3" s="389"/>
      <c r="L3" s="389"/>
    </row>
    <row r="4" spans="2:12" ht="20.100000000000001" customHeight="1" thickBot="1" x14ac:dyDescent="0.35">
      <c r="B4" s="389"/>
      <c r="C4" s="389"/>
      <c r="D4" s="6"/>
      <c r="E4" s="11"/>
      <c r="F4" s="85"/>
      <c r="G4" s="6"/>
    </row>
    <row r="5" spans="2:12" ht="20.100000000000001" customHeight="1" thickBot="1" x14ac:dyDescent="0.3">
      <c r="B5" s="15"/>
      <c r="C5" s="16"/>
      <c r="D5" s="15"/>
      <c r="E5" s="16"/>
      <c r="F5" s="86"/>
      <c r="G5" s="17"/>
      <c r="H5" s="369" t="s">
        <v>99</v>
      </c>
      <c r="I5" s="371"/>
      <c r="J5" s="18"/>
      <c r="K5" s="18"/>
      <c r="L5" s="18"/>
    </row>
    <row r="6" spans="2:12" s="7" customFormat="1" ht="36.75" customHeight="1" thickBot="1" x14ac:dyDescent="0.3">
      <c r="B6" s="19" t="s">
        <v>0</v>
      </c>
      <c r="C6" s="19" t="s">
        <v>301</v>
      </c>
      <c r="D6" s="19" t="s">
        <v>347</v>
      </c>
      <c r="E6" s="19" t="s">
        <v>105</v>
      </c>
      <c r="F6" s="92" t="s">
        <v>93</v>
      </c>
      <c r="G6" s="19" t="s">
        <v>102</v>
      </c>
      <c r="H6" s="20" t="s">
        <v>1</v>
      </c>
      <c r="I6" s="20" t="s">
        <v>2</v>
      </c>
      <c r="J6" s="21" t="s">
        <v>94</v>
      </c>
      <c r="K6" s="21" t="s">
        <v>3</v>
      </c>
      <c r="L6" s="21" t="s">
        <v>95</v>
      </c>
    </row>
    <row r="7" spans="2:12" s="25" customFormat="1" ht="20.100000000000001" customHeight="1" thickBot="1" x14ac:dyDescent="0.3">
      <c r="B7" s="378" t="s">
        <v>152</v>
      </c>
      <c r="C7" s="379"/>
      <c r="D7" s="379"/>
      <c r="E7" s="379"/>
      <c r="F7" s="379"/>
      <c r="G7" s="379"/>
      <c r="H7" s="379"/>
      <c r="I7" s="379"/>
      <c r="J7" s="379"/>
      <c r="K7" s="379"/>
      <c r="L7" s="380"/>
    </row>
    <row r="8" spans="2:12" s="25" customFormat="1" ht="28.5" customHeight="1" x14ac:dyDescent="0.25">
      <c r="B8" s="22">
        <f>1</f>
        <v>1</v>
      </c>
      <c r="C8" s="54" t="s">
        <v>116</v>
      </c>
      <c r="D8" s="22" t="s">
        <v>346</v>
      </c>
      <c r="E8" s="55" t="s">
        <v>374</v>
      </c>
      <c r="F8" s="60" t="s">
        <v>100</v>
      </c>
      <c r="G8" s="56">
        <v>19500</v>
      </c>
      <c r="H8" s="56">
        <v>559.64999999999964</v>
      </c>
      <c r="I8" s="53">
        <v>592.79999999999995</v>
      </c>
      <c r="J8" s="56">
        <v>4586.8900000000003</v>
      </c>
      <c r="K8" s="53">
        <f>SUM(H8:J8)</f>
        <v>5739.34</v>
      </c>
      <c r="L8" s="44">
        <f>+G8-K8</f>
        <v>13760.66</v>
      </c>
    </row>
    <row r="9" spans="2:12" s="25" customFormat="1" ht="20.100000000000001" customHeight="1" x14ac:dyDescent="0.25">
      <c r="B9" s="375" t="s">
        <v>103</v>
      </c>
      <c r="C9" s="376"/>
      <c r="D9" s="376"/>
      <c r="E9" s="376"/>
      <c r="F9" s="376"/>
      <c r="G9" s="23">
        <f>SUM(G8)</f>
        <v>19500</v>
      </c>
      <c r="H9" s="23">
        <f t="shared" ref="H9:L9" si="0">SUM(H8)</f>
        <v>559.64999999999964</v>
      </c>
      <c r="I9" s="23">
        <f t="shared" si="0"/>
        <v>592.79999999999995</v>
      </c>
      <c r="J9" s="23">
        <f t="shared" si="0"/>
        <v>4586.8900000000003</v>
      </c>
      <c r="K9" s="23">
        <f t="shared" si="0"/>
        <v>5739.34</v>
      </c>
      <c r="L9" s="23">
        <f t="shared" si="0"/>
        <v>13760.66</v>
      </c>
    </row>
    <row r="10" spans="2:12" s="26" customFormat="1" ht="20.100000000000001" customHeight="1" thickBot="1" x14ac:dyDescent="0.3">
      <c r="B10" s="34"/>
      <c r="C10" s="34"/>
      <c r="D10" s="34"/>
      <c r="E10" s="34"/>
      <c r="F10" s="93"/>
    </row>
    <row r="11" spans="2:12" s="41" customFormat="1" ht="20.100000000000001" customHeight="1" thickBot="1" x14ac:dyDescent="0.3">
      <c r="B11" s="378" t="s">
        <v>127</v>
      </c>
      <c r="C11" s="379"/>
      <c r="D11" s="379"/>
      <c r="E11" s="379"/>
      <c r="F11" s="379"/>
      <c r="G11" s="379"/>
      <c r="H11" s="379"/>
      <c r="I11" s="379"/>
      <c r="J11" s="379"/>
      <c r="K11" s="379"/>
      <c r="L11" s="380"/>
    </row>
    <row r="12" spans="2:12" s="25" customFormat="1" ht="27" customHeight="1" x14ac:dyDescent="0.25">
      <c r="B12" s="22">
        <f>+B8+1</f>
        <v>2</v>
      </c>
      <c r="C12" s="57" t="s">
        <v>36</v>
      </c>
      <c r="D12" s="58" t="s">
        <v>346</v>
      </c>
      <c r="E12" s="59" t="s">
        <v>370</v>
      </c>
      <c r="F12" s="60" t="s">
        <v>101</v>
      </c>
      <c r="G12" s="43">
        <v>53000</v>
      </c>
      <c r="H12" s="43">
        <f>+G12*2.87%</f>
        <v>1521.1</v>
      </c>
      <c r="I12" s="43">
        <f>+G12*3.04%</f>
        <v>1611.2</v>
      </c>
      <c r="J12" s="53">
        <v>12466.93</v>
      </c>
      <c r="K12" s="43">
        <f>SUM(H12:J12)</f>
        <v>15599.23</v>
      </c>
      <c r="L12" s="44">
        <f>+G12-K12</f>
        <v>37400.770000000004</v>
      </c>
    </row>
    <row r="13" spans="2:12" s="25" customFormat="1" ht="20.100000000000001" customHeight="1" x14ac:dyDescent="0.25">
      <c r="B13" s="375" t="s">
        <v>103</v>
      </c>
      <c r="C13" s="376"/>
      <c r="D13" s="376"/>
      <c r="E13" s="376"/>
      <c r="F13" s="377"/>
      <c r="G13" s="23">
        <f>+G12</f>
        <v>53000</v>
      </c>
      <c r="H13" s="23">
        <f t="shared" ref="H13:L13" si="1">+H12</f>
        <v>1521.1</v>
      </c>
      <c r="I13" s="23">
        <f t="shared" si="1"/>
        <v>1611.2</v>
      </c>
      <c r="J13" s="23">
        <f t="shared" si="1"/>
        <v>12466.93</v>
      </c>
      <c r="K13" s="23">
        <f t="shared" si="1"/>
        <v>15599.23</v>
      </c>
      <c r="L13" s="23">
        <f t="shared" si="1"/>
        <v>37400.770000000004</v>
      </c>
    </row>
    <row r="14" spans="2:12" s="25" customFormat="1" ht="20.100000000000001" customHeight="1" thickBot="1" x14ac:dyDescent="0.3">
      <c r="B14" s="34"/>
      <c r="C14" s="34"/>
      <c r="D14" s="34"/>
      <c r="E14" s="34"/>
      <c r="F14" s="93"/>
      <c r="G14" s="51"/>
      <c r="H14" s="51"/>
      <c r="I14" s="51"/>
      <c r="J14" s="51"/>
      <c r="K14" s="51"/>
      <c r="L14" s="51"/>
    </row>
    <row r="15" spans="2:12" s="41" customFormat="1" ht="20.100000000000001" customHeight="1" thickBot="1" x14ac:dyDescent="0.3">
      <c r="B15" s="378" t="s">
        <v>211</v>
      </c>
      <c r="C15" s="379"/>
      <c r="D15" s="379"/>
      <c r="E15" s="379"/>
      <c r="F15" s="379"/>
      <c r="G15" s="379"/>
      <c r="H15" s="379"/>
      <c r="I15" s="379"/>
      <c r="J15" s="379"/>
      <c r="K15" s="379"/>
      <c r="L15" s="380"/>
    </row>
    <row r="16" spans="2:12" s="25" customFormat="1" ht="27" customHeight="1" x14ac:dyDescent="0.25">
      <c r="B16" s="42">
        <f>+B12+1</f>
        <v>3</v>
      </c>
      <c r="C16" s="57" t="s">
        <v>44</v>
      </c>
      <c r="D16" s="58" t="s">
        <v>346</v>
      </c>
      <c r="E16" s="59" t="s">
        <v>154</v>
      </c>
      <c r="F16" s="60" t="s">
        <v>101</v>
      </c>
      <c r="G16" s="53">
        <v>63500</v>
      </c>
      <c r="H16" s="43">
        <v>1822.45</v>
      </c>
      <c r="I16" s="43">
        <v>1930.4</v>
      </c>
      <c r="J16" s="53">
        <v>14885.707500000004</v>
      </c>
      <c r="K16" s="43">
        <v>18689.64</v>
      </c>
      <c r="L16" s="44">
        <f>+G16-K16</f>
        <v>44810.36</v>
      </c>
    </row>
    <row r="17" spans="2:12" s="25" customFormat="1" ht="20.100000000000001" customHeight="1" x14ac:dyDescent="0.25">
      <c r="B17" s="375" t="s">
        <v>103</v>
      </c>
      <c r="C17" s="376"/>
      <c r="D17" s="376"/>
      <c r="E17" s="376"/>
      <c r="F17" s="377"/>
      <c r="G17" s="23">
        <f t="shared" ref="G17:L17" si="2">SUM(G16:G16)</f>
        <v>63500</v>
      </c>
      <c r="H17" s="23">
        <f t="shared" si="2"/>
        <v>1822.45</v>
      </c>
      <c r="I17" s="23">
        <f t="shared" si="2"/>
        <v>1930.4</v>
      </c>
      <c r="J17" s="23">
        <f t="shared" si="2"/>
        <v>14885.707500000004</v>
      </c>
      <c r="K17" s="23">
        <f t="shared" si="2"/>
        <v>18689.64</v>
      </c>
      <c r="L17" s="23">
        <f t="shared" si="2"/>
        <v>44810.36</v>
      </c>
    </row>
    <row r="18" spans="2:12" s="25" customFormat="1" ht="20.100000000000001" customHeight="1" thickBot="1" x14ac:dyDescent="0.3">
      <c r="B18" s="34"/>
      <c r="C18" s="34"/>
      <c r="D18" s="34"/>
      <c r="E18" s="34"/>
      <c r="F18" s="93"/>
      <c r="G18" s="26"/>
      <c r="H18" s="26"/>
      <c r="I18" s="26"/>
      <c r="J18" s="26"/>
      <c r="K18" s="26"/>
      <c r="L18" s="26"/>
    </row>
    <row r="19" spans="2:12" s="25" customFormat="1" ht="20.100000000000001" customHeight="1" thickBot="1" x14ac:dyDescent="0.3">
      <c r="B19" s="378" t="s">
        <v>482</v>
      </c>
      <c r="C19" s="379"/>
      <c r="D19" s="379"/>
      <c r="E19" s="379"/>
      <c r="F19" s="379"/>
      <c r="G19" s="379"/>
      <c r="H19" s="379"/>
      <c r="I19" s="379"/>
      <c r="J19" s="379"/>
      <c r="K19" s="379"/>
      <c r="L19" s="380"/>
    </row>
    <row r="20" spans="2:12" s="51" customFormat="1" ht="27.75" customHeight="1" x14ac:dyDescent="0.25">
      <c r="B20" s="42">
        <f>+B16+1</f>
        <v>4</v>
      </c>
      <c r="C20" s="57" t="s">
        <v>481</v>
      </c>
      <c r="D20" s="58" t="s">
        <v>346</v>
      </c>
      <c r="E20" s="59" t="s">
        <v>39</v>
      </c>
      <c r="F20" s="60" t="s">
        <v>101</v>
      </c>
      <c r="G20" s="53">
        <v>20000</v>
      </c>
      <c r="H20" s="43">
        <f>+G20*2.87%</f>
        <v>574</v>
      </c>
      <c r="I20" s="43">
        <f>+G20*3.04%</f>
        <v>608</v>
      </c>
      <c r="J20" s="53">
        <v>3777.43</v>
      </c>
      <c r="K20" s="43">
        <v>5000.3</v>
      </c>
      <c r="L20" s="44">
        <f>+G20-K20</f>
        <v>14999.7</v>
      </c>
    </row>
    <row r="21" spans="2:12" s="25" customFormat="1" ht="20.100000000000001" customHeight="1" thickBot="1" x14ac:dyDescent="0.3">
      <c r="B21" s="375" t="s">
        <v>103</v>
      </c>
      <c r="C21" s="376"/>
      <c r="D21" s="376"/>
      <c r="E21" s="376"/>
      <c r="F21" s="377"/>
      <c r="G21" s="23">
        <f t="shared" ref="G21:L21" si="3">SUM(G20:G20)</f>
        <v>20000</v>
      </c>
      <c r="H21" s="23">
        <f t="shared" si="3"/>
        <v>574</v>
      </c>
      <c r="I21" s="23">
        <f t="shared" si="3"/>
        <v>608</v>
      </c>
      <c r="J21" s="23">
        <f t="shared" si="3"/>
        <v>3777.43</v>
      </c>
      <c r="K21" s="23">
        <f t="shared" si="3"/>
        <v>5000.3</v>
      </c>
      <c r="L21" s="23">
        <f t="shared" si="3"/>
        <v>14999.7</v>
      </c>
    </row>
    <row r="22" spans="2:12" s="25" customFormat="1" ht="20.100000000000001" customHeight="1" thickBot="1" x14ac:dyDescent="0.3">
      <c r="B22" s="378" t="s">
        <v>131</v>
      </c>
      <c r="C22" s="379"/>
      <c r="D22" s="379"/>
      <c r="E22" s="379"/>
      <c r="F22" s="379"/>
      <c r="G22" s="379"/>
      <c r="H22" s="379"/>
      <c r="I22" s="379"/>
      <c r="J22" s="379"/>
      <c r="K22" s="379"/>
      <c r="L22" s="380"/>
    </row>
    <row r="23" spans="2:12" s="25" customFormat="1" ht="33.75" customHeight="1" x14ac:dyDescent="0.25">
      <c r="B23" s="58">
        <f>+B20+1</f>
        <v>5</v>
      </c>
      <c r="C23" s="25" t="s">
        <v>593</v>
      </c>
      <c r="D23" s="25" t="s">
        <v>346</v>
      </c>
      <c r="E23" s="319" t="s">
        <v>594</v>
      </c>
      <c r="F23" s="25" t="s">
        <v>101</v>
      </c>
      <c r="G23" s="53">
        <v>35000</v>
      </c>
      <c r="H23" s="43">
        <f>+G23*2.87%</f>
        <v>1004.5</v>
      </c>
      <c r="I23" s="43">
        <f>+G23*3.04%</f>
        <v>1064</v>
      </c>
      <c r="J23" s="53">
        <v>8130.71</v>
      </c>
      <c r="K23" s="43">
        <v>10301.379999999999</v>
      </c>
      <c r="L23" s="44">
        <f>+G23-K23</f>
        <v>24698.620000000003</v>
      </c>
    </row>
    <row r="24" spans="2:12" s="51" customFormat="1" ht="20.100000000000001" customHeight="1" x14ac:dyDescent="0.25">
      <c r="B24" s="375" t="s">
        <v>103</v>
      </c>
      <c r="C24" s="376"/>
      <c r="D24" s="376"/>
      <c r="E24" s="376"/>
      <c r="F24" s="377"/>
      <c r="G24" s="23">
        <f>+G23</f>
        <v>35000</v>
      </c>
      <c r="H24" s="23">
        <f t="shared" ref="H24:L24" si="4">+H23</f>
        <v>1004.5</v>
      </c>
      <c r="I24" s="23">
        <f t="shared" si="4"/>
        <v>1064</v>
      </c>
      <c r="J24" s="23">
        <f t="shared" si="4"/>
        <v>8130.71</v>
      </c>
      <c r="K24" s="23">
        <f t="shared" si="4"/>
        <v>10301.379999999999</v>
      </c>
      <c r="L24" s="23">
        <f t="shared" si="4"/>
        <v>24698.620000000003</v>
      </c>
    </row>
    <row r="25" spans="2:12" s="25" customFormat="1" ht="20.100000000000001" customHeight="1" thickBot="1" x14ac:dyDescent="0.3">
      <c r="B25" s="30"/>
      <c r="C25" s="28"/>
      <c r="D25" s="30"/>
      <c r="E25" s="29"/>
      <c r="F25" s="87"/>
      <c r="L25" s="24"/>
    </row>
    <row r="26" spans="2:12" s="25" customFormat="1" ht="20.100000000000001" customHeight="1" thickBot="1" x14ac:dyDescent="0.3">
      <c r="B26" s="384" t="s">
        <v>158</v>
      </c>
      <c r="C26" s="385"/>
      <c r="D26" s="385"/>
      <c r="E26" s="385"/>
      <c r="F26" s="385"/>
      <c r="G26" s="385"/>
      <c r="H26" s="385"/>
      <c r="I26" s="385"/>
      <c r="J26" s="385"/>
      <c r="K26" s="385"/>
      <c r="L26" s="386"/>
    </row>
    <row r="27" spans="2:12" s="25" customFormat="1" ht="30" customHeight="1" x14ac:dyDescent="0.25">
      <c r="B27" s="58">
        <f>+B23+1</f>
        <v>6</v>
      </c>
      <c r="C27" s="57" t="s">
        <v>595</v>
      </c>
      <c r="D27" s="58" t="s">
        <v>346</v>
      </c>
      <c r="E27" s="55" t="s">
        <v>215</v>
      </c>
      <c r="F27" s="60" t="s">
        <v>101</v>
      </c>
      <c r="G27" s="53">
        <v>51000</v>
      </c>
      <c r="H27" s="43">
        <f>+G27*2.87%</f>
        <v>1463.7</v>
      </c>
      <c r="I27" s="43">
        <f>+G27*3.04%</f>
        <v>1550.4</v>
      </c>
      <c r="J27" s="43">
        <v>11894.32</v>
      </c>
      <c r="K27" s="43">
        <v>15010.58</v>
      </c>
      <c r="L27" s="44">
        <f>+G27-K27</f>
        <v>35989.42</v>
      </c>
    </row>
    <row r="28" spans="2:12" s="25" customFormat="1" ht="20.100000000000001" customHeight="1" x14ac:dyDescent="0.25">
      <c r="B28" s="375" t="s">
        <v>103</v>
      </c>
      <c r="C28" s="376"/>
      <c r="D28" s="376"/>
      <c r="E28" s="376"/>
      <c r="F28" s="377"/>
      <c r="G28" s="23">
        <f t="shared" ref="G28:L28" si="5">SUM(G27:G27)</f>
        <v>51000</v>
      </c>
      <c r="H28" s="23">
        <f t="shared" si="5"/>
        <v>1463.7</v>
      </c>
      <c r="I28" s="23">
        <f t="shared" si="5"/>
        <v>1550.4</v>
      </c>
      <c r="J28" s="23">
        <f t="shared" si="5"/>
        <v>11894.32</v>
      </c>
      <c r="K28" s="23">
        <f t="shared" si="5"/>
        <v>15010.58</v>
      </c>
      <c r="L28" s="23">
        <f t="shared" si="5"/>
        <v>35989.42</v>
      </c>
    </row>
    <row r="29" spans="2:12" s="26" customFormat="1" ht="20.100000000000001" customHeight="1" thickBot="1" x14ac:dyDescent="0.3">
      <c r="B29" s="34"/>
      <c r="C29" s="34"/>
      <c r="D29" s="34"/>
      <c r="E29" s="34"/>
      <c r="F29" s="93"/>
    </row>
    <row r="30" spans="2:12" s="25" customFormat="1" ht="20.100000000000001" customHeight="1" thickBot="1" x14ac:dyDescent="0.3">
      <c r="B30" s="384" t="s">
        <v>132</v>
      </c>
      <c r="C30" s="385"/>
      <c r="D30" s="385"/>
      <c r="E30" s="385"/>
      <c r="F30" s="385"/>
      <c r="G30" s="385"/>
      <c r="H30" s="385"/>
      <c r="I30" s="385"/>
      <c r="J30" s="385"/>
      <c r="K30" s="385"/>
      <c r="L30" s="386"/>
    </row>
    <row r="31" spans="2:12" s="52" customFormat="1" ht="34.5" customHeight="1" x14ac:dyDescent="0.25">
      <c r="B31" s="42">
        <f>+B27+1</f>
        <v>7</v>
      </c>
      <c r="C31" s="57" t="s">
        <v>49</v>
      </c>
      <c r="D31" s="58" t="s">
        <v>612</v>
      </c>
      <c r="E31" s="55" t="s">
        <v>622</v>
      </c>
      <c r="F31" s="60" t="s">
        <v>169</v>
      </c>
      <c r="G31" s="53">
        <v>10000</v>
      </c>
      <c r="H31" s="43">
        <f>+G31*2.87%</f>
        <v>287</v>
      </c>
      <c r="I31" s="43">
        <f>+G31*3.04%</f>
        <v>304</v>
      </c>
      <c r="J31" s="53">
        <v>1881.8</v>
      </c>
      <c r="K31" s="53">
        <f>SUM(H31:J31)</f>
        <v>2472.8000000000002</v>
      </c>
      <c r="L31" s="44">
        <f>+G31-K31</f>
        <v>7527.2</v>
      </c>
    </row>
    <row r="32" spans="2:12" s="52" customFormat="1" ht="34.5" customHeight="1" x14ac:dyDescent="0.25">
      <c r="B32" s="42">
        <f>+B31+1</f>
        <v>8</v>
      </c>
      <c r="C32" s="57" t="s">
        <v>50</v>
      </c>
      <c r="D32" s="58" t="s">
        <v>346</v>
      </c>
      <c r="E32" s="55" t="s">
        <v>159</v>
      </c>
      <c r="F32" s="60" t="s">
        <v>101</v>
      </c>
      <c r="G32" s="53">
        <v>52000</v>
      </c>
      <c r="H32" s="43">
        <v>1492.4</v>
      </c>
      <c r="I32" s="43">
        <v>1580.8</v>
      </c>
      <c r="J32" s="53">
        <v>12231.7</v>
      </c>
      <c r="K32" s="53">
        <f>SUM(H32:J32)</f>
        <v>15304.900000000001</v>
      </c>
      <c r="L32" s="44">
        <f>+G32-K32</f>
        <v>36695.1</v>
      </c>
    </row>
    <row r="33" spans="2:12" s="25" customFormat="1" ht="20.100000000000001" customHeight="1" x14ac:dyDescent="0.25">
      <c r="B33" s="375" t="s">
        <v>103</v>
      </c>
      <c r="C33" s="376"/>
      <c r="D33" s="376"/>
      <c r="E33" s="376"/>
      <c r="F33" s="377"/>
      <c r="G33" s="23">
        <f t="shared" ref="G33:K33" si="6">SUM(G31:G32)</f>
        <v>62000</v>
      </c>
      <c r="H33" s="23">
        <f t="shared" si="6"/>
        <v>1779.4</v>
      </c>
      <c r="I33" s="23">
        <f t="shared" si="6"/>
        <v>1884.8</v>
      </c>
      <c r="J33" s="23">
        <f t="shared" si="6"/>
        <v>14113.5</v>
      </c>
      <c r="K33" s="23">
        <f t="shared" si="6"/>
        <v>17777.7</v>
      </c>
      <c r="L33" s="23">
        <f>SUM(L31:L32)</f>
        <v>44222.299999999996</v>
      </c>
    </row>
    <row r="34" spans="2:12" s="25" customFormat="1" ht="20.100000000000001" customHeight="1" thickBot="1" x14ac:dyDescent="0.3">
      <c r="B34" s="30"/>
      <c r="C34" s="28"/>
      <c r="D34" s="30"/>
      <c r="E34" s="29"/>
      <c r="F34" s="87"/>
      <c r="L34" s="24"/>
    </row>
    <row r="35" spans="2:12" s="25" customFormat="1" ht="20.100000000000001" customHeight="1" thickBot="1" x14ac:dyDescent="0.3">
      <c r="B35" s="384" t="s">
        <v>133</v>
      </c>
      <c r="C35" s="385"/>
      <c r="D35" s="385"/>
      <c r="E35" s="385"/>
      <c r="F35" s="385"/>
      <c r="G35" s="385"/>
      <c r="H35" s="385"/>
      <c r="I35" s="385"/>
      <c r="J35" s="385"/>
      <c r="K35" s="385"/>
      <c r="L35" s="386"/>
    </row>
    <row r="36" spans="2:12" s="35" customFormat="1" ht="45.6" customHeight="1" x14ac:dyDescent="0.25">
      <c r="B36" s="46">
        <f>+B32+1</f>
        <v>9</v>
      </c>
      <c r="C36" s="72" t="s">
        <v>416</v>
      </c>
      <c r="D36" s="73" t="s">
        <v>346</v>
      </c>
      <c r="E36" s="55" t="s">
        <v>417</v>
      </c>
      <c r="F36" s="88" t="s">
        <v>100</v>
      </c>
      <c r="G36" s="68">
        <v>65000</v>
      </c>
      <c r="H36" s="43">
        <f>+G36*2.87%</f>
        <v>1865.5</v>
      </c>
      <c r="I36" s="43">
        <f>+G36*3.04%</f>
        <v>1976</v>
      </c>
      <c r="J36" s="68">
        <v>15238.55</v>
      </c>
      <c r="K36" s="69">
        <v>19131.13</v>
      </c>
      <c r="L36" s="84">
        <f>+G36-K36</f>
        <v>45868.869999999995</v>
      </c>
    </row>
    <row r="37" spans="2:12" s="25" customFormat="1" ht="29.25" customHeight="1" x14ac:dyDescent="0.25">
      <c r="B37" s="46">
        <f>+B36+1</f>
        <v>10</v>
      </c>
      <c r="C37" s="54" t="s">
        <v>477</v>
      </c>
      <c r="D37" s="22" t="s">
        <v>345</v>
      </c>
      <c r="E37" s="55" t="s">
        <v>122</v>
      </c>
      <c r="F37" s="60" t="s">
        <v>100</v>
      </c>
      <c r="G37" s="56">
        <v>45000</v>
      </c>
      <c r="H37" s="43">
        <f>+G37*2.87%</f>
        <v>1291.5</v>
      </c>
      <c r="I37" s="43">
        <f>+G37*3.04%</f>
        <v>1368</v>
      </c>
      <c r="J37" s="48">
        <v>7400.9372916666662</v>
      </c>
      <c r="K37" s="53">
        <f>SUM(H37:J37)</f>
        <v>10060.437291666665</v>
      </c>
      <c r="L37" s="44">
        <f>+G37-K37</f>
        <v>34939.562708333338</v>
      </c>
    </row>
    <row r="38" spans="2:12" s="25" customFormat="1" ht="20.100000000000001" customHeight="1" x14ac:dyDescent="0.25">
      <c r="B38" s="375" t="s">
        <v>103</v>
      </c>
      <c r="C38" s="376"/>
      <c r="D38" s="376"/>
      <c r="E38" s="376"/>
      <c r="F38" s="377"/>
      <c r="G38" s="23">
        <f>SUM(G36:G37)</f>
        <v>110000</v>
      </c>
      <c r="H38" s="23">
        <f t="shared" ref="H38:L38" si="7">SUM(H36:H37)</f>
        <v>3157</v>
      </c>
      <c r="I38" s="23">
        <f t="shared" si="7"/>
        <v>3344</v>
      </c>
      <c r="J38" s="23">
        <f t="shared" si="7"/>
        <v>22639.487291666665</v>
      </c>
      <c r="K38" s="23">
        <f t="shared" si="7"/>
        <v>29191.567291666666</v>
      </c>
      <c r="L38" s="23">
        <f t="shared" si="7"/>
        <v>80808.432708333334</v>
      </c>
    </row>
    <row r="39" spans="2:12" ht="20.100000000000001" customHeight="1" thickBot="1" x14ac:dyDescent="0.3">
      <c r="B39" s="30"/>
      <c r="C39" s="28"/>
      <c r="D39" s="30"/>
      <c r="E39" s="29"/>
      <c r="F39" s="87"/>
      <c r="G39" s="25"/>
      <c r="H39" s="25"/>
      <c r="I39" s="25"/>
      <c r="J39" s="25"/>
      <c r="K39" s="25"/>
      <c r="L39" s="24"/>
    </row>
    <row r="40" spans="2:12" ht="28.5" customHeight="1" thickBot="1" x14ac:dyDescent="0.3">
      <c r="B40" s="384" t="s">
        <v>136</v>
      </c>
      <c r="C40" s="385"/>
      <c r="D40" s="385"/>
      <c r="E40" s="385"/>
      <c r="F40" s="385"/>
      <c r="G40" s="385"/>
      <c r="H40" s="385"/>
      <c r="I40" s="385"/>
      <c r="J40" s="385"/>
      <c r="K40" s="385"/>
      <c r="L40" s="386"/>
    </row>
    <row r="41" spans="2:12" ht="30.75" customHeight="1" x14ac:dyDescent="0.25">
      <c r="B41" s="58">
        <f>+B37+1</f>
        <v>11</v>
      </c>
      <c r="C41" s="57" t="s">
        <v>427</v>
      </c>
      <c r="D41" s="58" t="s">
        <v>346</v>
      </c>
      <c r="E41" s="59" t="s">
        <v>160</v>
      </c>
      <c r="F41" s="88" t="s">
        <v>100</v>
      </c>
      <c r="G41" s="43">
        <v>70000</v>
      </c>
      <c r="H41" s="43">
        <f>+G41*2.87%</f>
        <v>2009</v>
      </c>
      <c r="I41" s="43">
        <f>+G41*3.04%</f>
        <v>2128</v>
      </c>
      <c r="J41" s="48">
        <v>16465.75</v>
      </c>
      <c r="K41" s="43">
        <f>SUM(H41:J41)</f>
        <v>20602.75</v>
      </c>
      <c r="L41" s="44">
        <f>+G41-K41</f>
        <v>49397.25</v>
      </c>
    </row>
    <row r="42" spans="2:12" s="25" customFormat="1" ht="20.100000000000001" customHeight="1" x14ac:dyDescent="0.25">
      <c r="B42" s="375" t="s">
        <v>103</v>
      </c>
      <c r="C42" s="376"/>
      <c r="D42" s="376"/>
      <c r="E42" s="376"/>
      <c r="F42" s="377"/>
      <c r="G42" s="23">
        <f>SUM(G41:G41)</f>
        <v>70000</v>
      </c>
      <c r="H42" s="23">
        <f t="shared" ref="H42:L42" si="8">SUM(H41:H41)</f>
        <v>2009</v>
      </c>
      <c r="I42" s="23">
        <f t="shared" si="8"/>
        <v>2128</v>
      </c>
      <c r="J42" s="23">
        <f t="shared" si="8"/>
        <v>16465.75</v>
      </c>
      <c r="K42" s="23">
        <f t="shared" si="8"/>
        <v>20602.75</v>
      </c>
      <c r="L42" s="23">
        <f t="shared" si="8"/>
        <v>49397.25</v>
      </c>
    </row>
    <row r="43" spans="2:12" s="25" customFormat="1" ht="20.100000000000001" customHeight="1" thickBot="1" x14ac:dyDescent="0.3">
      <c r="B43" s="3"/>
      <c r="C43" s="12"/>
      <c r="D43" s="3"/>
      <c r="E43" s="12"/>
      <c r="F43" s="89"/>
      <c r="G43" s="2"/>
      <c r="H43" s="1"/>
      <c r="I43" s="1"/>
      <c r="J43" s="1"/>
      <c r="K43" s="1"/>
      <c r="L43" s="1"/>
    </row>
    <row r="44" spans="2:12" s="52" customFormat="1" ht="20.100000000000001" customHeight="1" thickBot="1" x14ac:dyDescent="0.3">
      <c r="B44" s="384" t="s">
        <v>138</v>
      </c>
      <c r="C44" s="385"/>
      <c r="D44" s="385"/>
      <c r="E44" s="385"/>
      <c r="F44" s="385"/>
      <c r="G44" s="385"/>
      <c r="H44" s="385"/>
      <c r="I44" s="385"/>
      <c r="J44" s="385"/>
      <c r="K44" s="385"/>
      <c r="L44" s="386"/>
    </row>
    <row r="45" spans="2:12" s="25" customFormat="1" ht="27.75" customHeight="1" x14ac:dyDescent="0.25">
      <c r="B45" s="58">
        <f>+B41+1</f>
        <v>12</v>
      </c>
      <c r="C45" s="57" t="s">
        <v>53</v>
      </c>
      <c r="D45" s="58" t="s">
        <v>346</v>
      </c>
      <c r="E45" s="74" t="s">
        <v>161</v>
      </c>
      <c r="F45" s="60" t="s">
        <v>101</v>
      </c>
      <c r="G45" s="53">
        <v>34750</v>
      </c>
      <c r="H45" s="43">
        <v>997.32499999999982</v>
      </c>
      <c r="I45" s="43">
        <v>1056.4000000000001</v>
      </c>
      <c r="J45" s="43">
        <v>8174.0687499999985</v>
      </c>
      <c r="K45" s="43">
        <f>SUM(H45:J45)</f>
        <v>10227.793749999999</v>
      </c>
      <c r="L45" s="44">
        <f>+G45-K45</f>
        <v>24522.206250000003</v>
      </c>
    </row>
    <row r="46" spans="2:12" s="25" customFormat="1" ht="20.100000000000001" customHeight="1" x14ac:dyDescent="0.25">
      <c r="B46" s="375" t="s">
        <v>103</v>
      </c>
      <c r="C46" s="376"/>
      <c r="D46" s="376"/>
      <c r="E46" s="376"/>
      <c r="F46" s="377"/>
      <c r="G46" s="23">
        <f t="shared" ref="G46:L46" si="9">SUM(G45:G45)</f>
        <v>34750</v>
      </c>
      <c r="H46" s="23">
        <f t="shared" si="9"/>
        <v>997.32499999999982</v>
      </c>
      <c r="I46" s="23">
        <f t="shared" si="9"/>
        <v>1056.4000000000001</v>
      </c>
      <c r="J46" s="23">
        <f t="shared" si="9"/>
        <v>8174.0687499999985</v>
      </c>
      <c r="K46" s="23">
        <f t="shared" si="9"/>
        <v>10227.793749999999</v>
      </c>
      <c r="L46" s="23">
        <f t="shared" si="9"/>
        <v>24522.206250000003</v>
      </c>
    </row>
    <row r="47" spans="2:12" s="35" customFormat="1" ht="20.100000000000001" customHeight="1" thickBot="1" x14ac:dyDescent="0.3">
      <c r="B47" s="34"/>
      <c r="C47" s="34"/>
      <c r="D47" s="34"/>
      <c r="E47" s="34"/>
      <c r="F47" s="34"/>
      <c r="G47" s="2"/>
      <c r="H47" s="1"/>
      <c r="I47" s="1"/>
      <c r="J47" s="1"/>
      <c r="K47" s="1"/>
      <c r="L47" s="1"/>
    </row>
    <row r="48" spans="2:12" s="25" customFormat="1" ht="31.5" customHeight="1" thickBot="1" x14ac:dyDescent="0.3">
      <c r="B48" s="378" t="s">
        <v>596</v>
      </c>
      <c r="C48" s="379"/>
      <c r="D48" s="379"/>
      <c r="E48" s="379"/>
      <c r="F48" s="379"/>
      <c r="G48" s="379"/>
      <c r="H48" s="379"/>
      <c r="I48" s="379"/>
      <c r="J48" s="379"/>
      <c r="K48" s="379"/>
      <c r="L48" s="380"/>
    </row>
    <row r="49" spans="2:12" customFormat="1" ht="33" customHeight="1" x14ac:dyDescent="0.25">
      <c r="B49" s="22">
        <f>+B45+1</f>
        <v>13</v>
      </c>
      <c r="C49" s="54" t="s">
        <v>475</v>
      </c>
      <c r="D49" s="22" t="s">
        <v>346</v>
      </c>
      <c r="E49" s="55" t="s">
        <v>597</v>
      </c>
      <c r="F49" s="60" t="s">
        <v>476</v>
      </c>
      <c r="G49" s="56">
        <v>55000</v>
      </c>
      <c r="H49" s="43">
        <f>+G49*2.87%</f>
        <v>1578.5</v>
      </c>
      <c r="I49" s="43">
        <f>+G49*3.04%</f>
        <v>1672</v>
      </c>
      <c r="J49" s="48">
        <v>12937.374999999998</v>
      </c>
      <c r="K49" s="43">
        <f>SUM(H49:J49)</f>
        <v>16187.874999999998</v>
      </c>
      <c r="L49" s="49">
        <f>+G49-K49</f>
        <v>38812.125</v>
      </c>
    </row>
    <row r="50" spans="2:12" customFormat="1" ht="20.100000000000001" customHeight="1" x14ac:dyDescent="0.25">
      <c r="B50" s="375" t="s">
        <v>103</v>
      </c>
      <c r="C50" s="376"/>
      <c r="D50" s="376"/>
      <c r="E50" s="376"/>
      <c r="F50" s="377"/>
      <c r="G50" s="23">
        <f>SUM(G49)</f>
        <v>55000</v>
      </c>
      <c r="H50" s="23">
        <f t="shared" ref="H50:L50" si="10">SUM(H48:H49)</f>
        <v>1578.5</v>
      </c>
      <c r="I50" s="23">
        <f t="shared" si="10"/>
        <v>1672</v>
      </c>
      <c r="J50" s="23">
        <f t="shared" si="10"/>
        <v>12937.374999999998</v>
      </c>
      <c r="K50" s="23">
        <f t="shared" si="10"/>
        <v>16187.874999999998</v>
      </c>
      <c r="L50" s="23">
        <f t="shared" si="10"/>
        <v>38812.125</v>
      </c>
    </row>
    <row r="51" spans="2:12" customFormat="1" ht="20.100000000000001" customHeight="1" thickBot="1" x14ac:dyDescent="0.3">
      <c r="B51" s="34"/>
      <c r="C51" s="34"/>
      <c r="D51" s="34"/>
      <c r="E51" s="34"/>
      <c r="F51" s="34"/>
      <c r="G51" s="2"/>
      <c r="H51" s="1"/>
      <c r="I51" s="1"/>
      <c r="J51" s="1"/>
      <c r="K51" s="1"/>
      <c r="L51" s="1"/>
    </row>
    <row r="52" spans="2:12" customFormat="1" ht="29.25" customHeight="1" thickBot="1" x14ac:dyDescent="0.3">
      <c r="B52" s="384" t="s">
        <v>142</v>
      </c>
      <c r="C52" s="385"/>
      <c r="D52" s="385"/>
      <c r="E52" s="385"/>
      <c r="F52" s="385"/>
      <c r="G52" s="385"/>
      <c r="H52" s="385"/>
      <c r="I52" s="385"/>
      <c r="J52" s="385"/>
      <c r="K52" s="385"/>
      <c r="L52" s="386"/>
    </row>
    <row r="53" spans="2:12" s="25" customFormat="1" ht="30" customHeight="1" x14ac:dyDescent="0.25">
      <c r="B53" s="22">
        <f>+B49+1</f>
        <v>14</v>
      </c>
      <c r="C53" s="54" t="s">
        <v>385</v>
      </c>
      <c r="D53" s="22" t="s">
        <v>345</v>
      </c>
      <c r="E53" s="55" t="s">
        <v>386</v>
      </c>
      <c r="F53" s="60" t="s">
        <v>169</v>
      </c>
      <c r="G53" s="48">
        <v>65000</v>
      </c>
      <c r="H53" s="43">
        <f>+G53*2.87%</f>
        <v>1865.5</v>
      </c>
      <c r="I53" s="43">
        <f>+G53*3.04%</f>
        <v>1976</v>
      </c>
      <c r="J53" s="48">
        <v>15289.625</v>
      </c>
      <c r="K53" s="43">
        <f>SUM(H53:J53)</f>
        <v>19131.125</v>
      </c>
      <c r="L53" s="44">
        <f>+G53-K53</f>
        <v>45868.875</v>
      </c>
    </row>
    <row r="54" spans="2:12" s="35" customFormat="1" ht="20.100000000000001" customHeight="1" x14ac:dyDescent="0.25">
      <c r="B54" s="375" t="s">
        <v>103</v>
      </c>
      <c r="C54" s="376"/>
      <c r="D54" s="376"/>
      <c r="E54" s="376"/>
      <c r="F54" s="377"/>
      <c r="G54" s="23">
        <f t="shared" ref="G54:L54" si="11">SUM(G53:G53)</f>
        <v>65000</v>
      </c>
      <c r="H54" s="23">
        <f t="shared" si="11"/>
        <v>1865.5</v>
      </c>
      <c r="I54" s="23">
        <f t="shared" si="11"/>
        <v>1976</v>
      </c>
      <c r="J54" s="23">
        <f t="shared" si="11"/>
        <v>15289.625</v>
      </c>
      <c r="K54" s="23">
        <f t="shared" si="11"/>
        <v>19131.125</v>
      </c>
      <c r="L54" s="23">
        <f t="shared" si="11"/>
        <v>45868.875</v>
      </c>
    </row>
    <row r="55" spans="2:12" s="31" customFormat="1" ht="20.100000000000001" customHeight="1" thickBot="1" x14ac:dyDescent="0.3">
      <c r="B55"/>
      <c r="C55"/>
      <c r="D55" s="61"/>
      <c r="E55"/>
      <c r="F55" s="85"/>
      <c r="G55"/>
      <c r="H55"/>
      <c r="I55"/>
      <c r="J55"/>
      <c r="K55"/>
      <c r="L55"/>
    </row>
    <row r="56" spans="2:12" s="25" customFormat="1" ht="33" customHeight="1" thickBot="1" x14ac:dyDescent="0.3">
      <c r="B56" s="384" t="s">
        <v>143</v>
      </c>
      <c r="C56" s="385"/>
      <c r="D56" s="385"/>
      <c r="E56" s="385"/>
      <c r="F56" s="385"/>
      <c r="G56" s="385"/>
      <c r="H56" s="385"/>
      <c r="I56" s="385"/>
      <c r="J56" s="385"/>
      <c r="K56" s="385"/>
      <c r="L56" s="386"/>
    </row>
    <row r="57" spans="2:12" s="25" customFormat="1" ht="33" customHeight="1" x14ac:dyDescent="0.25">
      <c r="B57" s="22">
        <f>+B53+1</f>
        <v>15</v>
      </c>
      <c r="C57" s="54" t="s">
        <v>167</v>
      </c>
      <c r="D57" s="22" t="s">
        <v>345</v>
      </c>
      <c r="E57" s="55" t="s">
        <v>227</v>
      </c>
      <c r="F57" s="60" t="s">
        <v>101</v>
      </c>
      <c r="G57" s="48">
        <v>65000</v>
      </c>
      <c r="H57" s="43">
        <f>+G57*2.87%</f>
        <v>1865.5</v>
      </c>
      <c r="I57" s="43">
        <f>+G57*3.04%</f>
        <v>1976</v>
      </c>
      <c r="J57" s="48">
        <v>15238.55</v>
      </c>
      <c r="K57" s="43">
        <v>19131.13</v>
      </c>
      <c r="L57" s="44">
        <f>+G57-K57</f>
        <v>45868.869999999995</v>
      </c>
    </row>
    <row r="58" spans="2:12" s="25" customFormat="1" ht="26.25" customHeight="1" x14ac:dyDescent="0.25">
      <c r="B58" s="22">
        <f>+B57+1</f>
        <v>16</v>
      </c>
      <c r="C58" s="54" t="s">
        <v>15</v>
      </c>
      <c r="D58" s="22" t="s">
        <v>346</v>
      </c>
      <c r="E58" s="55" t="s">
        <v>122</v>
      </c>
      <c r="F58" s="60" t="s">
        <v>100</v>
      </c>
      <c r="G58" s="56">
        <v>40000</v>
      </c>
      <c r="H58" s="43">
        <f>+G58*2.87%</f>
        <v>1148</v>
      </c>
      <c r="I58" s="43">
        <f>+G58*3.04%</f>
        <v>1216</v>
      </c>
      <c r="J58" s="48">
        <v>6735.59</v>
      </c>
      <c r="K58" s="53">
        <v>9130.31</v>
      </c>
      <c r="L58" s="44">
        <f>+G58-K58</f>
        <v>30869.690000000002</v>
      </c>
    </row>
    <row r="59" spans="2:12" s="25" customFormat="1" ht="20.100000000000001" customHeight="1" thickBot="1" x14ac:dyDescent="0.3">
      <c r="B59" s="375" t="s">
        <v>103</v>
      </c>
      <c r="C59" s="376"/>
      <c r="D59" s="376"/>
      <c r="E59" s="376"/>
      <c r="F59" s="377"/>
      <c r="G59" s="23">
        <f>SUM(G57:G58)</f>
        <v>105000</v>
      </c>
      <c r="H59" s="23">
        <f>SUM(H57:H58)</f>
        <v>3013.5</v>
      </c>
      <c r="I59" s="23">
        <f>SUM(I57:I58)</f>
        <v>3192</v>
      </c>
      <c r="J59" s="23">
        <f t="shared" ref="J59:L59" si="12">SUM(J57:J58)</f>
        <v>21974.14</v>
      </c>
      <c r="K59" s="23">
        <f t="shared" si="12"/>
        <v>28261.440000000002</v>
      </c>
      <c r="L59" s="23">
        <f t="shared" si="12"/>
        <v>76738.559999999998</v>
      </c>
    </row>
    <row r="60" spans="2:12" s="35" customFormat="1" ht="20.100000000000001" customHeight="1" thickBot="1" x14ac:dyDescent="0.3">
      <c r="B60" s="384" t="s">
        <v>418</v>
      </c>
      <c r="C60" s="385"/>
      <c r="D60" s="385"/>
      <c r="E60" s="385"/>
      <c r="F60" s="385"/>
      <c r="G60" s="385"/>
      <c r="H60" s="385"/>
      <c r="I60" s="385"/>
      <c r="J60" s="385"/>
      <c r="K60" s="385"/>
      <c r="L60" s="386"/>
    </row>
    <row r="61" spans="2:12" s="35" customFormat="1" ht="20.100000000000001" customHeight="1" x14ac:dyDescent="0.25">
      <c r="B61" s="22">
        <f>+B58+1</f>
        <v>17</v>
      </c>
      <c r="C61" s="54" t="s">
        <v>83</v>
      </c>
      <c r="D61" s="22" t="s">
        <v>346</v>
      </c>
      <c r="E61" s="55" t="s">
        <v>419</v>
      </c>
      <c r="F61" s="75" t="s">
        <v>169</v>
      </c>
      <c r="G61" s="56">
        <v>55000</v>
      </c>
      <c r="H61" s="43">
        <f>+G61*2.87%</f>
        <v>1578.5</v>
      </c>
      <c r="I61" s="43">
        <f>+G61*3.04%</f>
        <v>1672</v>
      </c>
      <c r="J61" s="48">
        <v>12937.374999999998</v>
      </c>
      <c r="K61" s="43">
        <f>SUM(H61:J61)</f>
        <v>16187.874999999998</v>
      </c>
      <c r="L61" s="44">
        <f>+G61-K61</f>
        <v>38812.125</v>
      </c>
    </row>
    <row r="62" spans="2:12" ht="20.100000000000001" customHeight="1" x14ac:dyDescent="0.25">
      <c r="B62" s="375" t="s">
        <v>103</v>
      </c>
      <c r="C62" s="376"/>
      <c r="D62" s="376"/>
      <c r="E62" s="376"/>
      <c r="F62" s="377"/>
      <c r="G62" s="23">
        <f t="shared" ref="G62:L62" si="13">SUM(G61:G61)</f>
        <v>55000</v>
      </c>
      <c r="H62" s="23">
        <f t="shared" si="13"/>
        <v>1578.5</v>
      </c>
      <c r="I62" s="23">
        <f t="shared" si="13"/>
        <v>1672</v>
      </c>
      <c r="J62" s="23">
        <f t="shared" si="13"/>
        <v>12937.374999999998</v>
      </c>
      <c r="K62" s="23">
        <f t="shared" si="13"/>
        <v>16187.874999999998</v>
      </c>
      <c r="L62" s="23">
        <f t="shared" si="13"/>
        <v>38812.125</v>
      </c>
    </row>
    <row r="63" spans="2:12" ht="20.100000000000001" customHeight="1" thickBot="1" x14ac:dyDescent="0.25"/>
    <row r="64" spans="2:12" s="35" customFormat="1" ht="20.100000000000001" customHeight="1" thickBot="1" x14ac:dyDescent="0.3">
      <c r="B64" s="384" t="s">
        <v>146</v>
      </c>
      <c r="C64" s="385"/>
      <c r="D64" s="385"/>
      <c r="E64" s="385"/>
      <c r="F64" s="385"/>
      <c r="G64" s="385"/>
      <c r="H64" s="385"/>
      <c r="I64" s="385"/>
      <c r="J64" s="385"/>
      <c r="K64" s="385"/>
      <c r="L64" s="386"/>
    </row>
    <row r="65" spans="2:12" s="31" customFormat="1" ht="20.100000000000001" customHeight="1" x14ac:dyDescent="0.25">
      <c r="B65" s="42">
        <f>B61+1</f>
        <v>18</v>
      </c>
      <c r="C65" s="57" t="s">
        <v>234</v>
      </c>
      <c r="D65" s="58" t="s">
        <v>345</v>
      </c>
      <c r="E65" s="59" t="s">
        <v>235</v>
      </c>
      <c r="F65" s="60" t="s">
        <v>101</v>
      </c>
      <c r="G65" s="53">
        <v>28500</v>
      </c>
      <c r="H65" s="48">
        <v>817.94999999999982</v>
      </c>
      <c r="I65" s="48">
        <v>866.40000000000009</v>
      </c>
      <c r="J65" s="48">
        <v>6652.83</v>
      </c>
      <c r="K65" s="43">
        <v>8388.26</v>
      </c>
      <c r="L65" s="44">
        <f>+G65-K65</f>
        <v>20111.739999999998</v>
      </c>
    </row>
    <row r="66" spans="2:12" customFormat="1" ht="20.100000000000001" customHeight="1" x14ac:dyDescent="0.25">
      <c r="B66" s="375" t="s">
        <v>103</v>
      </c>
      <c r="C66" s="376"/>
      <c r="D66" s="376"/>
      <c r="E66" s="376"/>
      <c r="F66" s="377"/>
      <c r="G66" s="23">
        <f t="shared" ref="G66:L66" si="14">SUM(G65:G65)</f>
        <v>28500</v>
      </c>
      <c r="H66" s="23">
        <f t="shared" si="14"/>
        <v>817.94999999999982</v>
      </c>
      <c r="I66" s="23">
        <f t="shared" si="14"/>
        <v>866.40000000000009</v>
      </c>
      <c r="J66" s="23">
        <f t="shared" si="14"/>
        <v>6652.83</v>
      </c>
      <c r="K66" s="23">
        <f t="shared" si="14"/>
        <v>8388.26</v>
      </c>
      <c r="L66" s="23">
        <f t="shared" si="14"/>
        <v>20111.739999999998</v>
      </c>
    </row>
    <row r="67" spans="2:12" customFormat="1" ht="20.100000000000001" customHeight="1" thickBot="1" x14ac:dyDescent="0.3">
      <c r="B67" s="34"/>
      <c r="C67" s="34"/>
      <c r="D67" s="34"/>
      <c r="E67" s="34"/>
      <c r="F67" s="93"/>
      <c r="G67" s="26"/>
      <c r="H67" s="26"/>
      <c r="I67" s="26"/>
      <c r="J67" s="26"/>
      <c r="K67" s="26"/>
      <c r="L67" s="26"/>
    </row>
    <row r="68" spans="2:12" s="35" customFormat="1" ht="27" customHeight="1" thickBot="1" x14ac:dyDescent="0.3">
      <c r="B68" s="378" t="s">
        <v>147</v>
      </c>
      <c r="C68" s="379"/>
      <c r="D68" s="379"/>
      <c r="E68" s="379"/>
      <c r="F68" s="379"/>
      <c r="G68" s="379"/>
      <c r="H68" s="379"/>
      <c r="I68" s="379"/>
      <c r="J68" s="379"/>
      <c r="K68" s="379"/>
      <c r="L68" s="380"/>
    </row>
    <row r="69" spans="2:12" s="31" customFormat="1" ht="33" customHeight="1" x14ac:dyDescent="0.25">
      <c r="B69" s="46">
        <f>+B65+1</f>
        <v>19</v>
      </c>
      <c r="C69" s="54" t="s">
        <v>59</v>
      </c>
      <c r="D69" s="22" t="s">
        <v>346</v>
      </c>
      <c r="E69" s="55" t="s">
        <v>172</v>
      </c>
      <c r="F69" s="60" t="s">
        <v>101</v>
      </c>
      <c r="G69" s="56">
        <v>41500</v>
      </c>
      <c r="H69" s="48">
        <v>1191.0500000000002</v>
      </c>
      <c r="I69" s="48">
        <v>1261.5999999999999</v>
      </c>
      <c r="J69" s="48">
        <v>9761.84</v>
      </c>
      <c r="K69" s="43">
        <f>SUM(H69:J69)</f>
        <v>12214.49</v>
      </c>
      <c r="L69" s="49">
        <f>+G69-K69</f>
        <v>29285.510000000002</v>
      </c>
    </row>
    <row r="70" spans="2:12" customFormat="1" ht="20.100000000000001" customHeight="1" x14ac:dyDescent="0.25">
      <c r="B70" s="375" t="s">
        <v>103</v>
      </c>
      <c r="C70" s="376"/>
      <c r="D70" s="376"/>
      <c r="E70" s="376"/>
      <c r="F70" s="377"/>
      <c r="G70" s="23">
        <f>SUM(G69)</f>
        <v>41500</v>
      </c>
      <c r="H70" s="23">
        <f t="shared" ref="H70:L70" si="15">SUM(H68:H69)</f>
        <v>1191.0500000000002</v>
      </c>
      <c r="I70" s="23">
        <f t="shared" si="15"/>
        <v>1261.5999999999999</v>
      </c>
      <c r="J70" s="23">
        <f t="shared" si="15"/>
        <v>9761.84</v>
      </c>
      <c r="K70" s="23">
        <f t="shared" si="15"/>
        <v>12214.49</v>
      </c>
      <c r="L70" s="23">
        <f t="shared" si="15"/>
        <v>29285.510000000002</v>
      </c>
    </row>
    <row r="71" spans="2:12" customFormat="1" ht="20.100000000000001" customHeight="1" thickBot="1" x14ac:dyDescent="0.3">
      <c r="B71" s="34"/>
      <c r="C71" s="34"/>
      <c r="D71" s="34"/>
      <c r="E71" s="34"/>
      <c r="F71" s="93"/>
      <c r="G71" s="51"/>
      <c r="H71" s="51"/>
      <c r="I71" s="51"/>
      <c r="J71" s="51"/>
      <c r="K71" s="51"/>
      <c r="L71" s="51"/>
    </row>
    <row r="72" spans="2:12" s="35" customFormat="1" ht="35.25" customHeight="1" thickBot="1" x14ac:dyDescent="0.3">
      <c r="B72" s="378" t="s">
        <v>73</v>
      </c>
      <c r="C72" s="379"/>
      <c r="D72" s="379"/>
      <c r="E72" s="379"/>
      <c r="F72" s="379"/>
      <c r="G72" s="379"/>
      <c r="H72" s="379"/>
      <c r="I72" s="379"/>
      <c r="J72" s="379"/>
      <c r="K72" s="379"/>
      <c r="L72" s="380"/>
    </row>
    <row r="73" spans="2:12" s="35" customFormat="1" ht="31.5" customHeight="1" x14ac:dyDescent="0.25">
      <c r="B73" s="22">
        <f>+B69+1</f>
        <v>20</v>
      </c>
      <c r="C73" s="54" t="s">
        <v>9</v>
      </c>
      <c r="D73" s="22" t="s">
        <v>346</v>
      </c>
      <c r="E73" s="55" t="s">
        <v>409</v>
      </c>
      <c r="F73" s="60" t="s">
        <v>169</v>
      </c>
      <c r="G73" s="56">
        <v>5000</v>
      </c>
      <c r="H73" s="48">
        <f>+G73*2.87%</f>
        <v>143.5</v>
      </c>
      <c r="I73" s="48">
        <f>+G73*3.04%</f>
        <v>152</v>
      </c>
      <c r="J73" s="48">
        <v>1176.1300000000001</v>
      </c>
      <c r="K73" s="43">
        <f>SUM(H73:J73)</f>
        <v>1471.63</v>
      </c>
      <c r="L73" s="44">
        <f>+G73-K73</f>
        <v>3528.37</v>
      </c>
    </row>
    <row r="74" spans="2:12" s="35" customFormat="1" ht="20.100000000000001" customHeight="1" x14ac:dyDescent="0.25">
      <c r="B74" s="375" t="s">
        <v>103</v>
      </c>
      <c r="C74" s="376"/>
      <c r="D74" s="376"/>
      <c r="E74" s="376"/>
      <c r="F74" s="377"/>
      <c r="G74" s="23">
        <f t="shared" ref="G74:L74" si="16">SUM(G73:G73)</f>
        <v>5000</v>
      </c>
      <c r="H74" s="23">
        <f t="shared" si="16"/>
        <v>143.5</v>
      </c>
      <c r="I74" s="23">
        <f t="shared" si="16"/>
        <v>152</v>
      </c>
      <c r="J74" s="23">
        <f t="shared" si="16"/>
        <v>1176.1300000000001</v>
      </c>
      <c r="K74" s="23">
        <f t="shared" si="16"/>
        <v>1471.63</v>
      </c>
      <c r="L74" s="23">
        <f t="shared" si="16"/>
        <v>3528.37</v>
      </c>
    </row>
    <row r="75" spans="2:12" s="25" customFormat="1" ht="20.100000000000001" customHeight="1" thickBot="1" x14ac:dyDescent="0.3">
      <c r="B75" s="34"/>
      <c r="C75" s="34"/>
      <c r="D75" s="34"/>
      <c r="E75" s="34"/>
      <c r="F75" s="93"/>
      <c r="G75" s="26"/>
      <c r="H75" s="26"/>
      <c r="I75" s="26"/>
      <c r="J75" s="26"/>
      <c r="K75" s="26"/>
      <c r="L75" s="26"/>
    </row>
    <row r="76" spans="2:12" s="25" customFormat="1" ht="37.5" customHeight="1" thickBot="1" x14ac:dyDescent="0.3">
      <c r="B76" s="384" t="s">
        <v>420</v>
      </c>
      <c r="C76" s="385"/>
      <c r="D76" s="385"/>
      <c r="E76" s="385"/>
      <c r="F76" s="385"/>
      <c r="G76" s="385"/>
      <c r="H76" s="385"/>
      <c r="I76" s="385"/>
      <c r="J76" s="385"/>
      <c r="K76" s="385"/>
      <c r="L76" s="386"/>
    </row>
    <row r="77" spans="2:12" s="25" customFormat="1" ht="29.25" customHeight="1" x14ac:dyDescent="0.25">
      <c r="B77" s="22">
        <f>B73+1</f>
        <v>21</v>
      </c>
      <c r="C77" s="54" t="s">
        <v>421</v>
      </c>
      <c r="D77" s="22" t="s">
        <v>346</v>
      </c>
      <c r="E77" s="55" t="s">
        <v>422</v>
      </c>
      <c r="F77" s="60" t="s">
        <v>169</v>
      </c>
      <c r="G77" s="48">
        <v>95000</v>
      </c>
      <c r="H77" s="43">
        <f>+G77*2.87%</f>
        <v>2726.5</v>
      </c>
      <c r="I77" s="43">
        <f>+G77*3.04%</f>
        <v>2888</v>
      </c>
      <c r="J77" s="76">
        <v>22346.38</v>
      </c>
      <c r="K77" s="43">
        <f>SUM(H77:J77)</f>
        <v>27960.880000000001</v>
      </c>
      <c r="L77" s="44">
        <f>+G77-K77</f>
        <v>67039.12</v>
      </c>
    </row>
    <row r="78" spans="2:12" s="25" customFormat="1" ht="20.100000000000001" customHeight="1" x14ac:dyDescent="0.25">
      <c r="B78" s="46">
        <f>+B77+1</f>
        <v>22</v>
      </c>
      <c r="C78" s="47" t="s">
        <v>436</v>
      </c>
      <c r="D78" s="46" t="s">
        <v>346</v>
      </c>
      <c r="E78" s="50" t="s">
        <v>437</v>
      </c>
      <c r="F78" s="75" t="s">
        <v>101</v>
      </c>
      <c r="G78" s="48">
        <v>30000</v>
      </c>
      <c r="H78" s="43">
        <f>+G78*2.87%</f>
        <v>861</v>
      </c>
      <c r="I78" s="43">
        <f>+G78*3.04%</f>
        <v>912</v>
      </c>
      <c r="J78" s="76">
        <v>5324.24</v>
      </c>
      <c r="K78" s="43">
        <v>7127.96</v>
      </c>
      <c r="L78" s="44">
        <f>+G78-K78</f>
        <v>22872.04</v>
      </c>
    </row>
    <row r="79" spans="2:12" s="25" customFormat="1" ht="20.100000000000001" customHeight="1" x14ac:dyDescent="0.25">
      <c r="B79" s="375" t="s">
        <v>103</v>
      </c>
      <c r="C79" s="376"/>
      <c r="D79" s="376"/>
      <c r="E79" s="376"/>
      <c r="F79" s="377"/>
      <c r="G79" s="23">
        <f>SUM(G77:G78)</f>
        <v>125000</v>
      </c>
      <c r="H79" s="23">
        <f t="shared" ref="H79:L79" si="17">SUM(H77:H78)</f>
        <v>3587.5</v>
      </c>
      <c r="I79" s="23">
        <f t="shared" si="17"/>
        <v>3800</v>
      </c>
      <c r="J79" s="23">
        <f t="shared" si="17"/>
        <v>27670.620000000003</v>
      </c>
      <c r="K79" s="23">
        <f t="shared" si="17"/>
        <v>35088.840000000004</v>
      </c>
      <c r="L79" s="23">
        <f t="shared" si="17"/>
        <v>89911.16</v>
      </c>
    </row>
    <row r="80" spans="2:12" s="25" customFormat="1" ht="20.100000000000001" customHeight="1" thickBot="1" x14ac:dyDescent="0.3">
      <c r="B80" s="34"/>
      <c r="C80" s="34"/>
      <c r="D80" s="34"/>
      <c r="E80" s="34"/>
      <c r="F80" s="93"/>
      <c r="G80" s="26"/>
      <c r="H80" s="26"/>
      <c r="I80" s="26"/>
      <c r="J80" s="26"/>
      <c r="K80" s="26"/>
      <c r="L80" s="26"/>
    </row>
    <row r="81" spans="2:12" s="25" customFormat="1" ht="33.75" customHeight="1" thickBot="1" x14ac:dyDescent="0.3">
      <c r="B81" s="384" t="s">
        <v>74</v>
      </c>
      <c r="C81" s="385"/>
      <c r="D81" s="385"/>
      <c r="E81" s="385"/>
      <c r="F81" s="385"/>
      <c r="G81" s="385"/>
      <c r="H81" s="385"/>
      <c r="I81" s="385"/>
      <c r="J81" s="385"/>
      <c r="K81" s="385"/>
      <c r="L81" s="386"/>
    </row>
    <row r="82" spans="2:12" s="25" customFormat="1" ht="30.75" customHeight="1" x14ac:dyDescent="0.25">
      <c r="B82" s="22">
        <f>+B78+1</f>
        <v>23</v>
      </c>
      <c r="C82" s="54" t="s">
        <v>389</v>
      </c>
      <c r="D82" s="22" t="s">
        <v>346</v>
      </c>
      <c r="E82" s="55" t="s">
        <v>390</v>
      </c>
      <c r="F82" s="60" t="s">
        <v>169</v>
      </c>
      <c r="G82" s="48">
        <v>100000</v>
      </c>
      <c r="H82" s="43">
        <f>+G82*2.87%</f>
        <v>2870</v>
      </c>
      <c r="I82" s="43">
        <f>+G82*3.04%</f>
        <v>3040</v>
      </c>
      <c r="J82" s="70">
        <v>23522.5</v>
      </c>
      <c r="K82" s="43">
        <f>SUM(H82:J82)</f>
        <v>29432.5</v>
      </c>
      <c r="L82" s="44">
        <f>+G82-K82</f>
        <v>70567.5</v>
      </c>
    </row>
    <row r="83" spans="2:12" s="25" customFormat="1" ht="30" customHeight="1" x14ac:dyDescent="0.25">
      <c r="B83" s="22">
        <f>+B82+1</f>
        <v>24</v>
      </c>
      <c r="C83" s="54" t="s">
        <v>115</v>
      </c>
      <c r="D83" s="22" t="s">
        <v>346</v>
      </c>
      <c r="E83" s="55" t="s">
        <v>438</v>
      </c>
      <c r="F83" s="60" t="s">
        <v>100</v>
      </c>
      <c r="G83" s="56">
        <v>35000</v>
      </c>
      <c r="H83" s="43">
        <f>+G83*2.87%</f>
        <v>1004.5</v>
      </c>
      <c r="I83" s="43">
        <f>+G83*3.04%</f>
        <v>1064</v>
      </c>
      <c r="J83" s="70">
        <v>6252.61</v>
      </c>
      <c r="K83" s="53">
        <f>SUM(H83:J83)</f>
        <v>8321.11</v>
      </c>
      <c r="L83" s="44">
        <f>+G83-K83</f>
        <v>26678.89</v>
      </c>
    </row>
    <row r="84" spans="2:12" s="25" customFormat="1" ht="20.100000000000001" customHeight="1" x14ac:dyDescent="0.25">
      <c r="B84" s="22" t="s">
        <v>103</v>
      </c>
      <c r="C84" s="54"/>
      <c r="D84" s="22"/>
      <c r="E84" s="55"/>
      <c r="F84" s="60"/>
      <c r="G84" s="23">
        <f t="shared" ref="G84:L84" si="18">SUM(G82:G83)</f>
        <v>135000</v>
      </c>
      <c r="H84" s="23">
        <f t="shared" si="18"/>
        <v>3874.5</v>
      </c>
      <c r="I84" s="23">
        <f t="shared" si="18"/>
        <v>4104</v>
      </c>
      <c r="J84" s="23">
        <f t="shared" si="18"/>
        <v>29775.11</v>
      </c>
      <c r="K84" s="23">
        <f t="shared" si="18"/>
        <v>37753.61</v>
      </c>
      <c r="L84" s="23">
        <f t="shared" si="18"/>
        <v>97246.39</v>
      </c>
    </row>
    <row r="85" spans="2:12" s="25" customFormat="1" ht="20.100000000000001" customHeight="1" thickBot="1" x14ac:dyDescent="0.3">
      <c r="B85" s="34"/>
      <c r="C85" s="34"/>
      <c r="D85" s="34"/>
      <c r="E85" s="34"/>
      <c r="F85" s="93"/>
      <c r="G85" s="26"/>
      <c r="H85" s="26"/>
      <c r="I85" s="26"/>
      <c r="J85" s="26"/>
      <c r="K85" s="26"/>
      <c r="L85" s="26"/>
    </row>
    <row r="86" spans="2:12" s="25" customFormat="1" ht="33" customHeight="1" thickBot="1" x14ac:dyDescent="0.3">
      <c r="B86" s="372" t="s">
        <v>395</v>
      </c>
      <c r="C86" s="373"/>
      <c r="D86" s="373"/>
      <c r="E86" s="373"/>
      <c r="F86" s="373"/>
      <c r="G86" s="373"/>
      <c r="H86" s="373"/>
      <c r="I86" s="373"/>
      <c r="J86" s="373"/>
      <c r="K86" s="373"/>
      <c r="L86" s="374"/>
    </row>
    <row r="87" spans="2:12" s="25" customFormat="1" ht="33.75" customHeight="1" x14ac:dyDescent="0.25">
      <c r="B87" s="22">
        <f>+B83+1</f>
        <v>25</v>
      </c>
      <c r="C87" s="54" t="s">
        <v>394</v>
      </c>
      <c r="D87" s="22" t="s">
        <v>346</v>
      </c>
      <c r="E87" s="55" t="s">
        <v>551</v>
      </c>
      <c r="F87" s="60" t="s">
        <v>169</v>
      </c>
      <c r="G87" s="56">
        <v>35000</v>
      </c>
      <c r="H87" s="48">
        <v>1004.5</v>
      </c>
      <c r="I87" s="48">
        <v>1064</v>
      </c>
      <c r="J87" s="48">
        <v>6252.6124166666668</v>
      </c>
      <c r="K87" s="43">
        <f>SUM(H87:J87)</f>
        <v>8321.1124166666668</v>
      </c>
      <c r="L87" s="43">
        <f>+G87-K87</f>
        <v>26678.887583333333</v>
      </c>
    </row>
    <row r="88" spans="2:12" s="25" customFormat="1" ht="20.100000000000001" customHeight="1" x14ac:dyDescent="0.25">
      <c r="B88" s="375" t="s">
        <v>103</v>
      </c>
      <c r="C88" s="376"/>
      <c r="D88" s="376"/>
      <c r="E88" s="376"/>
      <c r="F88" s="377"/>
      <c r="G88" s="23">
        <f t="shared" ref="G88:L88" si="19">SUM(G87:G87)</f>
        <v>35000</v>
      </c>
      <c r="H88" s="23">
        <f t="shared" si="19"/>
        <v>1004.5</v>
      </c>
      <c r="I88" s="23">
        <f t="shared" si="19"/>
        <v>1064</v>
      </c>
      <c r="J88" s="23">
        <f t="shared" si="19"/>
        <v>6252.6124166666668</v>
      </c>
      <c r="K88" s="23">
        <f t="shared" si="19"/>
        <v>8321.1124166666668</v>
      </c>
      <c r="L88" s="23">
        <f t="shared" si="19"/>
        <v>26678.887583333333</v>
      </c>
    </row>
    <row r="89" spans="2:12" s="25" customFormat="1" ht="20.100000000000001" customHeight="1" thickBot="1" x14ac:dyDescent="0.3">
      <c r="B89" s="34"/>
      <c r="C89" s="34"/>
      <c r="D89" s="34"/>
      <c r="E89" s="34"/>
      <c r="F89" s="93"/>
      <c r="G89"/>
      <c r="H89"/>
      <c r="I89"/>
      <c r="J89"/>
      <c r="K89"/>
      <c r="L89"/>
    </row>
    <row r="90" spans="2:12" s="25" customFormat="1" ht="20.100000000000001" customHeight="1" thickBot="1" x14ac:dyDescent="0.3">
      <c r="B90" s="381" t="s">
        <v>254</v>
      </c>
      <c r="C90" s="382"/>
      <c r="D90" s="382"/>
      <c r="E90" s="382"/>
      <c r="F90" s="382"/>
      <c r="G90" s="382"/>
      <c r="H90" s="382"/>
      <c r="I90" s="382"/>
      <c r="J90" s="382"/>
      <c r="K90" s="382"/>
      <c r="L90" s="383"/>
    </row>
    <row r="91" spans="2:12" s="35" customFormat="1" ht="31.5" customHeight="1" thickBot="1" x14ac:dyDescent="0.3">
      <c r="B91" s="34"/>
      <c r="C91" s="34"/>
      <c r="D91" s="34"/>
      <c r="E91" s="34"/>
      <c r="F91" s="93"/>
      <c r="G91"/>
      <c r="H91"/>
      <c r="I91"/>
      <c r="J91"/>
      <c r="K91"/>
      <c r="L91"/>
    </row>
    <row r="92" spans="2:12" s="52" customFormat="1" ht="20.100000000000001" customHeight="1" thickBot="1" x14ac:dyDescent="0.3">
      <c r="B92" s="381" t="s">
        <v>561</v>
      </c>
      <c r="C92" s="382"/>
      <c r="D92" s="382"/>
      <c r="E92" s="382"/>
      <c r="F92" s="382"/>
      <c r="G92" s="382"/>
      <c r="H92" s="382"/>
      <c r="I92" s="382"/>
      <c r="J92" s="382"/>
      <c r="K92" s="382"/>
      <c r="L92" s="383"/>
    </row>
    <row r="93" spans="2:12" s="25" customFormat="1" ht="36.75" customHeight="1" x14ac:dyDescent="0.25">
      <c r="B93" s="46">
        <f>+B87+1</f>
        <v>26</v>
      </c>
      <c r="C93" s="47" t="s">
        <v>63</v>
      </c>
      <c r="D93" s="46" t="s">
        <v>346</v>
      </c>
      <c r="E93" s="296" t="s">
        <v>560</v>
      </c>
      <c r="F93" s="75" t="s">
        <v>100</v>
      </c>
      <c r="G93" s="48">
        <v>55000</v>
      </c>
      <c r="H93" s="43">
        <f>+G93*2.87%</f>
        <v>1578.5</v>
      </c>
      <c r="I93" s="43">
        <f>+G93*3.04%</f>
        <v>1672</v>
      </c>
      <c r="J93" s="48">
        <v>12886.3</v>
      </c>
      <c r="K93" s="53">
        <v>16187.88</v>
      </c>
      <c r="L93" s="44">
        <f>+G93-K93</f>
        <v>38812.120000000003</v>
      </c>
    </row>
    <row r="94" spans="2:12" s="25" customFormat="1" ht="20.100000000000001" customHeight="1" x14ac:dyDescent="0.25">
      <c r="B94" s="375" t="s">
        <v>103</v>
      </c>
      <c r="C94" s="376"/>
      <c r="D94" s="376"/>
      <c r="E94" s="376"/>
      <c r="F94" s="377"/>
      <c r="G94" s="23">
        <f>+G93</f>
        <v>55000</v>
      </c>
      <c r="H94" s="23">
        <f t="shared" ref="H94:L94" si="20">+H93</f>
        <v>1578.5</v>
      </c>
      <c r="I94" s="23">
        <f t="shared" si="20"/>
        <v>1672</v>
      </c>
      <c r="J94" s="23">
        <f t="shared" si="20"/>
        <v>12886.3</v>
      </c>
      <c r="K94" s="23">
        <f t="shared" si="20"/>
        <v>16187.88</v>
      </c>
      <c r="L94" s="23">
        <f t="shared" si="20"/>
        <v>38812.120000000003</v>
      </c>
    </row>
    <row r="95" spans="2:12" s="25" customFormat="1" ht="20.100000000000001" customHeight="1" thickBot="1" x14ac:dyDescent="0.3">
      <c r="B95" s="34"/>
      <c r="C95" s="34"/>
      <c r="D95" s="34"/>
      <c r="E95" s="34"/>
      <c r="F95" s="93"/>
      <c r="G95"/>
      <c r="H95"/>
      <c r="I95"/>
      <c r="J95"/>
      <c r="K95"/>
      <c r="L95"/>
    </row>
    <row r="96" spans="2:12" s="25" customFormat="1" ht="20.100000000000001" customHeight="1" thickBot="1" x14ac:dyDescent="0.3">
      <c r="B96" s="381" t="s">
        <v>257</v>
      </c>
      <c r="C96" s="382"/>
      <c r="D96" s="382"/>
      <c r="E96" s="382"/>
      <c r="F96" s="382"/>
      <c r="G96" s="382"/>
      <c r="H96" s="382"/>
      <c r="I96" s="382"/>
      <c r="J96" s="382"/>
      <c r="K96" s="382"/>
      <c r="L96" s="383"/>
    </row>
    <row r="97" spans="2:12" s="25" customFormat="1" ht="28.5" customHeight="1" x14ac:dyDescent="0.25">
      <c r="B97" s="46">
        <f>+B93+1</f>
        <v>27</v>
      </c>
      <c r="C97" s="47" t="s">
        <v>496</v>
      </c>
      <c r="D97" s="46" t="s">
        <v>346</v>
      </c>
      <c r="E97" s="296" t="s">
        <v>506</v>
      </c>
      <c r="F97" s="75" t="s">
        <v>101</v>
      </c>
      <c r="G97" s="48">
        <v>45000</v>
      </c>
      <c r="H97" s="43">
        <f>+G97*2.87%</f>
        <v>1291.5</v>
      </c>
      <c r="I97" s="43">
        <f>+G97*3.04%</f>
        <v>1368</v>
      </c>
      <c r="J97" s="43">
        <v>10585.124999999998</v>
      </c>
      <c r="K97" s="43">
        <f>SUM(H97:J97)</f>
        <v>13244.624999999998</v>
      </c>
      <c r="L97" s="44">
        <f>+G97-K97</f>
        <v>31755.375</v>
      </c>
    </row>
    <row r="98" spans="2:12" s="25" customFormat="1" ht="20.100000000000001" customHeight="1" x14ac:dyDescent="0.25">
      <c r="B98" s="375" t="s">
        <v>103</v>
      </c>
      <c r="C98" s="376"/>
      <c r="D98" s="376"/>
      <c r="E98" s="376"/>
      <c r="F98" s="377"/>
      <c r="G98" s="23">
        <f>SUM(G97:G97)</f>
        <v>45000</v>
      </c>
      <c r="H98" s="23">
        <f t="shared" ref="H98:L98" si="21">SUM(H97:H97)</f>
        <v>1291.5</v>
      </c>
      <c r="I98" s="23">
        <f t="shared" si="21"/>
        <v>1368</v>
      </c>
      <c r="J98" s="23">
        <f t="shared" si="21"/>
        <v>10585.124999999998</v>
      </c>
      <c r="K98" s="23">
        <f t="shared" si="21"/>
        <v>13244.624999999998</v>
      </c>
      <c r="L98" s="23">
        <f t="shared" si="21"/>
        <v>31755.375</v>
      </c>
    </row>
    <row r="99" spans="2:12" s="45" customFormat="1" ht="20.100000000000001" customHeight="1" thickBot="1" x14ac:dyDescent="0.3">
      <c r="B99" s="34"/>
      <c r="C99" s="34"/>
      <c r="D99" s="34"/>
      <c r="E99" s="34"/>
      <c r="F99" s="93"/>
      <c r="G99"/>
      <c r="H99"/>
      <c r="I99"/>
      <c r="J99"/>
      <c r="K99"/>
      <c r="L99"/>
    </row>
    <row r="100" spans="2:12" s="45" customFormat="1" ht="20.100000000000001" customHeight="1" thickBot="1" x14ac:dyDescent="0.3">
      <c r="B100" s="381" t="s">
        <v>150</v>
      </c>
      <c r="C100" s="382"/>
      <c r="D100" s="382"/>
      <c r="E100" s="382"/>
      <c r="F100" s="382"/>
      <c r="G100" s="382"/>
      <c r="H100" s="382"/>
      <c r="I100" s="382"/>
      <c r="J100" s="382"/>
      <c r="K100" s="382"/>
      <c r="L100" s="383"/>
    </row>
    <row r="101" spans="2:12" s="25" customFormat="1" ht="27.75" customHeight="1" x14ac:dyDescent="0.25">
      <c r="B101" s="22">
        <f>+B97+1</f>
        <v>28</v>
      </c>
      <c r="C101" s="54" t="s">
        <v>387</v>
      </c>
      <c r="D101" s="22" t="s">
        <v>345</v>
      </c>
      <c r="E101" s="60" t="s">
        <v>388</v>
      </c>
      <c r="F101" s="60" t="s">
        <v>169</v>
      </c>
      <c r="G101" s="48">
        <v>90000</v>
      </c>
      <c r="H101" s="43">
        <f>+G101*2.87%</f>
        <v>2583</v>
      </c>
      <c r="I101" s="43">
        <f>+G101*3.04%</f>
        <v>2736</v>
      </c>
      <c r="J101" s="43">
        <v>20380.04</v>
      </c>
      <c r="K101" s="43">
        <f>SUM(H101:J101)</f>
        <v>25699.040000000001</v>
      </c>
      <c r="L101" s="44">
        <f>+G101-K101</f>
        <v>64300.959999999999</v>
      </c>
    </row>
    <row r="102" spans="2:12" s="25" customFormat="1" ht="20.100000000000001" customHeight="1" x14ac:dyDescent="0.25">
      <c r="B102" s="375" t="s">
        <v>103</v>
      </c>
      <c r="C102" s="376"/>
      <c r="D102" s="376"/>
      <c r="E102" s="376"/>
      <c r="F102" s="377"/>
      <c r="G102" s="23">
        <f t="shared" ref="G102:L102" si="22">SUM(G101:G101)</f>
        <v>90000</v>
      </c>
      <c r="H102" s="23">
        <f t="shared" si="22"/>
        <v>2583</v>
      </c>
      <c r="I102" s="23">
        <f t="shared" si="22"/>
        <v>2736</v>
      </c>
      <c r="J102" s="23">
        <f t="shared" si="22"/>
        <v>20380.04</v>
      </c>
      <c r="K102" s="23">
        <f t="shared" si="22"/>
        <v>25699.040000000001</v>
      </c>
      <c r="L102" s="23">
        <f t="shared" si="22"/>
        <v>64300.959999999999</v>
      </c>
    </row>
    <row r="103" spans="2:12" s="45" customFormat="1" ht="20.100000000000001" customHeight="1" thickBot="1" x14ac:dyDescent="0.3">
      <c r="B103" s="34"/>
      <c r="C103" s="34"/>
      <c r="D103" s="34"/>
      <c r="E103" s="34"/>
      <c r="F103" s="93"/>
      <c r="G103" s="26"/>
      <c r="H103" s="26"/>
      <c r="I103" s="26"/>
      <c r="J103" s="26"/>
      <c r="K103" s="26"/>
      <c r="L103" s="26"/>
    </row>
    <row r="104" spans="2:12" s="45" customFormat="1" ht="20.100000000000001" customHeight="1" thickBot="1" x14ac:dyDescent="0.3">
      <c r="B104" s="378" t="s">
        <v>265</v>
      </c>
      <c r="C104" s="379"/>
      <c r="D104" s="379"/>
      <c r="E104" s="379"/>
      <c r="F104" s="379"/>
      <c r="G104" s="379"/>
      <c r="H104" s="379"/>
      <c r="I104" s="379"/>
      <c r="J104" s="379"/>
      <c r="K104" s="379"/>
      <c r="L104" s="380"/>
    </row>
    <row r="105" spans="2:12" s="25" customFormat="1" ht="33" customHeight="1" x14ac:dyDescent="0.25">
      <c r="B105" s="46">
        <f>+B101+1</f>
        <v>29</v>
      </c>
      <c r="C105" s="54" t="s">
        <v>124</v>
      </c>
      <c r="D105" s="22" t="s">
        <v>345</v>
      </c>
      <c r="E105" s="54" t="s">
        <v>349</v>
      </c>
      <c r="F105" s="60" t="s">
        <v>100</v>
      </c>
      <c r="G105" s="48">
        <v>35000</v>
      </c>
      <c r="H105" s="43">
        <f>+G105*2.87%</f>
        <v>1004.5</v>
      </c>
      <c r="I105" s="43">
        <f>+G105*3.04%</f>
        <v>1064</v>
      </c>
      <c r="J105" s="48">
        <v>5368.4498333333331</v>
      </c>
      <c r="K105" s="53">
        <f>SUM(H105:J105)</f>
        <v>7436.9498333333331</v>
      </c>
      <c r="L105" s="44">
        <f>+G105-K105</f>
        <v>27563.050166666668</v>
      </c>
    </row>
    <row r="106" spans="2:12" s="25" customFormat="1" ht="20.100000000000001" customHeight="1" x14ac:dyDescent="0.25">
      <c r="B106" s="375" t="s">
        <v>103</v>
      </c>
      <c r="C106" s="376"/>
      <c r="D106" s="376"/>
      <c r="E106" s="376"/>
      <c r="F106" s="377"/>
      <c r="G106" s="23">
        <f t="shared" ref="G106:L106" si="23">SUM(G105:G105)</f>
        <v>35000</v>
      </c>
      <c r="H106" s="23">
        <f t="shared" si="23"/>
        <v>1004.5</v>
      </c>
      <c r="I106" s="23">
        <f t="shared" si="23"/>
        <v>1064</v>
      </c>
      <c r="J106" s="23">
        <f t="shared" si="23"/>
        <v>5368.4498333333331</v>
      </c>
      <c r="K106" s="23">
        <f t="shared" si="23"/>
        <v>7436.9498333333331</v>
      </c>
      <c r="L106" s="23">
        <f t="shared" si="23"/>
        <v>27563.050166666668</v>
      </c>
    </row>
    <row r="107" spans="2:12" s="25" customFormat="1" ht="20.100000000000001" customHeight="1" thickBot="1" x14ac:dyDescent="0.3">
      <c r="B107" s="34"/>
      <c r="C107" s="34"/>
      <c r="D107" s="34"/>
      <c r="E107" s="34"/>
      <c r="F107" s="93"/>
      <c r="G107" s="26"/>
      <c r="H107" s="26"/>
      <c r="I107" s="26"/>
      <c r="J107" s="26"/>
      <c r="K107" s="26"/>
      <c r="L107" s="26"/>
    </row>
    <row r="108" spans="2:12" s="25" customFormat="1" ht="20.100000000000001" customHeight="1" thickBot="1" x14ac:dyDescent="0.3">
      <c r="B108" s="378" t="s">
        <v>13</v>
      </c>
      <c r="C108" s="379"/>
      <c r="D108" s="379"/>
      <c r="E108" s="379"/>
      <c r="F108" s="379"/>
      <c r="G108" s="379"/>
      <c r="H108" s="379"/>
      <c r="I108" s="379"/>
      <c r="J108" s="379"/>
      <c r="K108" s="379"/>
      <c r="L108" s="380"/>
    </row>
    <row r="109" spans="2:12" s="25" customFormat="1" ht="20.100000000000001" customHeight="1" x14ac:dyDescent="0.25">
      <c r="B109" s="46">
        <f>+B105+1</f>
        <v>30</v>
      </c>
      <c r="C109" s="54" t="s">
        <v>643</v>
      </c>
      <c r="D109" s="22" t="s">
        <v>346</v>
      </c>
      <c r="E109" s="54" t="s">
        <v>644</v>
      </c>
      <c r="F109" s="60" t="s">
        <v>100</v>
      </c>
      <c r="G109" s="48">
        <v>8500</v>
      </c>
      <c r="H109" s="43">
        <f>+G109*2.87%</f>
        <v>243.95</v>
      </c>
      <c r="I109" s="43">
        <f>+G109*3.04%</f>
        <v>258.39999999999998</v>
      </c>
      <c r="J109" s="48">
        <v>1199.6500000000001</v>
      </c>
      <c r="K109" s="53">
        <f>SUM(H109:J109)</f>
        <v>1702</v>
      </c>
      <c r="L109" s="44">
        <f>+G109-K109</f>
        <v>6798</v>
      </c>
    </row>
    <row r="110" spans="2:12" s="25" customFormat="1" ht="20.100000000000001" customHeight="1" x14ac:dyDescent="0.25">
      <c r="B110" s="375" t="s">
        <v>103</v>
      </c>
      <c r="C110" s="376"/>
      <c r="D110" s="376"/>
      <c r="E110" s="376"/>
      <c r="F110" s="377"/>
      <c r="G110" s="23">
        <f t="shared" ref="G110:L110" si="24">SUM(G109:G109)</f>
        <v>8500</v>
      </c>
      <c r="H110" s="23">
        <f t="shared" si="24"/>
        <v>243.95</v>
      </c>
      <c r="I110" s="23">
        <f t="shared" si="24"/>
        <v>258.39999999999998</v>
      </c>
      <c r="J110" s="23">
        <f t="shared" si="24"/>
        <v>1199.6500000000001</v>
      </c>
      <c r="K110" s="23">
        <f t="shared" si="24"/>
        <v>1702</v>
      </c>
      <c r="L110" s="23">
        <f t="shared" si="24"/>
        <v>6798</v>
      </c>
    </row>
    <row r="111" spans="2:12" s="25" customFormat="1" ht="20.100000000000001" customHeight="1" x14ac:dyDescent="0.25">
      <c r="B111" s="34"/>
      <c r="C111" s="34"/>
      <c r="D111" s="34"/>
      <c r="E111" s="34"/>
      <c r="F111" s="93"/>
      <c r="G111" s="26"/>
      <c r="H111" s="26"/>
      <c r="I111" s="26"/>
      <c r="J111" s="26"/>
      <c r="K111" s="26"/>
      <c r="L111" s="26"/>
    </row>
    <row r="112" spans="2:12" s="25" customFormat="1" ht="20.100000000000001" customHeight="1" thickBot="1" x14ac:dyDescent="0.3">
      <c r="B112" s="34"/>
      <c r="C112" s="34"/>
      <c r="D112" s="34"/>
      <c r="E112" s="34"/>
      <c r="F112" s="93"/>
      <c r="G112" s="26"/>
      <c r="H112" s="26"/>
      <c r="I112" s="26"/>
      <c r="J112" s="26"/>
      <c r="K112" s="26"/>
      <c r="L112" s="26"/>
    </row>
    <row r="113" spans="2:12" s="25" customFormat="1" ht="20.100000000000001" customHeight="1" thickBot="1" x14ac:dyDescent="0.3">
      <c r="B113" s="378" t="s">
        <v>178</v>
      </c>
      <c r="C113" s="379"/>
      <c r="D113" s="379"/>
      <c r="E113" s="379"/>
      <c r="F113" s="379"/>
      <c r="G113" s="379"/>
      <c r="H113" s="379"/>
      <c r="I113" s="379"/>
      <c r="J113" s="379"/>
      <c r="K113" s="379"/>
      <c r="L113" s="380"/>
    </row>
    <row r="114" spans="2:12" s="25" customFormat="1" ht="31.5" customHeight="1" x14ac:dyDescent="0.25">
      <c r="B114" s="42">
        <f>+B109+1</f>
        <v>31</v>
      </c>
      <c r="C114" s="57" t="s">
        <v>67</v>
      </c>
      <c r="D114" s="58" t="s">
        <v>345</v>
      </c>
      <c r="E114" s="65" t="s">
        <v>516</v>
      </c>
      <c r="F114" s="65" t="s">
        <v>100</v>
      </c>
      <c r="G114" s="53">
        <v>40000</v>
      </c>
      <c r="H114" s="71">
        <v>1148</v>
      </c>
      <c r="I114" s="71">
        <v>1216</v>
      </c>
      <c r="J114" s="43">
        <v>8481.84</v>
      </c>
      <c r="K114" s="53">
        <v>10886.8</v>
      </c>
      <c r="L114" s="44">
        <f>+G114-K114</f>
        <v>29113.200000000001</v>
      </c>
    </row>
    <row r="115" spans="2:12" s="35" customFormat="1" ht="22.5" customHeight="1" x14ac:dyDescent="0.25">
      <c r="B115" s="46">
        <f>+B114+1</f>
        <v>32</v>
      </c>
      <c r="C115" s="54" t="s">
        <v>271</v>
      </c>
      <c r="D115" s="22" t="s">
        <v>346</v>
      </c>
      <c r="E115" s="54" t="s">
        <v>350</v>
      </c>
      <c r="F115" s="60" t="s">
        <v>100</v>
      </c>
      <c r="G115" s="56">
        <v>30800</v>
      </c>
      <c r="H115" s="43">
        <f>+G115*2.87%</f>
        <v>883.96</v>
      </c>
      <c r="I115" s="43">
        <f>+G115*3.04%</f>
        <v>936.32</v>
      </c>
      <c r="J115" s="43">
        <v>1854</v>
      </c>
      <c r="K115" s="53">
        <f>SUM(H115:J115)</f>
        <v>3674.28</v>
      </c>
      <c r="L115" s="44">
        <f>+G115-K115</f>
        <v>27125.72</v>
      </c>
    </row>
    <row r="116" spans="2:12" s="25" customFormat="1" ht="20.100000000000001" customHeight="1" x14ac:dyDescent="0.25">
      <c r="B116" s="375" t="s">
        <v>103</v>
      </c>
      <c r="C116" s="376"/>
      <c r="D116" s="376"/>
      <c r="E116" s="376"/>
      <c r="F116" s="377"/>
      <c r="G116" s="23">
        <f>SUM(G114:G115)</f>
        <v>70800</v>
      </c>
      <c r="H116" s="23">
        <f t="shared" ref="H116:I116" si="25">SUM(H114:H115)</f>
        <v>2031.96</v>
      </c>
      <c r="I116" s="23">
        <f t="shared" si="25"/>
        <v>2152.3200000000002</v>
      </c>
      <c r="J116" s="23">
        <f>SUM(J114:J115)</f>
        <v>10335.84</v>
      </c>
      <c r="K116" s="23">
        <f t="shared" ref="K116:L116" si="26">SUM(K114:K115)</f>
        <v>14561.08</v>
      </c>
      <c r="L116" s="23">
        <f t="shared" si="26"/>
        <v>56238.92</v>
      </c>
    </row>
    <row r="117" spans="2:12" s="45" customFormat="1" ht="20.100000000000001" customHeight="1" thickBot="1" x14ac:dyDescent="0.3">
      <c r="B117" s="34"/>
      <c r="C117" s="34"/>
      <c r="D117" s="34"/>
      <c r="E117" s="34"/>
      <c r="F117" s="93"/>
      <c r="G117" s="26"/>
      <c r="H117" s="26"/>
      <c r="I117" s="26"/>
      <c r="J117" s="26"/>
      <c r="K117" s="26"/>
      <c r="L117" s="26"/>
    </row>
    <row r="118" spans="2:12" s="45" customFormat="1" ht="27.75" customHeight="1" thickBot="1" x14ac:dyDescent="0.3">
      <c r="B118" s="372" t="s">
        <v>177</v>
      </c>
      <c r="C118" s="373"/>
      <c r="D118" s="373"/>
      <c r="E118" s="373"/>
      <c r="F118" s="373"/>
      <c r="G118" s="373"/>
      <c r="H118" s="373"/>
      <c r="I118" s="373"/>
      <c r="J118" s="373"/>
      <c r="K118" s="373"/>
      <c r="L118" s="374"/>
    </row>
    <row r="119" spans="2:12" s="25" customFormat="1" ht="22.5" customHeight="1" x14ac:dyDescent="0.25">
      <c r="B119" s="46">
        <f>+B115+1</f>
        <v>33</v>
      </c>
      <c r="C119" s="54" t="s">
        <v>435</v>
      </c>
      <c r="D119" s="22" t="s">
        <v>345</v>
      </c>
      <c r="E119" s="54" t="s">
        <v>498</v>
      </c>
      <c r="F119" s="60" t="s">
        <v>101</v>
      </c>
      <c r="G119" s="56">
        <v>25000</v>
      </c>
      <c r="H119" s="43">
        <f>+G119*2.87%</f>
        <v>717.5</v>
      </c>
      <c r="I119" s="43">
        <f>+G119*3.04%</f>
        <v>760</v>
      </c>
      <c r="J119" s="48">
        <v>3858.29</v>
      </c>
      <c r="K119" s="53">
        <v>5366.41</v>
      </c>
      <c r="L119" s="44">
        <f>+G119-K119</f>
        <v>19633.59</v>
      </c>
    </row>
    <row r="120" spans="2:12" s="25" customFormat="1" ht="20.100000000000001" customHeight="1" x14ac:dyDescent="0.25">
      <c r="B120" s="375" t="s">
        <v>103</v>
      </c>
      <c r="C120" s="376"/>
      <c r="D120" s="376"/>
      <c r="E120" s="376"/>
      <c r="F120" s="377"/>
      <c r="G120" s="23">
        <f t="shared" ref="G120:L120" si="27">SUM(G119:G119)</f>
        <v>25000</v>
      </c>
      <c r="H120" s="23">
        <f t="shared" si="27"/>
        <v>717.5</v>
      </c>
      <c r="I120" s="23">
        <f t="shared" si="27"/>
        <v>760</v>
      </c>
      <c r="J120" s="23">
        <f t="shared" si="27"/>
        <v>3858.29</v>
      </c>
      <c r="K120" s="23">
        <f t="shared" si="27"/>
        <v>5366.41</v>
      </c>
      <c r="L120" s="23">
        <f t="shared" si="27"/>
        <v>19633.59</v>
      </c>
    </row>
    <row r="121" spans="2:12" s="45" customFormat="1" ht="20.100000000000001" customHeight="1" thickBot="1" x14ac:dyDescent="0.3">
      <c r="B121" s="34"/>
      <c r="C121" s="34"/>
      <c r="D121" s="34"/>
      <c r="E121" s="34"/>
      <c r="F121" s="93"/>
      <c r="G121" s="26"/>
      <c r="H121" s="26"/>
      <c r="I121" s="26"/>
      <c r="J121" s="26"/>
      <c r="K121" s="26"/>
      <c r="L121" s="26"/>
    </row>
    <row r="122" spans="2:12" s="45" customFormat="1" ht="20.100000000000001" customHeight="1" thickBot="1" x14ac:dyDescent="0.3">
      <c r="B122" s="378" t="s">
        <v>151</v>
      </c>
      <c r="C122" s="379"/>
      <c r="D122" s="379"/>
      <c r="E122" s="379"/>
      <c r="F122" s="379"/>
      <c r="G122" s="379"/>
      <c r="H122" s="379"/>
      <c r="I122" s="379"/>
      <c r="J122" s="379"/>
      <c r="K122" s="379"/>
      <c r="L122" s="380"/>
    </row>
    <row r="123" spans="2:12" s="25" customFormat="1" ht="20.100000000000001" customHeight="1" x14ac:dyDescent="0.25">
      <c r="B123" s="46">
        <f>+B119+1</f>
        <v>34</v>
      </c>
      <c r="C123" s="54" t="s">
        <v>35</v>
      </c>
      <c r="D123" s="22" t="s">
        <v>346</v>
      </c>
      <c r="E123" s="54" t="s">
        <v>293</v>
      </c>
      <c r="F123" s="60" t="s">
        <v>101</v>
      </c>
      <c r="G123" s="56">
        <v>12500</v>
      </c>
      <c r="H123" s="43">
        <f>+G123*2.87%</f>
        <v>358.75</v>
      </c>
      <c r="I123" s="43">
        <f>+G123*3.04%</f>
        <v>380</v>
      </c>
      <c r="J123" s="48">
        <v>1213.2</v>
      </c>
      <c r="K123" s="53">
        <v>1951.95</v>
      </c>
      <c r="L123" s="44">
        <f>+G123-K123</f>
        <v>10548.05</v>
      </c>
    </row>
    <row r="124" spans="2:12" s="25" customFormat="1" ht="20.100000000000001" customHeight="1" x14ac:dyDescent="0.25">
      <c r="B124" s="375" t="s">
        <v>103</v>
      </c>
      <c r="C124" s="376"/>
      <c r="D124" s="376"/>
      <c r="E124" s="376"/>
      <c r="F124" s="377"/>
      <c r="G124" s="23">
        <f>+G123</f>
        <v>12500</v>
      </c>
      <c r="H124" s="23">
        <f t="shared" ref="H124:L124" si="28">+H123</f>
        <v>358.75</v>
      </c>
      <c r="I124" s="23">
        <f t="shared" si="28"/>
        <v>380</v>
      </c>
      <c r="J124" s="23">
        <f t="shared" si="28"/>
        <v>1213.2</v>
      </c>
      <c r="K124" s="23">
        <f t="shared" si="28"/>
        <v>1951.95</v>
      </c>
      <c r="L124" s="23">
        <f t="shared" si="28"/>
        <v>10548.05</v>
      </c>
    </row>
    <row r="125" spans="2:12" s="25" customFormat="1" ht="20.100000000000001" customHeight="1" thickBot="1" x14ac:dyDescent="0.3">
      <c r="B125" s="27"/>
      <c r="C125" s="32"/>
      <c r="D125" s="62"/>
      <c r="E125" s="32"/>
      <c r="F125" s="40"/>
      <c r="G125" s="33"/>
    </row>
    <row r="126" spans="2:12" ht="25.5" customHeight="1" thickBot="1" x14ac:dyDescent="0.3">
      <c r="B126" s="36"/>
      <c r="C126" s="37" t="s">
        <v>352</v>
      </c>
      <c r="D126" s="63"/>
      <c r="E126" s="38"/>
      <c r="F126" s="90"/>
      <c r="G126" s="39">
        <f t="shared" ref="G126:L126" si="29">+G9+G13+G17+G21+G24+G28+G33+G38+G42+G46+G50+G54+G59+G62+G66+G70+G74+G79+G84+G88+G94+G98+G102+G106+G116+G120+G124+G110</f>
        <v>1510550</v>
      </c>
      <c r="H126" s="39">
        <f t="shared" si="29"/>
        <v>43352.784999999996</v>
      </c>
      <c r="I126" s="39">
        <f t="shared" si="29"/>
        <v>45920.72</v>
      </c>
      <c r="J126" s="39">
        <f t="shared" si="29"/>
        <v>327389.34579166665</v>
      </c>
      <c r="K126" s="39">
        <f t="shared" si="29"/>
        <v>417296.47329166665</v>
      </c>
      <c r="L126" s="39">
        <f t="shared" si="29"/>
        <v>1093253.5267083333</v>
      </c>
    </row>
    <row r="127" spans="2:12" ht="20.100000000000001" customHeight="1" x14ac:dyDescent="0.25">
      <c r="B127" s="14"/>
      <c r="C127" s="13"/>
      <c r="D127" s="14"/>
      <c r="E127" s="13"/>
      <c r="F127" s="91"/>
      <c r="G127" s="7"/>
      <c r="H127" s="8"/>
      <c r="I127" s="8"/>
      <c r="J127" s="8"/>
      <c r="K127" s="8"/>
      <c r="L127" s="81"/>
    </row>
    <row r="128" spans="2:12" ht="20.100000000000001" customHeight="1" x14ac:dyDescent="0.25">
      <c r="B128" s="14"/>
      <c r="C128" s="13"/>
      <c r="D128" s="14"/>
      <c r="E128" s="13"/>
      <c r="F128" s="91"/>
      <c r="G128" s="7"/>
      <c r="H128" s="8"/>
      <c r="I128" s="8"/>
      <c r="J128" s="8"/>
      <c r="K128" s="8"/>
      <c r="L128" s="8"/>
    </row>
    <row r="129" spans="3:12" ht="20.100000000000001" customHeight="1" thickBot="1" x14ac:dyDescent="0.3">
      <c r="C129" s="351" t="s">
        <v>90</v>
      </c>
      <c r="D129" s="351"/>
      <c r="E129" s="1"/>
      <c r="F129" s="352" t="s">
        <v>662</v>
      </c>
      <c r="G129" s="352"/>
    </row>
    <row r="130" spans="3:12" ht="38.25" customHeight="1" x14ac:dyDescent="0.25">
      <c r="C130" s="344" t="s">
        <v>552</v>
      </c>
      <c r="D130" s="344"/>
      <c r="E130" s="206"/>
      <c r="F130" s="353" t="s">
        <v>663</v>
      </c>
      <c r="G130" s="353"/>
      <c r="H130" s="337"/>
      <c r="L130" s="4"/>
    </row>
    <row r="131" spans="3:12" ht="20.100000000000001" customHeight="1" x14ac:dyDescent="0.25">
      <c r="C131" s="345"/>
      <c r="D131" s="345"/>
      <c r="E131" s="206"/>
      <c r="F131" s="345"/>
      <c r="G131" s="345"/>
    </row>
    <row r="132" spans="3:12" ht="20.100000000000001" customHeight="1" x14ac:dyDescent="0.25">
      <c r="C132" s="10"/>
      <c r="D132" s="64"/>
      <c r="E132" s="9"/>
      <c r="F132" s="94"/>
      <c r="G132" s="94"/>
    </row>
    <row r="16650" spans="3:3" ht="20.100000000000001" customHeight="1" x14ac:dyDescent="0.2">
      <c r="C16650" s="12">
        <f>SUM(C6:C16649)</f>
        <v>0</v>
      </c>
    </row>
    <row r="16652" spans="3:3" ht="20.100000000000001" customHeight="1" x14ac:dyDescent="0.2">
      <c r="C16652" s="12">
        <f>SUM(C16650)</f>
        <v>0</v>
      </c>
    </row>
    <row r="999975" spans="11:11" ht="20.100000000000001" customHeight="1" x14ac:dyDescent="0.2">
      <c r="K999975" s="5" t="e">
        <f>SUM(#REF!)</f>
        <v>#REF!</v>
      </c>
    </row>
  </sheetData>
  <mergeCells count="67">
    <mergeCell ref="B108:L108"/>
    <mergeCell ref="B110:F110"/>
    <mergeCell ref="B72:L72"/>
    <mergeCell ref="B48:L48"/>
    <mergeCell ref="B50:F50"/>
    <mergeCell ref="B62:F62"/>
    <mergeCell ref="B70:F70"/>
    <mergeCell ref="B64:L64"/>
    <mergeCell ref="B66:F66"/>
    <mergeCell ref="B68:L68"/>
    <mergeCell ref="B19:L19"/>
    <mergeCell ref="B21:F21"/>
    <mergeCell ref="B52:L52"/>
    <mergeCell ref="B54:F54"/>
    <mergeCell ref="B60:L60"/>
    <mergeCell ref="B59:F59"/>
    <mergeCell ref="B56:L56"/>
    <mergeCell ref="B22:L22"/>
    <mergeCell ref="B24:F24"/>
    <mergeCell ref="B1:L1"/>
    <mergeCell ref="B2:L2"/>
    <mergeCell ref="B3:L3"/>
    <mergeCell ref="B4:C4"/>
    <mergeCell ref="H5:I5"/>
    <mergeCell ref="B7:L7"/>
    <mergeCell ref="B9:F9"/>
    <mergeCell ref="B46:F46"/>
    <mergeCell ref="B40:L40"/>
    <mergeCell ref="B42:F42"/>
    <mergeCell ref="B44:L44"/>
    <mergeCell ref="B35:L35"/>
    <mergeCell ref="B38:F38"/>
    <mergeCell ref="B28:F28"/>
    <mergeCell ref="B30:L30"/>
    <mergeCell ref="B33:F33"/>
    <mergeCell ref="B17:F17"/>
    <mergeCell ref="B26:L26"/>
    <mergeCell ref="B11:L11"/>
    <mergeCell ref="B13:F13"/>
    <mergeCell ref="B15:L15"/>
    <mergeCell ref="B113:L113"/>
    <mergeCell ref="B74:F74"/>
    <mergeCell ref="B90:L90"/>
    <mergeCell ref="B104:L104"/>
    <mergeCell ref="B106:F106"/>
    <mergeCell ref="B96:L96"/>
    <mergeCell ref="B98:F98"/>
    <mergeCell ref="B86:L86"/>
    <mergeCell ref="B88:F88"/>
    <mergeCell ref="B100:L100"/>
    <mergeCell ref="B92:L92"/>
    <mergeCell ref="B94:F94"/>
    <mergeCell ref="B102:F102"/>
    <mergeCell ref="B81:L81"/>
    <mergeCell ref="B79:F79"/>
    <mergeCell ref="B76:L76"/>
    <mergeCell ref="F131:G131"/>
    <mergeCell ref="C131:D131"/>
    <mergeCell ref="B118:L118"/>
    <mergeCell ref="B120:F120"/>
    <mergeCell ref="B116:F116"/>
    <mergeCell ref="B122:L122"/>
    <mergeCell ref="B124:F124"/>
    <mergeCell ref="C129:D129"/>
    <mergeCell ref="F129:G129"/>
    <mergeCell ref="C130:D130"/>
    <mergeCell ref="F130:G130"/>
  </mergeCells>
  <pageMargins left="0.15748031496062992" right="0.15748031496062992" top="0.15748031496062992" bottom="0.15748031496062992" header="0.15748031496062992" footer="0.15748031496062992"/>
  <pageSetup paperSize="5" scale="66" fitToHeight="0" orientation="landscape" r:id="rId1"/>
  <rowBreaks count="5" manualBreakCount="5">
    <brk id="38" min="1" max="11" man="1"/>
    <brk id="70" min="1" max="11" man="1"/>
    <brk id="99" min="1" max="11" man="1"/>
    <brk id="120" min="1" max="11" man="1"/>
    <brk id="137" min="1" max="11" man="1"/>
  </rowBreaks>
  <ignoredErrors>
    <ignoredError sqref="K41 K82 K69 K53 K77 K8 K32 K87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877147"/>
  <sheetViews>
    <sheetView showGridLines="0" tabSelected="1" topLeftCell="B15" zoomScale="85" zoomScaleNormal="85" zoomScaleSheetLayoutView="90" workbookViewId="0">
      <selection activeCell="G27" sqref="G27"/>
    </sheetView>
  </sheetViews>
  <sheetFormatPr baseColWidth="10" defaultColWidth="11.42578125" defaultRowHeight="39.950000000000003" customHeight="1" x14ac:dyDescent="0.2"/>
  <cols>
    <col min="1" max="1" width="6.42578125" style="113" customWidth="1"/>
    <col min="2" max="2" width="43.85546875" style="113" customWidth="1"/>
    <col min="3" max="3" width="8.85546875" style="113" customWidth="1"/>
    <col min="4" max="4" width="47.85546875" style="113" customWidth="1"/>
    <col min="5" max="5" width="54.140625" style="113" customWidth="1"/>
    <col min="6" max="6" width="18.5703125" style="126" customWidth="1"/>
    <col min="7" max="8" width="15" style="113" customWidth="1"/>
    <col min="9" max="9" width="14.140625" style="113" customWidth="1"/>
    <col min="10" max="10" width="15" style="113" customWidth="1"/>
    <col min="11" max="11" width="18.140625" style="113" customWidth="1"/>
    <col min="12" max="12" width="18.28515625" style="113" bestFit="1" customWidth="1"/>
    <col min="13" max="13" width="14.85546875" style="113" customWidth="1"/>
    <col min="14" max="14" width="18.7109375" style="113" customWidth="1"/>
    <col min="15" max="15" width="17.7109375" style="124" customWidth="1"/>
    <col min="16" max="16384" width="11.42578125" style="113"/>
  </cols>
  <sheetData>
    <row r="1" spans="1:15" ht="20.100000000000001" customHeight="1" x14ac:dyDescent="0.2">
      <c r="A1" s="348" t="s">
        <v>335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</row>
    <row r="2" spans="1:15" ht="20.100000000000001" customHeight="1" x14ac:dyDescent="0.2">
      <c r="A2" s="349" t="s">
        <v>336</v>
      </c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</row>
    <row r="3" spans="1:15" ht="20.100000000000001" customHeight="1" x14ac:dyDescent="0.2">
      <c r="A3" s="350" t="s">
        <v>658</v>
      </c>
      <c r="B3" s="350"/>
      <c r="C3" s="350"/>
      <c r="D3" s="350"/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125"/>
    </row>
    <row r="4" spans="1:15" ht="20.100000000000001" customHeight="1" thickBot="1" x14ac:dyDescent="0.25">
      <c r="A4" s="106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25"/>
    </row>
    <row r="5" spans="1:15" ht="20.100000000000001" customHeight="1" thickBot="1" x14ac:dyDescent="0.25">
      <c r="A5" s="126"/>
      <c r="B5" s="112"/>
      <c r="C5" s="112"/>
      <c r="D5" s="112"/>
      <c r="F5" s="127"/>
      <c r="G5" s="346" t="s">
        <v>99</v>
      </c>
      <c r="H5" s="347"/>
      <c r="I5" s="96"/>
      <c r="J5" s="96"/>
      <c r="K5" s="126"/>
      <c r="L5" s="126"/>
      <c r="M5" s="126"/>
      <c r="N5" s="126"/>
      <c r="O5" s="128"/>
    </row>
    <row r="6" spans="1:15" s="126" customFormat="1" ht="42" customHeight="1" x14ac:dyDescent="0.2">
      <c r="A6" s="303" t="s">
        <v>0</v>
      </c>
      <c r="B6" s="303" t="s">
        <v>301</v>
      </c>
      <c r="C6" s="303" t="s">
        <v>347</v>
      </c>
      <c r="D6" s="303" t="s">
        <v>104</v>
      </c>
      <c r="E6" s="303" t="s">
        <v>105</v>
      </c>
      <c r="F6" s="303" t="s">
        <v>102</v>
      </c>
      <c r="G6" s="303" t="s">
        <v>1</v>
      </c>
      <c r="H6" s="303" t="s">
        <v>2</v>
      </c>
      <c r="I6" s="303" t="s">
        <v>453</v>
      </c>
      <c r="J6" s="303" t="s">
        <v>450</v>
      </c>
      <c r="K6" s="303" t="s">
        <v>451</v>
      </c>
      <c r="L6" s="303" t="s">
        <v>94</v>
      </c>
      <c r="M6" s="303" t="s">
        <v>96</v>
      </c>
      <c r="N6" s="303" t="s">
        <v>3</v>
      </c>
      <c r="O6" s="303" t="s">
        <v>95</v>
      </c>
    </row>
    <row r="7" spans="1:15" s="126" customFormat="1" ht="35.1" customHeight="1" x14ac:dyDescent="0.2">
      <c r="A7" s="306">
        <v>1</v>
      </c>
      <c r="B7" s="312" t="s">
        <v>206</v>
      </c>
      <c r="C7" s="153" t="s">
        <v>346</v>
      </c>
      <c r="D7" s="154" t="s">
        <v>128</v>
      </c>
      <c r="E7" s="154" t="s">
        <v>153</v>
      </c>
      <c r="F7" s="313">
        <v>155000</v>
      </c>
      <c r="G7" s="130">
        <f t="shared" ref="G7:G12" si="0">F7*2.87%</f>
        <v>4448.5</v>
      </c>
      <c r="H7" s="130">
        <f t="shared" ref="H7:H12" si="1">+F7*3.04%</f>
        <v>4712</v>
      </c>
      <c r="I7" s="313"/>
      <c r="J7" s="130">
        <f>+G7+H7+I7</f>
        <v>9160.5</v>
      </c>
      <c r="K7" s="130">
        <f>+F7-J7</f>
        <v>145839.5</v>
      </c>
      <c r="L7" s="130">
        <f>+IF(K7*12&lt;=416220.01,0,IF(K7*12&lt;=624329.01,(((K7*12-416220.01)*0.15)/12),IF((K7*12&lt;=867123.01),(31216+0.2*(K7*12-624329.01))/12,((79776+0.25*(K7*12-867123.01))/12))))</f>
        <v>25042.812291666665</v>
      </c>
      <c r="M7" s="130">
        <v>10350.540000000001</v>
      </c>
      <c r="N7" s="130">
        <f>+M7+L7+J7</f>
        <v>44553.85229166667</v>
      </c>
      <c r="O7" s="314">
        <f>+F7-N7</f>
        <v>110446.14770833333</v>
      </c>
    </row>
    <row r="8" spans="1:15" s="124" customFormat="1" ht="35.1" customHeight="1" x14ac:dyDescent="0.2">
      <c r="A8" s="306">
        <v>2</v>
      </c>
      <c r="B8" s="300" t="s">
        <v>220</v>
      </c>
      <c r="C8" s="108" t="s">
        <v>346</v>
      </c>
      <c r="D8" s="107" t="s">
        <v>584</v>
      </c>
      <c r="E8" s="107" t="s">
        <v>567</v>
      </c>
      <c r="F8" s="315">
        <v>155000</v>
      </c>
      <c r="G8" s="130">
        <f t="shared" si="0"/>
        <v>4448.5</v>
      </c>
      <c r="H8" s="130">
        <f t="shared" si="1"/>
        <v>4712</v>
      </c>
      <c r="I8" s="313">
        <v>1919.78</v>
      </c>
      <c r="J8" s="130">
        <f t="shared" ref="J8:J20" si="2">+G8+H8+I8</f>
        <v>11080.28</v>
      </c>
      <c r="K8" s="130">
        <f t="shared" ref="K8:K10" si="3">+F8-J8</f>
        <v>143919.72</v>
      </c>
      <c r="L8" s="130">
        <f t="shared" ref="L8:L20" si="4">+IF(K8*12&lt;=416220.01,0,IF(K8*12&lt;=624329.01,(((K8*12-416220.01)*0.15)/12),IF((K8*12&lt;=867123.01),(31216+0.2*(K8*12-624329.01))/12,((79776+0.25*(K8*12-867123.01))/12))))</f>
        <v>24562.867291666669</v>
      </c>
      <c r="M8" s="130">
        <v>25</v>
      </c>
      <c r="N8" s="130">
        <f t="shared" ref="N8:N20" si="5">+M8+L8+J8</f>
        <v>35668.147291666668</v>
      </c>
      <c r="O8" s="314">
        <f t="shared" ref="O8:O20" si="6">+F8-N8</f>
        <v>119331.85270833333</v>
      </c>
    </row>
    <row r="9" spans="1:15" s="128" customFormat="1" ht="35.1" customHeight="1" x14ac:dyDescent="0.2">
      <c r="A9" s="306">
        <v>3</v>
      </c>
      <c r="B9" s="300" t="s">
        <v>214</v>
      </c>
      <c r="C9" s="108" t="s">
        <v>346</v>
      </c>
      <c r="D9" s="107" t="s">
        <v>397</v>
      </c>
      <c r="E9" s="107" t="s">
        <v>215</v>
      </c>
      <c r="F9" s="315">
        <v>155000</v>
      </c>
      <c r="G9" s="130">
        <f t="shared" si="0"/>
        <v>4448.5</v>
      </c>
      <c r="H9" s="130">
        <f t="shared" si="1"/>
        <v>4712</v>
      </c>
      <c r="I9" s="315"/>
      <c r="J9" s="130">
        <f t="shared" si="2"/>
        <v>9160.5</v>
      </c>
      <c r="K9" s="130">
        <f t="shared" si="3"/>
        <v>145839.5</v>
      </c>
      <c r="L9" s="130">
        <f t="shared" si="4"/>
        <v>25042.812291666665</v>
      </c>
      <c r="M9" s="136">
        <v>25</v>
      </c>
      <c r="N9" s="130">
        <f t="shared" si="5"/>
        <v>34228.312291666662</v>
      </c>
      <c r="O9" s="314">
        <f t="shared" si="6"/>
        <v>120771.68770833334</v>
      </c>
    </row>
    <row r="10" spans="1:15" s="128" customFormat="1" ht="35.1" customHeight="1" x14ac:dyDescent="0.2">
      <c r="A10" s="306">
        <v>4</v>
      </c>
      <c r="B10" s="300" t="s">
        <v>48</v>
      </c>
      <c r="C10" s="108" t="s">
        <v>345</v>
      </c>
      <c r="D10" s="107" t="s">
        <v>397</v>
      </c>
      <c r="E10" s="107" t="s">
        <v>598</v>
      </c>
      <c r="F10" s="315">
        <v>110000</v>
      </c>
      <c r="G10" s="130">
        <f t="shared" si="0"/>
        <v>3157</v>
      </c>
      <c r="H10" s="130">
        <f t="shared" si="1"/>
        <v>3344</v>
      </c>
      <c r="I10" s="315"/>
      <c r="J10" s="130">
        <f t="shared" si="2"/>
        <v>6501</v>
      </c>
      <c r="K10" s="130">
        <f t="shared" si="3"/>
        <v>103499</v>
      </c>
      <c r="L10" s="130">
        <f t="shared" si="4"/>
        <v>14457.687291666667</v>
      </c>
      <c r="M10" s="136">
        <v>10290.290000000001</v>
      </c>
      <c r="N10" s="130">
        <f t="shared" si="5"/>
        <v>31248.97729166667</v>
      </c>
      <c r="O10" s="314">
        <f t="shared" si="6"/>
        <v>78751.02270833333</v>
      </c>
    </row>
    <row r="11" spans="1:15" s="128" customFormat="1" ht="35.1" customHeight="1" x14ac:dyDescent="0.2">
      <c r="A11" s="306">
        <v>5</v>
      </c>
      <c r="B11" s="300" t="s">
        <v>213</v>
      </c>
      <c r="C11" s="108" t="s">
        <v>346</v>
      </c>
      <c r="D11" s="107" t="s">
        <v>130</v>
      </c>
      <c r="E11" s="107" t="s">
        <v>598</v>
      </c>
      <c r="F11" s="315">
        <v>100000</v>
      </c>
      <c r="G11" s="136">
        <f t="shared" si="0"/>
        <v>2870</v>
      </c>
      <c r="H11" s="136">
        <f t="shared" si="1"/>
        <v>3040</v>
      </c>
      <c r="I11" s="315"/>
      <c r="J11" s="130">
        <f t="shared" si="2"/>
        <v>5910</v>
      </c>
      <c r="K11" s="136">
        <f>+F11-J11</f>
        <v>94090</v>
      </c>
      <c r="L11" s="130">
        <f t="shared" si="4"/>
        <v>12105.437291666667</v>
      </c>
      <c r="M11" s="136">
        <v>10601.62</v>
      </c>
      <c r="N11" s="130">
        <f t="shared" si="5"/>
        <v>28617.057291666668</v>
      </c>
      <c r="O11" s="314">
        <f t="shared" si="6"/>
        <v>71382.942708333328</v>
      </c>
    </row>
    <row r="12" spans="1:15" ht="35.1" customHeight="1" x14ac:dyDescent="0.2">
      <c r="A12" s="306">
        <v>6</v>
      </c>
      <c r="B12" s="300" t="s">
        <v>198</v>
      </c>
      <c r="C12" s="108" t="s">
        <v>345</v>
      </c>
      <c r="D12" s="109" t="s">
        <v>263</v>
      </c>
      <c r="E12" s="109" t="s">
        <v>12</v>
      </c>
      <c r="F12" s="136">
        <v>70000</v>
      </c>
      <c r="G12" s="136">
        <f t="shared" si="0"/>
        <v>2009</v>
      </c>
      <c r="H12" s="136">
        <f t="shared" si="1"/>
        <v>2128</v>
      </c>
      <c r="I12" s="136">
        <v>1919.78</v>
      </c>
      <c r="J12" s="130">
        <f>+G12+H12+I12</f>
        <v>6056.78</v>
      </c>
      <c r="K12" s="136">
        <f>+F12-J12</f>
        <v>63943.22</v>
      </c>
      <c r="L12" s="130">
        <f t="shared" si="4"/>
        <v>4984.4938333333339</v>
      </c>
      <c r="M12" s="136">
        <v>26027.85</v>
      </c>
      <c r="N12" s="130">
        <f>+M12+L12+J12</f>
        <v>37069.123833333331</v>
      </c>
      <c r="O12" s="314">
        <f>+F12-N12</f>
        <v>32930.876166666669</v>
      </c>
    </row>
    <row r="13" spans="1:15" s="134" customFormat="1" ht="35.1" customHeight="1" x14ac:dyDescent="0.2">
      <c r="A13" s="306">
        <v>7</v>
      </c>
      <c r="B13" s="300" t="s">
        <v>10</v>
      </c>
      <c r="C13" s="108" t="s">
        <v>345</v>
      </c>
      <c r="D13" s="107" t="s">
        <v>263</v>
      </c>
      <c r="E13" s="107" t="s">
        <v>261</v>
      </c>
      <c r="F13" s="315">
        <v>68000</v>
      </c>
      <c r="G13" s="136">
        <f t="shared" ref="G13" si="7">F13*2.87%</f>
        <v>1951.6</v>
      </c>
      <c r="H13" s="136">
        <f t="shared" ref="H13" si="8">+F13*3.04%</f>
        <v>2067.1999999999998</v>
      </c>
      <c r="I13" s="315"/>
      <c r="J13" s="130">
        <f t="shared" si="2"/>
        <v>4018.7999999999997</v>
      </c>
      <c r="K13" s="136">
        <f t="shared" ref="K13:K19" si="9">+F13-J13</f>
        <v>63981.2</v>
      </c>
      <c r="L13" s="130">
        <f t="shared" si="4"/>
        <v>4992.0898333333316</v>
      </c>
      <c r="M13" s="136">
        <v>15386.49</v>
      </c>
      <c r="N13" s="130">
        <f t="shared" si="5"/>
        <v>24397.379833333329</v>
      </c>
      <c r="O13" s="314">
        <f t="shared" si="6"/>
        <v>43602.620166666675</v>
      </c>
    </row>
    <row r="14" spans="1:15" s="149" customFormat="1" ht="42.75" customHeight="1" x14ac:dyDescent="0.2">
      <c r="A14" s="306">
        <v>8</v>
      </c>
      <c r="B14" s="300" t="s">
        <v>57</v>
      </c>
      <c r="C14" s="108" t="s">
        <v>346</v>
      </c>
      <c r="D14" s="107" t="s">
        <v>648</v>
      </c>
      <c r="E14" s="107" t="s">
        <v>54</v>
      </c>
      <c r="F14" s="136">
        <v>60000</v>
      </c>
      <c r="G14" s="136">
        <f>F14*2.87%</f>
        <v>1722</v>
      </c>
      <c r="H14" s="136">
        <f>+F14*3.04%</f>
        <v>1824</v>
      </c>
      <c r="I14" s="136">
        <f>1919.78*2</f>
        <v>3839.56</v>
      </c>
      <c r="J14" s="136">
        <f>+G14+H14+I14</f>
        <v>7385.5599999999995</v>
      </c>
      <c r="K14" s="136">
        <f>+F14-J14</f>
        <v>52614.44</v>
      </c>
      <c r="L14" s="130">
        <f t="shared" si="4"/>
        <v>2718.7378333333336</v>
      </c>
      <c r="M14" s="136">
        <v>1090.29</v>
      </c>
      <c r="N14" s="136">
        <f>+M14+L14+J14</f>
        <v>11194.587833333333</v>
      </c>
      <c r="O14" s="314">
        <f>+F14-N14</f>
        <v>48805.412166666669</v>
      </c>
    </row>
    <row r="15" spans="1:15" ht="35.1" customHeight="1" x14ac:dyDescent="0.2">
      <c r="A15" s="306">
        <v>9</v>
      </c>
      <c r="B15" s="312" t="s">
        <v>341</v>
      </c>
      <c r="C15" s="153" t="s">
        <v>345</v>
      </c>
      <c r="D15" s="316" t="s">
        <v>353</v>
      </c>
      <c r="E15" s="154" t="s">
        <v>342</v>
      </c>
      <c r="F15" s="130">
        <v>44000</v>
      </c>
      <c r="G15" s="130">
        <f t="shared" ref="G15" si="10">F15*2.87%</f>
        <v>1262.8</v>
      </c>
      <c r="H15" s="130">
        <f t="shared" ref="H15" si="11">+F15*3.04%</f>
        <v>1337.6</v>
      </c>
      <c r="I15" s="130"/>
      <c r="J15" s="130">
        <f t="shared" si="2"/>
        <v>2600.3999999999996</v>
      </c>
      <c r="K15" s="130">
        <f t="shared" si="9"/>
        <v>41399.599999999999</v>
      </c>
      <c r="L15" s="130">
        <f t="shared" si="4"/>
        <v>1007.1898749999992</v>
      </c>
      <c r="M15" s="317">
        <v>25</v>
      </c>
      <c r="N15" s="130">
        <f t="shared" si="5"/>
        <v>3632.5898749999988</v>
      </c>
      <c r="O15" s="314">
        <f t="shared" si="6"/>
        <v>40367.410125000002</v>
      </c>
    </row>
    <row r="16" spans="1:15" ht="35.1" customHeight="1" x14ac:dyDescent="0.2">
      <c r="A16" s="306">
        <v>10</v>
      </c>
      <c r="B16" s="300" t="s">
        <v>16</v>
      </c>
      <c r="C16" s="108" t="s">
        <v>346</v>
      </c>
      <c r="D16" s="107" t="s">
        <v>151</v>
      </c>
      <c r="E16" s="318" t="s">
        <v>502</v>
      </c>
      <c r="F16" s="301">
        <v>41500</v>
      </c>
      <c r="G16" s="302">
        <f t="shared" ref="G16:G19" si="12">F16*2.87%</f>
        <v>1191.05</v>
      </c>
      <c r="H16" s="302">
        <f t="shared" ref="H16:H19" si="13">+F16*3.04%</f>
        <v>1261.5999999999999</v>
      </c>
      <c r="I16" s="301"/>
      <c r="J16" s="130">
        <f t="shared" si="2"/>
        <v>2452.6499999999996</v>
      </c>
      <c r="K16" s="302">
        <f t="shared" si="9"/>
        <v>39047.35</v>
      </c>
      <c r="L16" s="130">
        <f t="shared" si="4"/>
        <v>654.35237499999926</v>
      </c>
      <c r="M16" s="136">
        <v>11698.94</v>
      </c>
      <c r="N16" s="130">
        <f t="shared" si="5"/>
        <v>14805.942374999999</v>
      </c>
      <c r="O16" s="314">
        <f t="shared" si="6"/>
        <v>26694.057625000001</v>
      </c>
    </row>
    <row r="17" spans="1:15" ht="35.1" customHeight="1" x14ac:dyDescent="0.2">
      <c r="A17" s="306">
        <v>11</v>
      </c>
      <c r="B17" s="300" t="s">
        <v>34</v>
      </c>
      <c r="C17" s="108" t="s">
        <v>345</v>
      </c>
      <c r="D17" s="107" t="s">
        <v>151</v>
      </c>
      <c r="E17" s="318" t="s">
        <v>80</v>
      </c>
      <c r="F17" s="301">
        <v>36000</v>
      </c>
      <c r="G17" s="302">
        <f t="shared" si="12"/>
        <v>1033.2</v>
      </c>
      <c r="H17" s="302">
        <f t="shared" si="13"/>
        <v>1094.4000000000001</v>
      </c>
      <c r="I17" s="301"/>
      <c r="J17" s="130">
        <f t="shared" si="2"/>
        <v>2127.6000000000004</v>
      </c>
      <c r="K17" s="302">
        <f t="shared" si="9"/>
        <v>33872.400000000001</v>
      </c>
      <c r="L17" s="130">
        <f t="shared" si="4"/>
        <v>0</v>
      </c>
      <c r="M17" s="136">
        <v>25</v>
      </c>
      <c r="N17" s="130">
        <f t="shared" si="5"/>
        <v>2152.6000000000004</v>
      </c>
      <c r="O17" s="314">
        <f t="shared" si="6"/>
        <v>33847.4</v>
      </c>
    </row>
    <row r="18" spans="1:15" ht="35.1" customHeight="1" x14ac:dyDescent="0.2">
      <c r="A18" s="306">
        <v>12</v>
      </c>
      <c r="B18" s="300" t="s">
        <v>30</v>
      </c>
      <c r="C18" s="108" t="s">
        <v>345</v>
      </c>
      <c r="D18" s="109" t="s">
        <v>277</v>
      </c>
      <c r="E18" s="109" t="s">
        <v>28</v>
      </c>
      <c r="F18" s="301">
        <v>35000</v>
      </c>
      <c r="G18" s="302">
        <f t="shared" si="12"/>
        <v>1004.5</v>
      </c>
      <c r="H18" s="302">
        <f t="shared" si="13"/>
        <v>1064</v>
      </c>
      <c r="I18" s="301">
        <v>1919.78</v>
      </c>
      <c r="J18" s="130">
        <f t="shared" si="2"/>
        <v>3988.2799999999997</v>
      </c>
      <c r="K18" s="302">
        <f t="shared" si="9"/>
        <v>31011.72</v>
      </c>
      <c r="L18" s="130">
        <f t="shared" si="4"/>
        <v>0</v>
      </c>
      <c r="M18" s="136">
        <v>265</v>
      </c>
      <c r="N18" s="130">
        <f t="shared" si="5"/>
        <v>4253.28</v>
      </c>
      <c r="O18" s="314">
        <f t="shared" si="6"/>
        <v>30746.720000000001</v>
      </c>
    </row>
    <row r="19" spans="1:15" ht="35.1" customHeight="1" x14ac:dyDescent="0.2">
      <c r="A19" s="306">
        <v>13</v>
      </c>
      <c r="B19" s="300" t="s">
        <v>283</v>
      </c>
      <c r="C19" s="108" t="s">
        <v>345</v>
      </c>
      <c r="D19" s="109" t="s">
        <v>277</v>
      </c>
      <c r="E19" s="109" t="s">
        <v>28</v>
      </c>
      <c r="F19" s="301">
        <v>35000</v>
      </c>
      <c r="G19" s="302">
        <f t="shared" si="12"/>
        <v>1004.5</v>
      </c>
      <c r="H19" s="302">
        <f t="shared" si="13"/>
        <v>1064</v>
      </c>
      <c r="I19" s="301"/>
      <c r="J19" s="130">
        <f t="shared" si="2"/>
        <v>2068.5</v>
      </c>
      <c r="K19" s="302">
        <f t="shared" si="9"/>
        <v>32931.5</v>
      </c>
      <c r="L19" s="130">
        <f t="shared" si="4"/>
        <v>0</v>
      </c>
      <c r="M19" s="136">
        <v>225</v>
      </c>
      <c r="N19" s="130">
        <f t="shared" si="5"/>
        <v>2293.5</v>
      </c>
      <c r="O19" s="314">
        <f t="shared" si="6"/>
        <v>32706.5</v>
      </c>
    </row>
    <row r="20" spans="1:15" ht="35.1" customHeight="1" thickBot="1" x14ac:dyDescent="0.25">
      <c r="A20" s="306">
        <v>14</v>
      </c>
      <c r="B20" s="300" t="s">
        <v>284</v>
      </c>
      <c r="C20" s="108" t="s">
        <v>345</v>
      </c>
      <c r="D20" s="109" t="s">
        <v>277</v>
      </c>
      <c r="E20" s="109" t="s">
        <v>28</v>
      </c>
      <c r="F20" s="136">
        <v>26565</v>
      </c>
      <c r="G20" s="136">
        <f t="shared" ref="G20" si="14">F20*2.87%</f>
        <v>762.41549999999995</v>
      </c>
      <c r="H20" s="136">
        <f t="shared" ref="H20" si="15">+F20*3.04%</f>
        <v>807.57600000000002</v>
      </c>
      <c r="I20" s="136"/>
      <c r="J20" s="130">
        <f t="shared" si="2"/>
        <v>1569.9915000000001</v>
      </c>
      <c r="K20" s="136">
        <f t="shared" ref="K20" si="16">+F20-J20</f>
        <v>24995.0085</v>
      </c>
      <c r="L20" s="130">
        <f t="shared" si="4"/>
        <v>0</v>
      </c>
      <c r="M20" s="136">
        <v>12276.52</v>
      </c>
      <c r="N20" s="130">
        <f t="shared" si="5"/>
        <v>13846.511500000001</v>
      </c>
      <c r="O20" s="314">
        <f t="shared" si="6"/>
        <v>12718.488499999999</v>
      </c>
    </row>
    <row r="21" spans="1:15" ht="39.950000000000003" customHeight="1" thickBot="1" x14ac:dyDescent="0.25">
      <c r="A21" s="137"/>
      <c r="B21" s="137"/>
      <c r="C21" s="119"/>
      <c r="D21" s="119"/>
      <c r="E21" s="334" t="s">
        <v>337</v>
      </c>
      <c r="F21" s="307">
        <f t="shared" ref="F21:O21" si="17">SUM(F7:F20)</f>
        <v>1091065</v>
      </c>
      <c r="G21" s="307">
        <f t="shared" si="17"/>
        <v>31313.565499999997</v>
      </c>
      <c r="H21" s="307">
        <f t="shared" si="17"/>
        <v>33168.375999999997</v>
      </c>
      <c r="I21" s="307">
        <f t="shared" si="17"/>
        <v>9598.9</v>
      </c>
      <c r="J21" s="307">
        <f t="shared" si="17"/>
        <v>74080.84150000001</v>
      </c>
      <c r="K21" s="307">
        <f t="shared" si="17"/>
        <v>1016984.1584999998</v>
      </c>
      <c r="L21" s="307">
        <f t="shared" si="17"/>
        <v>115568.48020833331</v>
      </c>
      <c r="M21" s="307">
        <f t="shared" si="17"/>
        <v>98312.540000000008</v>
      </c>
      <c r="N21" s="307">
        <f t="shared" si="17"/>
        <v>287961.86170833337</v>
      </c>
      <c r="O21" s="307">
        <f t="shared" si="17"/>
        <v>803103.13829166675</v>
      </c>
    </row>
    <row r="22" spans="1:15" ht="39.950000000000003" customHeight="1" thickBot="1" x14ac:dyDescent="0.25">
      <c r="A22" s="137"/>
      <c r="B22" s="137"/>
      <c r="C22" s="119"/>
      <c r="D22" s="119"/>
      <c r="E22" s="342"/>
      <c r="F22" s="342"/>
      <c r="G22" s="343"/>
      <c r="H22" s="343"/>
      <c r="I22" s="343"/>
      <c r="J22" s="343"/>
      <c r="K22" s="343"/>
      <c r="L22" s="343"/>
      <c r="M22" s="343"/>
      <c r="N22" s="343"/>
      <c r="O22" s="343"/>
    </row>
    <row r="23" spans="1:15" ht="39.950000000000003" customHeight="1" thickBot="1" x14ac:dyDescent="0.3">
      <c r="B23" s="351" t="s">
        <v>90</v>
      </c>
      <c r="C23" s="351"/>
      <c r="D23" s="121"/>
      <c r="E23" s="352" t="s">
        <v>662</v>
      </c>
      <c r="F23" s="352"/>
      <c r="H23" s="122"/>
      <c r="I23" s="122"/>
      <c r="J23" s="122"/>
      <c r="O23" s="113"/>
    </row>
    <row r="24" spans="1:15" ht="39.950000000000003" customHeight="1" x14ac:dyDescent="0.25">
      <c r="B24" s="344" t="s">
        <v>607</v>
      </c>
      <c r="C24" s="344"/>
      <c r="D24" s="121"/>
      <c r="E24" s="353" t="s">
        <v>663</v>
      </c>
      <c r="F24" s="353"/>
      <c r="H24" s="122"/>
      <c r="I24" s="122"/>
      <c r="J24" s="122"/>
      <c r="O24" s="113"/>
    </row>
    <row r="25" spans="1:15" ht="39.950000000000003" customHeight="1" x14ac:dyDescent="0.25">
      <c r="B25" s="327"/>
      <c r="C25" s="327"/>
      <c r="D25" s="121"/>
      <c r="E25" s="328"/>
      <c r="F25" s="64"/>
      <c r="H25" s="122"/>
      <c r="I25" s="122"/>
      <c r="J25" s="122"/>
      <c r="O25" s="133"/>
    </row>
    <row r="26" spans="1:15" ht="39.950000000000003" customHeight="1" x14ac:dyDescent="0.25">
      <c r="B26" s="345"/>
      <c r="C26" s="345"/>
      <c r="E26" s="64"/>
      <c r="F26" s="64"/>
      <c r="O26" s="133"/>
    </row>
    <row r="27" spans="1:15" ht="39.950000000000003" customHeight="1" x14ac:dyDescent="0.2">
      <c r="O27" s="133"/>
    </row>
    <row r="28" spans="1:15" ht="39.950000000000003" customHeight="1" x14ac:dyDescent="0.2">
      <c r="O28" s="133"/>
    </row>
    <row r="29" spans="1:15" ht="39.950000000000003" customHeight="1" x14ac:dyDescent="0.2">
      <c r="O29" s="133"/>
    </row>
    <row r="34" spans="2:2" ht="39.950000000000003" customHeight="1" x14ac:dyDescent="0.2">
      <c r="B34" s="113" t="s">
        <v>515</v>
      </c>
    </row>
    <row r="877147" spans="13:13" ht="39.950000000000003" customHeight="1" x14ac:dyDescent="0.2">
      <c r="M877147" s="138" t="e">
        <f>SUM(#REF!)</f>
        <v>#REF!</v>
      </c>
    </row>
  </sheetData>
  <sortState xmlns:xlrd2="http://schemas.microsoft.com/office/spreadsheetml/2017/richdata2" ref="A15:O21">
    <sortCondition descending="1" ref="F15:F21"/>
  </sortState>
  <mergeCells count="9">
    <mergeCell ref="B24:C24"/>
    <mergeCell ref="B26:C26"/>
    <mergeCell ref="G5:H5"/>
    <mergeCell ref="A1:N1"/>
    <mergeCell ref="A2:N2"/>
    <mergeCell ref="A3:N3"/>
    <mergeCell ref="B23:C23"/>
    <mergeCell ref="E23:F23"/>
    <mergeCell ref="E24:F24"/>
  </mergeCells>
  <pageMargins left="0.17" right="0.17" top="0.17" bottom="0.17" header="0.17" footer="0.17"/>
  <pageSetup paperSize="5" scale="54" fitToHeight="0" orientation="landscape" r:id="rId1"/>
  <rowBreaks count="1" manualBreakCount="1">
    <brk id="51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  <SharedWithUsers xmlns="d39205a1-5442-419a-b1e5-b39410ee3123">
      <UserInfo>
        <DisplayName/>
        <AccountId xsi:nil="true"/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8" ma:contentTypeDescription="Create a new document." ma:contentTypeScope="" ma:versionID="7f169c88af2e83ed3f56cff7807ae97d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5dbab96737946865671203712beb5bf9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1DCC4A-8C20-4156-9075-D257B105D1EB}">
  <ds:schemaRefs>
    <ds:schemaRef ds:uri="http://purl.org/dc/terms/"/>
    <ds:schemaRef ds:uri="d39205a1-5442-419a-b1e5-b39410ee3123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www.w3.org/XML/1998/namespace"/>
    <ds:schemaRef ds:uri="http://schemas.openxmlformats.org/package/2006/metadata/core-properties"/>
    <ds:schemaRef ds:uri="bb6b0d22-0a16-4c1a-9b76-95dfb845d415"/>
  </ds:schemaRefs>
</ds:datastoreItem>
</file>

<file path=customXml/itemProps3.xml><?xml version="1.0" encoding="utf-8"?>
<ds:datastoreItem xmlns:ds="http://schemas.openxmlformats.org/officeDocument/2006/customXml" ds:itemID="{5114D63F-1DD9-45D3-B242-3FFEFF6174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2026-02-11T16:50:26Z</cp:lastPrinted>
  <dcterms:created xsi:type="dcterms:W3CDTF">2019-01-11T19:06:47Z</dcterms:created>
  <dcterms:modified xsi:type="dcterms:W3CDTF">2026-02-12T15:32:20Z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